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theme/themeOverride7.xml" ContentType="application/vnd.openxmlformats-officedocument.themeOverride+xml"/>
  <Override PartName="/xl/drawings/drawing14.xml" ContentType="application/vnd.openxmlformats-officedocument.drawing+xml"/>
  <Override PartName="/xl/comments2.xml" ContentType="application/vnd.openxmlformats-officedocument.spreadsheetml.comments+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5.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P:\Projects\GovernorsReports\2019\Links\"/>
    </mc:Choice>
  </mc:AlternateContent>
  <xr:revisionPtr revIDLastSave="0" documentId="13_ncr:1_{C525F177-8988-46B2-80E2-70C2DB785195}" xr6:coauthVersionLast="44" xr6:coauthVersionMax="44" xr10:uidLastSave="{00000000-0000-0000-0000-000000000000}"/>
  <bookViews>
    <workbookView xWindow="19080" yWindow="-120" windowWidth="29040" windowHeight="16440" tabRatio="712" firstSheet="4" activeTab="4" xr2:uid="{00000000-000D-0000-FFFF-FFFF00000000}"/>
  </bookViews>
  <sheets>
    <sheet name="1_CostsByArea" sheetId="36" r:id="rId1"/>
    <sheet name="2_SpeciesType" sheetId="15" r:id="rId2"/>
    <sheet name="3_FCRPS" sheetId="16" r:id="rId3"/>
    <sheet name="4_ESASpecies" sheetId="17" r:id="rId4"/>
    <sheet name="5_Fund" sheetId="23" r:id="rId5"/>
    <sheet name="6a_Category" sheetId="24" r:id="rId6"/>
    <sheet name="6b_ArtProd" sheetId="34" r:id="rId7"/>
    <sheet name="7_RME" sheetId="33" r:id="rId8"/>
    <sheet name="7_RME_Projects" sheetId="37" r:id="rId9"/>
    <sheet name="8_Province" sheetId="19" r:id="rId10"/>
    <sheet name="8a_Subbasin" sheetId="39" r:id="rId11"/>
    <sheet name="9_Location" sheetId="27" r:id="rId12"/>
    <sheet name="10_Contractor" sheetId="28" r:id="rId13"/>
    <sheet name="11_LandPurchases" sheetId="20" r:id="rId14"/>
    <sheet name="12_Cumulative" sheetId="21" r:id="rId15"/>
  </sheets>
  <externalReferences>
    <externalReference r:id="rId16"/>
    <externalReference r:id="rId17"/>
    <externalReference r:id="rId18"/>
  </externalReferences>
  <definedNames>
    <definedName name="_xlnm._FilterDatabase" localSheetId="12" hidden="1">'10_Contractor'!$A$2:$E$2</definedName>
    <definedName name="_xlcn.WorksheetConnection_4_CostsByLocationA3E91" hidden="1">'9_Location'!$A$4:$H$12</definedName>
    <definedName name="ASD">[1]nVision!$E$3</definedName>
    <definedName name="CreditPercent">[1]nVision!$E$9</definedName>
    <definedName name="dsa" localSheetId="0">[2]IS!#REF!</definedName>
    <definedName name="dsa" localSheetId="6">[2]IS!#REF!</definedName>
    <definedName name="dsa">[2]IS!#REF!</definedName>
    <definedName name="dsb">[2]IS!#REF!</definedName>
    <definedName name="dsc">[2]IS!#REF!</definedName>
    <definedName name="f" localSheetId="0">#REF!</definedName>
    <definedName name="f" localSheetId="6">#REF!</definedName>
    <definedName name="f">#REF!</definedName>
    <definedName name="FY">[1]nVision!$E$8</definedName>
    <definedName name="g">#REF!</definedName>
    <definedName name="h">#REF!</definedName>
    <definedName name="layout">[3]Layout!$E$4</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_xlnm.Print_Titles" localSheetId="12">'10_Contractor'!$2:$2</definedName>
    <definedName name="RID">[1]nVision!$E$7</definedName>
    <definedName name="StartOfYear">[1]nVision!$E$10</definedName>
    <definedName name="subtitle">'2_SpeciesType'!$D$40</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 i="23" l="1"/>
  <c r="H12" i="23"/>
  <c r="G12" i="23"/>
  <c r="F12" i="23"/>
  <c r="E12" i="23"/>
  <c r="D12" i="23"/>
  <c r="C12" i="23"/>
  <c r="B12" i="23"/>
  <c r="C47" i="39" l="1"/>
  <c r="C66" i="39"/>
  <c r="C12" i="21" l="1"/>
  <c r="D12" i="21" s="1"/>
  <c r="E12" i="21" s="1"/>
  <c r="F12" i="21" s="1"/>
  <c r="G12" i="21" s="1"/>
  <c r="H12" i="21" s="1"/>
  <c r="I12" i="21" s="1"/>
  <c r="J12" i="21" s="1"/>
  <c r="K12" i="21" s="1"/>
  <c r="L12" i="21" s="1"/>
  <c r="M12" i="21" s="1"/>
  <c r="N12" i="21" s="1"/>
  <c r="O12" i="21" s="1"/>
  <c r="P12" i="21" s="1"/>
  <c r="Q12" i="21" s="1"/>
  <c r="R12" i="21" s="1"/>
  <c r="S12" i="21" s="1"/>
  <c r="T12" i="21" s="1"/>
  <c r="U12" i="21" s="1"/>
  <c r="V12" i="21" s="1"/>
  <c r="W12" i="21" s="1"/>
  <c r="X12" i="21" s="1"/>
  <c r="Y12" i="21" s="1"/>
  <c r="Z12" i="21" s="1"/>
  <c r="AA12" i="21" s="1"/>
  <c r="AB12" i="21" s="1"/>
  <c r="AC12" i="21" s="1"/>
  <c r="AD12" i="21" s="1"/>
  <c r="AE12" i="21" s="1"/>
  <c r="AF12" i="21" s="1"/>
  <c r="AG12" i="21" s="1"/>
  <c r="AH12" i="21" s="1"/>
  <c r="AI12" i="21" s="1"/>
  <c r="AJ12" i="21" s="1"/>
  <c r="AK12" i="21" s="1"/>
  <c r="AL12" i="21" s="1"/>
  <c r="AM12" i="21" s="1"/>
  <c r="AN12" i="21" s="1"/>
  <c r="B12" i="21"/>
  <c r="B13" i="21"/>
  <c r="C13" i="21" s="1"/>
  <c r="D13" i="21" s="1"/>
  <c r="E13" i="21" s="1"/>
  <c r="F13" i="21" s="1"/>
  <c r="G13" i="21" s="1"/>
  <c r="H13" i="21" s="1"/>
  <c r="I13" i="21" s="1"/>
  <c r="J13" i="21" s="1"/>
  <c r="K13" i="21" s="1"/>
  <c r="L13" i="21" s="1"/>
  <c r="M13" i="21" s="1"/>
  <c r="N13" i="21" s="1"/>
  <c r="O13" i="21" s="1"/>
  <c r="P13" i="21" s="1"/>
  <c r="Q13" i="21" s="1"/>
  <c r="R13" i="21" s="1"/>
  <c r="S13" i="21" s="1"/>
  <c r="T13" i="21" s="1"/>
  <c r="U13" i="21" s="1"/>
  <c r="V13" i="21" s="1"/>
  <c r="W13" i="21" s="1"/>
  <c r="X13" i="21" s="1"/>
  <c r="Y13" i="21" s="1"/>
  <c r="Z13" i="21" s="1"/>
  <c r="AA13" i="21" s="1"/>
  <c r="AB13" i="21" s="1"/>
  <c r="AC13" i="21" s="1"/>
  <c r="AD13" i="21" s="1"/>
  <c r="AE13" i="21" s="1"/>
  <c r="AF13" i="21" s="1"/>
  <c r="AG13" i="21" s="1"/>
  <c r="AH13" i="21" s="1"/>
  <c r="AI13" i="21" s="1"/>
  <c r="AJ13" i="21" s="1"/>
  <c r="AK13" i="21" s="1"/>
  <c r="AL13" i="21" s="1"/>
  <c r="AM13" i="21" s="1"/>
  <c r="AN13" i="21" s="1"/>
  <c r="I26" i="15" l="1"/>
  <c r="I65" i="28" l="1"/>
  <c r="I52" i="28"/>
  <c r="I29" i="28"/>
  <c r="I26" i="28"/>
  <c r="I22" i="28"/>
  <c r="I17" i="28"/>
  <c r="I12" i="28"/>
  <c r="I30" i="28" l="1"/>
  <c r="I70" i="28" s="1"/>
  <c r="B39" i="20" l="1"/>
  <c r="C39" i="20"/>
  <c r="D39" i="20"/>
  <c r="E39" i="20"/>
  <c r="F39" i="20"/>
  <c r="G39" i="20"/>
  <c r="H39" i="20"/>
  <c r="I39" i="20"/>
  <c r="I11" i="27" l="1"/>
  <c r="B11" i="27"/>
  <c r="I10" i="27"/>
  <c r="A1" i="27"/>
  <c r="G14" i="27"/>
  <c r="I18" i="19" l="1"/>
  <c r="H18" i="19"/>
  <c r="G18" i="19"/>
  <c r="F18" i="19"/>
  <c r="E18" i="19"/>
  <c r="D18" i="19"/>
  <c r="C18" i="19"/>
  <c r="B18" i="19"/>
  <c r="A1" i="33"/>
  <c r="N10" i="33" l="1"/>
  <c r="A1" i="34" l="1"/>
  <c r="H7" i="34"/>
  <c r="I14" i="24" l="1"/>
  <c r="H14" i="24"/>
  <c r="G14" i="24"/>
  <c r="F14" i="24"/>
  <c r="E14" i="24"/>
  <c r="D14" i="24"/>
  <c r="C14" i="24"/>
  <c r="B14" i="24"/>
  <c r="J13" i="24"/>
  <c r="J12" i="24"/>
  <c r="A1" i="24"/>
  <c r="M8" i="16" l="1"/>
  <c r="M5" i="16"/>
  <c r="H25" i="15" l="1"/>
  <c r="H24" i="15"/>
  <c r="H23" i="15"/>
  <c r="H22" i="15"/>
  <c r="H21" i="15"/>
  <c r="H20" i="15"/>
  <c r="H17" i="15"/>
  <c r="H27" i="15" s="1"/>
  <c r="B8" i="36" l="1"/>
  <c r="B7" i="36"/>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B5" i="21"/>
  <c r="C5" i="21" s="1"/>
  <c r="D5" i="21" s="1"/>
  <c r="E5" i="21" s="1"/>
  <c r="F5" i="21" s="1"/>
  <c r="G5" i="21" s="1"/>
  <c r="H5" i="21" s="1"/>
  <c r="I5" i="21" s="1"/>
  <c r="J5" i="21" s="1"/>
  <c r="K5" i="21" s="1"/>
  <c r="L5" i="21" s="1"/>
  <c r="M5" i="21" s="1"/>
  <c r="N5" i="21" s="1"/>
  <c r="O5" i="21" s="1"/>
  <c r="P5" i="21" s="1"/>
  <c r="Q5" i="21" s="1"/>
  <c r="R5" i="21" s="1"/>
  <c r="S5" i="21" s="1"/>
  <c r="T5" i="21" s="1"/>
  <c r="U5" i="21" s="1"/>
  <c r="V5" i="21" s="1"/>
  <c r="W5" i="21" s="1"/>
  <c r="X5" i="21" s="1"/>
  <c r="Y5" i="21" s="1"/>
  <c r="Z5" i="21" s="1"/>
  <c r="AA5" i="21" s="1"/>
  <c r="AB5" i="21" s="1"/>
  <c r="AC5" i="21" s="1"/>
  <c r="AD5" i="21" s="1"/>
  <c r="AE5" i="21" s="1"/>
  <c r="AF5" i="21" s="1"/>
  <c r="AG5" i="21" s="1"/>
  <c r="AH5" i="21" s="1"/>
  <c r="AI5" i="21" s="1"/>
  <c r="AJ5" i="21" s="1"/>
  <c r="AK5" i="21" s="1"/>
  <c r="AL5" i="21" s="1"/>
  <c r="AM5" i="21" s="1"/>
  <c r="AN5" i="21" s="1"/>
  <c r="B4" i="21"/>
  <c r="C4" i="21" s="1"/>
  <c r="D4" i="21" s="1"/>
  <c r="E4" i="21" s="1"/>
  <c r="F4" i="21" s="1"/>
  <c r="G4" i="21" s="1"/>
  <c r="H4" i="21" s="1"/>
  <c r="I4" i="21" s="1"/>
  <c r="J4" i="21" s="1"/>
  <c r="K4" i="21" s="1"/>
  <c r="L4" i="21" s="1"/>
  <c r="M4" i="21" s="1"/>
  <c r="N4" i="21" s="1"/>
  <c r="O4" i="21" s="1"/>
  <c r="P4" i="21" s="1"/>
  <c r="Q4" i="21" s="1"/>
  <c r="R4" i="21" s="1"/>
  <c r="S4" i="21" s="1"/>
  <c r="T4" i="21" s="1"/>
  <c r="U4" i="21" s="1"/>
  <c r="V4" i="21" s="1"/>
  <c r="W4" i="21" s="1"/>
  <c r="X4" i="21" s="1"/>
  <c r="Y4" i="21" s="1"/>
  <c r="Z4" i="21" s="1"/>
  <c r="AA4" i="21" s="1"/>
  <c r="AB4" i="21" s="1"/>
  <c r="AC4" i="21" s="1"/>
  <c r="AD4" i="21" s="1"/>
  <c r="AE4" i="21" s="1"/>
  <c r="AF4" i="21" s="1"/>
  <c r="AG4" i="21" s="1"/>
  <c r="AH4" i="21" s="1"/>
  <c r="AI4" i="21" s="1"/>
  <c r="AJ4" i="21" s="1"/>
  <c r="AK4" i="21" s="1"/>
  <c r="AL4" i="21" s="1"/>
  <c r="AM4" i="21" s="1"/>
  <c r="AN4" i="21" s="1"/>
  <c r="AN9" i="21" l="1"/>
  <c r="AG26" i="21" s="1"/>
  <c r="O10" i="33" l="1"/>
  <c r="M10" i="33"/>
  <c r="L10" i="33"/>
  <c r="K10" i="33"/>
  <c r="J10" i="33"/>
  <c r="I10" i="33"/>
  <c r="H10" i="33"/>
  <c r="C8" i="16" l="1"/>
  <c r="B8" i="16"/>
  <c r="E5" i="16"/>
  <c r="D5" i="16"/>
  <c r="C5" i="16"/>
  <c r="B5" i="16"/>
  <c r="E8" i="16" l="1"/>
  <c r="D8" i="16"/>
  <c r="AM9" i="21" l="1"/>
  <c r="E13" i="36"/>
  <c r="G13" i="36" s="1"/>
  <c r="E9" i="36"/>
  <c r="G12" i="36" s="1"/>
  <c r="E6" i="34" l="1"/>
  <c r="D6" i="34"/>
  <c r="F14" i="27" l="1"/>
  <c r="H19" i="17" l="1"/>
  <c r="H16" i="17"/>
  <c r="H13" i="17"/>
  <c r="H12" i="17"/>
  <c r="H11" i="17"/>
  <c r="H10" i="17"/>
  <c r="H8" i="17"/>
  <c r="H7" i="17"/>
  <c r="H6" i="17"/>
  <c r="H4" i="17"/>
  <c r="H3" i="17"/>
  <c r="H9" i="17" l="1"/>
  <c r="H18" i="17"/>
  <c r="H15" i="17"/>
  <c r="H17" i="17"/>
  <c r="H5" i="17"/>
  <c r="H14" i="17"/>
  <c r="B16" i="36" l="1"/>
  <c r="A29" i="36" s="1"/>
  <c r="F7" i="34" l="1"/>
  <c r="E7" i="34"/>
  <c r="I7" i="34"/>
  <c r="B12" i="34" s="1"/>
  <c r="G7" i="34"/>
  <c r="D7" i="34"/>
  <c r="C7" i="34"/>
  <c r="B7" i="34"/>
  <c r="J6" i="34"/>
  <c r="J5" i="34"/>
  <c r="J4" i="34"/>
  <c r="J3" i="34"/>
  <c r="AL9" i="21" l="1"/>
  <c r="AK9" i="21"/>
  <c r="J29" i="28" l="1"/>
  <c r="H29" i="28"/>
  <c r="G29" i="28"/>
  <c r="F29" i="28"/>
  <c r="E29" i="28"/>
  <c r="D29" i="28"/>
  <c r="C29" i="28"/>
  <c r="J26" i="28"/>
  <c r="H26" i="28"/>
  <c r="G26" i="28"/>
  <c r="F26" i="28"/>
  <c r="E26" i="28"/>
  <c r="D26" i="28"/>
  <c r="C26" i="28"/>
  <c r="J22" i="28"/>
  <c r="H22" i="28"/>
  <c r="G22" i="28"/>
  <c r="F22" i="28"/>
  <c r="E22" i="28"/>
  <c r="D22" i="28"/>
  <c r="C22" i="28"/>
  <c r="J17" i="28"/>
  <c r="H17" i="28"/>
  <c r="G17" i="28"/>
  <c r="F17" i="28"/>
  <c r="E17" i="28"/>
  <c r="D17" i="28"/>
  <c r="C17" i="28"/>
  <c r="L8" i="16" l="1"/>
  <c r="L5" i="16"/>
  <c r="J16" i="15" l="1"/>
  <c r="J4" i="24"/>
  <c r="A21" i="23" l="1"/>
  <c r="A1" i="23"/>
  <c r="A1" i="20" l="1"/>
  <c r="E14" i="27" l="1"/>
  <c r="E39" i="19" l="1"/>
  <c r="E38" i="19"/>
  <c r="E37" i="19"/>
  <c r="E36" i="19"/>
  <c r="E35" i="19"/>
  <c r="E34" i="19"/>
  <c r="E33" i="19"/>
  <c r="E32" i="19"/>
  <c r="E31" i="19"/>
  <c r="E30" i="19"/>
  <c r="E29" i="19"/>
  <c r="F40" i="19" l="1"/>
  <c r="A1" i="19"/>
  <c r="F29" i="19"/>
  <c r="C9" i="33" l="1"/>
  <c r="C8" i="33"/>
  <c r="C7" i="33"/>
  <c r="C6" i="33"/>
  <c r="C5" i="33"/>
  <c r="C4" i="33"/>
  <c r="B10" i="33"/>
  <c r="B15" i="33" s="1"/>
  <c r="J3" i="24" l="1"/>
  <c r="J5" i="24"/>
  <c r="J6" i="24"/>
  <c r="J7" i="24"/>
  <c r="J8" i="24"/>
  <c r="J9" i="24"/>
  <c r="J10" i="24"/>
  <c r="J11" i="24"/>
  <c r="I20" i="15" l="1"/>
  <c r="B37" i="15" s="1"/>
  <c r="G20" i="15"/>
  <c r="F20" i="15"/>
  <c r="E20" i="15"/>
  <c r="D20" i="15"/>
  <c r="C20" i="15"/>
  <c r="B20" i="15"/>
  <c r="I17" i="15"/>
  <c r="G17" i="15"/>
  <c r="F17" i="15"/>
  <c r="E17" i="15"/>
  <c r="D17" i="15"/>
  <c r="C17" i="15"/>
  <c r="B17" i="15"/>
  <c r="F41" i="19" l="1"/>
  <c r="F39" i="19"/>
  <c r="F38" i="19"/>
  <c r="F37" i="19"/>
  <c r="F36" i="19"/>
  <c r="F35" i="19"/>
  <c r="F34" i="19"/>
  <c r="F33" i="19"/>
  <c r="F32" i="19"/>
  <c r="F31" i="19"/>
  <c r="F30" i="19"/>
  <c r="AI9" i="21" l="1"/>
  <c r="AJ9" i="21"/>
  <c r="A58" i="20" l="1"/>
  <c r="C12" i="28" l="1"/>
  <c r="D12" i="28"/>
  <c r="E12" i="28"/>
  <c r="F12" i="28"/>
  <c r="G12" i="28"/>
  <c r="H12" i="28"/>
  <c r="J12" i="28"/>
  <c r="C30" i="28"/>
  <c r="G30" i="28"/>
  <c r="D30" i="28"/>
  <c r="E30" i="28"/>
  <c r="H30" i="28"/>
  <c r="J30" i="28"/>
  <c r="F30" i="28"/>
  <c r="C52" i="28"/>
  <c r="D52" i="28"/>
  <c r="E52" i="28"/>
  <c r="F52" i="28"/>
  <c r="G52" i="28"/>
  <c r="H52" i="28"/>
  <c r="J52" i="28"/>
  <c r="C65" i="28"/>
  <c r="D65" i="28"/>
  <c r="G65" i="28"/>
  <c r="H65" i="28"/>
  <c r="J65" i="28"/>
  <c r="J70" i="28" l="1"/>
  <c r="H70" i="28"/>
  <c r="D70" i="28"/>
  <c r="G70" i="28"/>
  <c r="C70" i="28"/>
  <c r="F65" i="28"/>
  <c r="F70" i="28" s="1"/>
  <c r="E65" i="28"/>
  <c r="E70" i="28" s="1"/>
  <c r="I13" i="27" l="1"/>
  <c r="I12" i="27"/>
  <c r="I9" i="27"/>
  <c r="I8" i="27"/>
  <c r="I7" i="27"/>
  <c r="I6" i="27"/>
  <c r="I5" i="27"/>
  <c r="I4" i="27"/>
  <c r="B14" i="27" l="1"/>
  <c r="C14" i="27"/>
  <c r="D14" i="27"/>
  <c r="H14" i="27"/>
  <c r="B26" i="23" l="1"/>
  <c r="B25" i="23"/>
  <c r="B24" i="23"/>
  <c r="B23" i="23"/>
  <c r="B22" i="23"/>
  <c r="N8" i="16" l="1"/>
  <c r="K8" i="16"/>
  <c r="J8" i="16"/>
  <c r="I8" i="16"/>
  <c r="H8" i="16"/>
  <c r="G8" i="16"/>
  <c r="F8" i="16"/>
  <c r="N5" i="16"/>
  <c r="I27" i="15" l="1"/>
  <c r="D40" i="15" s="1"/>
  <c r="G27" i="15"/>
  <c r="F27" i="15"/>
  <c r="E27" i="15"/>
  <c r="D27" i="15"/>
  <c r="C27" i="15"/>
  <c r="B27" i="15"/>
  <c r="I25" i="15"/>
  <c r="G25" i="15"/>
  <c r="F25" i="15"/>
  <c r="E25" i="15"/>
  <c r="D25" i="15"/>
  <c r="C25" i="15"/>
  <c r="B25" i="15"/>
  <c r="I24" i="15"/>
  <c r="B41" i="15" s="1"/>
  <c r="G24" i="15"/>
  <c r="F24" i="15"/>
  <c r="E24" i="15"/>
  <c r="D24" i="15"/>
  <c r="C24" i="15"/>
  <c r="B24" i="15"/>
  <c r="I23" i="15"/>
  <c r="B40" i="15" s="1"/>
  <c r="G23" i="15"/>
  <c r="F23" i="15"/>
  <c r="E23" i="15"/>
  <c r="D23" i="15"/>
  <c r="C23" i="15"/>
  <c r="B23" i="15"/>
  <c r="I22" i="15"/>
  <c r="B39" i="15" s="1"/>
  <c r="G22" i="15"/>
  <c r="F22" i="15"/>
  <c r="E22" i="15"/>
  <c r="D22" i="15"/>
  <c r="C22" i="15"/>
  <c r="B22" i="15"/>
  <c r="I21" i="15"/>
  <c r="B38" i="15" s="1"/>
  <c r="G21" i="15"/>
  <c r="F21" i="15"/>
  <c r="E21" i="15"/>
  <c r="D21" i="15"/>
  <c r="C21" i="15"/>
  <c r="B21" i="15"/>
  <c r="H77" i="28" l="1"/>
  <c r="A25" i="27"/>
  <c r="A29" i="23"/>
  <c r="A27" i="19"/>
  <c r="B22" i="24"/>
  <c r="B9" i="21"/>
  <c r="AH9" i="21"/>
  <c r="B20" i="17" l="1"/>
  <c r="C20" i="17"/>
  <c r="E20" i="17"/>
  <c r="F20" i="17"/>
  <c r="D20" i="17" l="1"/>
  <c r="G20" i="17"/>
  <c r="K5" i="16"/>
  <c r="F5" i="16"/>
  <c r="G5" i="16"/>
  <c r="H5" i="16"/>
  <c r="I5" i="16"/>
  <c r="J5" i="16"/>
  <c r="H20" i="17" l="1"/>
  <c r="A2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G12" authorId="0" shapeId="0" xr:uid="{BD3885C0-CA97-495D-A1D7-8B96201F4375}">
      <text>
        <r>
          <rPr>
            <b/>
            <sz val="9"/>
            <color indexed="81"/>
            <rFont val="Tahoma"/>
            <family val="2"/>
          </rPr>
          <t>Eric Schrepel:</t>
        </r>
        <r>
          <rPr>
            <sz val="9"/>
            <color indexed="81"/>
            <rFont val="Tahoma"/>
            <family val="2"/>
          </rPr>
          <t xml:space="preserve">
these get referenced in two labels on chart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A11" authorId="0" shapeId="0" xr:uid="{D0176C0E-B1B8-4057-98E9-750A08BF585B}">
      <text>
        <r>
          <rPr>
            <b/>
            <sz val="9"/>
            <color indexed="81"/>
            <rFont val="Tahoma"/>
            <charset val="1"/>
          </rPr>
          <t>Eric Schrepel:</t>
        </r>
        <r>
          <rPr>
            <sz val="9"/>
            <color indexed="81"/>
            <rFont val="Tahoma"/>
            <charset val="1"/>
          </rPr>
          <t xml:space="preserve">
Used in subtitle, not in chart</t>
        </r>
      </text>
    </comment>
    <comment ref="A21" authorId="0" shapeId="0" xr:uid="{7F6A7AB4-CE27-4D5D-8730-46D3BA7C5D72}">
      <text>
        <r>
          <rPr>
            <b/>
            <sz val="9"/>
            <color indexed="81"/>
            <rFont val="Tahoma"/>
            <charset val="1"/>
          </rPr>
          <t>Eric Schrepel:</t>
        </r>
        <r>
          <rPr>
            <sz val="9"/>
            <color indexed="81"/>
            <rFont val="Tahoma"/>
            <charset val="1"/>
          </rPr>
          <t xml:space="preserve">
Used in subtitle, not in chart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<sst xmlns="http://schemas.openxmlformats.org/spreadsheetml/2006/main" count="711" uniqueCount="526">
  <si>
    <t>2) Program Support includes includes contracts that contain only administrative work elements or program level spending that could not be mapped to a specific project, as well as BPA internal overhead such as personnel costs.</t>
  </si>
  <si>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</si>
  <si>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</si>
  <si>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</si>
  <si>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</si>
  <si>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</si>
  <si>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</si>
  <si>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</si>
  <si>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</si>
  <si>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</si>
  <si>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</si>
  <si>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</si>
  <si>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</si>
  <si>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</si>
  <si>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</si>
  <si>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</si>
  <si>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</si>
  <si>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</si>
  <si>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</si>
  <si>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</si>
  <si>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</si>
  <si>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</si>
  <si>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</si>
  <si>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</si>
  <si>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</si>
  <si>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</si>
  <si>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</si>
  <si>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</si>
  <si>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</si>
  <si>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</si>
  <si>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</si>
  <si>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</si>
  <si>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</si>
  <si>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</si>
  <si>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</si>
  <si>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</si>
  <si>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</si>
  <si>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</si>
  <si>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</si>
  <si>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</si>
  <si>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</si>
  <si>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</si>
  <si>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</si>
  <si>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</si>
  <si>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</si>
  <si>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</si>
  <si>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</si>
  <si>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</si>
  <si>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</si>
  <si>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</si>
  <si>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</si>
  <si>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</si>
  <si>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</si>
  <si>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</si>
  <si>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</si>
  <si>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City of Eugene</t>
  </si>
  <si>
    <t>Columbia Land Trust</t>
  </si>
  <si>
    <t>Colville Confederated Tribes</t>
  </si>
  <si>
    <t>Confederated Tribes of the Grande Ronde</t>
  </si>
  <si>
    <t>Greenbelt Land Trust</t>
  </si>
  <si>
    <t>Idaho Department of Fish and Game (IDFG)</t>
  </si>
  <si>
    <t>Idaho Office of Species Conservation</t>
  </si>
  <si>
    <t>Kittitas Conservation Trust</t>
  </si>
  <si>
    <t>Lower Columbia River Estuary Partnership (LCREP)</t>
  </si>
  <si>
    <t>Methow Salmon Recovery Foundation</t>
  </si>
  <si>
    <t>National Fish and Wildlife Foundation</t>
  </si>
  <si>
    <t>Nature Conservancy</t>
  </si>
  <si>
    <t>Nez Perce Tribe</t>
  </si>
  <si>
    <t>Oregon Watershed Enhancement Board</t>
  </si>
  <si>
    <t>S Central Washington Resource Conservation and Development</t>
  </si>
  <si>
    <t>Salish and Kootenai Confederated Tribes</t>
  </si>
  <si>
    <t>Shoshone-Bannock Tribes</t>
  </si>
  <si>
    <t>Shoshone-Paiute Tribes</t>
  </si>
  <si>
    <t>Umatilla Confederated Tribes (CTUIR)</t>
  </si>
  <si>
    <t>US Fish and Wildlife Service (USFWS)</t>
  </si>
  <si>
    <t>Willamalane Parks and Recreation District</t>
  </si>
  <si>
    <t>Yakama Confederated Tribes</t>
  </si>
  <si>
    <t>Yamhill Soil and Water Conservation District</t>
  </si>
  <si>
    <t>Ducks Unlimited</t>
  </si>
  <si>
    <t>City of Salem</t>
  </si>
  <si>
    <t>McKenzie River Trust</t>
  </si>
  <si>
    <t>Fixed Expenses</t>
  </si>
  <si>
    <t>Direct Program</t>
  </si>
  <si>
    <t>Reimbursable Expenses</t>
  </si>
  <si>
    <t>Forgone Revenues</t>
  </si>
  <si>
    <t>Power Purchases</t>
  </si>
  <si>
    <t>1978-80</t>
  </si>
  <si>
    <r>
      <t>Program Support</t>
    </r>
    <r>
      <rPr>
        <vertAlign val="superscript"/>
        <sz val="12"/>
        <rFont val="Century Gothic"/>
        <family val="2"/>
      </rPr>
      <t xml:space="preserve"> 2</t>
    </r>
  </si>
  <si>
    <t>(remove footnote marks from graph X-axis labels)</t>
  </si>
  <si>
    <t>2)  Spending is estimated based on the % of funding towards a project.  For example, if a project budget is 70% BiOp and 30% General, the project expenditures will be prorated 70% towards BiOp and 30% General.</t>
  </si>
  <si>
    <t>TOTAL PROGRAM</t>
  </si>
  <si>
    <t>Total BPA Overhead</t>
  </si>
  <si>
    <t>Total General</t>
  </si>
  <si>
    <t>Total Accords - BiOp</t>
  </si>
  <si>
    <r>
      <t>Total Accords</t>
    </r>
    <r>
      <rPr>
        <vertAlign val="superscript"/>
        <sz val="12"/>
        <rFont val="Century Gothic"/>
        <family val="2"/>
      </rPr>
      <t>1</t>
    </r>
  </si>
  <si>
    <t>Total BiOp (non Accord)</t>
  </si>
  <si>
    <t>FUND</t>
  </si>
  <si>
    <t>Accords - BiOp</t>
  </si>
  <si>
    <t>Accords - non-BiOp</t>
  </si>
  <si>
    <t>Figure subtitle (range named "subtitle" because it's used on many figures)</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</si>
  <si>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</si>
  <si>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</si>
  <si>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</si>
  <si>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</si>
  <si>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</si>
  <si>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</si>
  <si>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Grand Total</t>
  </si>
  <si>
    <t>Ocean</t>
  </si>
  <si>
    <t>1) Starting in 2008, spending by state is tracked in Pisces based on where the contractor explicitly identified work location.</t>
  </si>
  <si>
    <t>Nevada</t>
  </si>
  <si>
    <t>British Columbia</t>
  </si>
  <si>
    <t>Montana</t>
  </si>
  <si>
    <t>Oregon</t>
  </si>
  <si>
    <t>Idaho</t>
  </si>
  <si>
    <t>Washington</t>
  </si>
  <si>
    <t>STATE</t>
  </si>
  <si>
    <t>Format for pie, and remove Systemwide</t>
  </si>
  <si>
    <t>1)  Values above include accruals.</t>
  </si>
  <si>
    <t>NOTES:</t>
  </si>
  <si>
    <t>GRAND TOTAL</t>
  </si>
  <si>
    <t>OTHER TOTAL</t>
  </si>
  <si>
    <t>CHIEF JOSEPH HATCHERY COST SHARE (GRANT PUD)</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</si>
  <si>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</si>
  <si>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</si>
  <si>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</si>
  <si>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</si>
  <si>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</si>
  <si>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</si>
  <si>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</si>
  <si>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</si>
  <si>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</si>
  <si>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</si>
  <si>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</si>
  <si>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</si>
  <si>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</si>
  <si>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</si>
  <si>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</si>
  <si>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</si>
  <si>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</si>
  <si>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</si>
  <si>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</si>
  <si>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</si>
  <si>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</si>
  <si>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</si>
  <si>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</si>
  <si>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</si>
  <si>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</si>
  <si>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</si>
  <si>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</si>
  <si>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</si>
  <si>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</si>
  <si>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</si>
  <si>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</si>
  <si>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</si>
  <si>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</si>
  <si>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</si>
  <si>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</si>
  <si>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</si>
  <si>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</si>
  <si>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</si>
  <si>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</si>
  <si>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</si>
  <si>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</si>
  <si>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</si>
  <si>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</si>
  <si>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</si>
  <si>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</si>
  <si>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</si>
  <si>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</si>
  <si>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</si>
  <si>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</si>
  <si>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</si>
  <si>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</si>
  <si>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</si>
  <si>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</si>
  <si>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</si>
  <si>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</si>
  <si>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FOR CHART:</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</si>
  <si>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</si>
  <si>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</si>
  <si>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</si>
  <si>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</si>
  <si>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</si>
  <si>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</si>
  <si>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</si>
  <si>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</si>
  <si>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</si>
  <si>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</si>
  <si>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</si>
  <si>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</si>
  <si>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</si>
  <si>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</si>
  <si>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</si>
  <si>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</si>
  <si>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</si>
  <si>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</si>
  <si>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</si>
  <si>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</si>
  <si>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</si>
  <si>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</si>
  <si>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</si>
  <si>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</si>
  <si>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</si>
  <si>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</si>
  <si>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</si>
  <si>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</si>
  <si>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</si>
  <si>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</si>
  <si>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</si>
  <si>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</si>
  <si>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</si>
  <si>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</si>
  <si>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</si>
  <si>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</si>
  <si>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</si>
  <si>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For chart, copy from above, sort largest to smallest</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</si>
  <si>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</si>
  <si>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</si>
  <si>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</si>
  <si>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</si>
  <si>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</si>
  <si>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</si>
  <si>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</si>
  <si>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</si>
  <si>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</si>
  <si>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Table 3: Direct Program Expenditures of FCRPS BiOp Projects</t>
  </si>
  <si>
    <t>1) Estimated spending is based at the project level.  Therefore, if a project partially supports the FCRPS BiOp, all expenditures for the project are included.</t>
  </si>
  <si>
    <t>Table 2: Direct Program Expenditures by Types of Species</t>
  </si>
  <si>
    <t xml:space="preserve">FIGURE 2. </t>
  </si>
  <si>
    <t>Total BiOp (non-Accord)</t>
  </si>
  <si>
    <t>Total Accords - Non-BiOp</t>
  </si>
  <si>
    <t>Coordination (Local/Regional)</t>
  </si>
  <si>
    <t>Habitat (Restoration/Protection)</t>
  </si>
  <si>
    <t>3) Starting in Fiscal Year 2015 (and revised for FY2014), Costs by Category will now separate Coordination costs between Regional/Local Coordination and BPA Overhead.</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</si>
  <si>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</si>
  <si>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</si>
  <si>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</si>
  <si>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</si>
  <si>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</si>
  <si>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</si>
  <si>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</si>
  <si>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</si>
  <si>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</si>
  <si>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</si>
  <si>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</si>
  <si>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</si>
  <si>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</si>
  <si>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Compiles program spending by work element location</t>
  </si>
  <si>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</si>
  <si>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Table/Figure 10: Direct Program Expenditures by Contractor Type, FY2015</t>
  </si>
  <si>
    <t>Friends of Buford Park</t>
  </si>
  <si>
    <t>Confederated Tribes of the Warm Springs</t>
  </si>
  <si>
    <t>Blue Mountain Land Trust</t>
  </si>
  <si>
    <t>Totals</t>
  </si>
  <si>
    <t>Tribe: Shoshone-Paiute Tribes</t>
  </si>
  <si>
    <t>Tribe: Burns-Paiute</t>
  </si>
  <si>
    <t>for graph (footnote marks removed)</t>
  </si>
  <si>
    <t>Coordination (BPA Overhead)</t>
  </si>
  <si>
    <t>(Figure is a map, plus InDesign text boxes overlaid)</t>
  </si>
  <si>
    <t>PACIFIC NW NATIONAL LABORATORY/DEPT. OF ENERGY</t>
  </si>
  <si>
    <t>FORT McDERMITT TRIBE</t>
  </si>
  <si>
    <t>UNIVERSITIES</t>
  </si>
  <si>
    <t>Federal: US Forest Service</t>
  </si>
  <si>
    <t>Other: Utility</t>
  </si>
  <si>
    <t>RM and E</t>
  </si>
  <si>
    <t>Supplementation</t>
  </si>
  <si>
    <t>1) Estimated spending is based at the project level.  Therefore if a project is assigned an emphasis of Habitat, but also does RME, all expenditures for the project are included under Habitat.</t>
  </si>
  <si>
    <t>Table/Figure 1A: Fish &amp; Wildlife Costs Comprise 22% of Total Power Services Costs</t>
  </si>
  <si>
    <t>Forgone Revenue</t>
  </si>
  <si>
    <t>2) Passage projects were moved from Capital to Expense funding starting with FY16 contracts.</t>
  </si>
  <si>
    <r>
      <t>2016</t>
    </r>
    <r>
      <rPr>
        <b/>
        <vertAlign val="superscript"/>
        <sz val="12"/>
        <rFont val="Century Gothic"/>
        <family val="2"/>
      </rPr>
      <t xml:space="preserve"> 3 </t>
    </r>
  </si>
  <si>
    <r>
      <t>2016</t>
    </r>
    <r>
      <rPr>
        <vertAlign val="superscript"/>
        <sz val="12"/>
        <rFont val="Century Gothic"/>
        <family val="2"/>
      </rPr>
      <t xml:space="preserve"> 2, 3</t>
    </r>
  </si>
  <si>
    <r>
      <t>2016</t>
    </r>
    <r>
      <rPr>
        <b/>
        <vertAlign val="superscript"/>
        <sz val="12"/>
        <rFont val="Century Gothic"/>
        <family val="2"/>
      </rPr>
      <t xml:space="preserve"> 3</t>
    </r>
  </si>
  <si>
    <t>Steelhead - Upper Columbia River DPS (endangered)</t>
  </si>
  <si>
    <t>1) Direct spending can be tracked back to a work element where the contractor explicitly identified the "Primary Focal Species" benefiting from the work.</t>
  </si>
  <si>
    <t>3) Negative values for Capital Spending are a result of over-accruing costs in the previous year.</t>
  </si>
  <si>
    <r>
      <t>Coordination (BPA Overhead)</t>
    </r>
    <r>
      <rPr>
        <vertAlign val="superscript"/>
        <sz val="12"/>
        <rFont val="Century Gothic"/>
        <family val="2"/>
      </rPr>
      <t xml:space="preserve"> 3</t>
    </r>
  </si>
  <si>
    <r>
      <t>2016</t>
    </r>
    <r>
      <rPr>
        <b/>
        <vertAlign val="superscript"/>
        <sz val="12"/>
        <rFont val="Century Gothic"/>
        <family val="2"/>
      </rPr>
      <t xml:space="preserve"> 4</t>
    </r>
  </si>
  <si>
    <t>3) Program Support/Admin includes spending that cannot be traced back to a contract that has at least one work element requiring location; contracts without any work elements at all; program level spending not mapped to a specific project; and BPA Overhead.</t>
  </si>
  <si>
    <t>Copy Contractor and latest FY column from rows above, then manually sort each section largest-to-smallest, sum all the smallest into "other"</t>
  </si>
  <si>
    <t>SUBTITLE:</t>
  </si>
  <si>
    <t>2) Starting in FY2013, land acquisition values may include stewardship costs for long-term operations and maintenance (O&amp;M).</t>
  </si>
  <si>
    <r>
      <t>2016</t>
    </r>
    <r>
      <rPr>
        <b/>
        <vertAlign val="superscript"/>
        <sz val="12"/>
        <rFont val="Century Gothic"/>
        <family val="2"/>
      </rPr>
      <t xml:space="preserve"> 2</t>
    </r>
  </si>
  <si>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</si>
  <si>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</si>
  <si>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3/ "Reimbursable/Direct-Funded Projects" includes the portion of costs BPA pays to or on behalf of other entities that is determined to be for fish and wildlife purposes.</t>
  </si>
  <si>
    <t xml:space="preserve">4/  "Fixed Expenses" include depreciation, amortization and interest on investments on the Corps of Engineers' projects, and amortization and interest on the investments associated with BPA's direct Fish and Wildlife Program.                         
</t>
  </si>
  <si>
    <t>Total fixed costs</t>
  </si>
  <si>
    <t>Total reimburseable costs</t>
  </si>
  <si>
    <t>◄</t>
  </si>
  <si>
    <t>Capital investments</t>
  </si>
  <si>
    <t>Federal credits from U.S. Treasury 4(h)(10)(C)</t>
  </si>
  <si>
    <t>1) Estimated spending is based at the project level.  Therefore if a project is labeled Artificial Production, but also supports Habitat, the expenditures are counted as Artificial Production.</t>
  </si>
  <si>
    <r>
      <t xml:space="preserve">2016 </t>
    </r>
    <r>
      <rPr>
        <b/>
        <vertAlign val="superscript"/>
        <sz val="12"/>
        <rFont val="Century Gothic"/>
        <family val="2"/>
      </rPr>
      <t>2</t>
    </r>
  </si>
  <si>
    <t>Yakama Nation Ceded Lands Lamprey Evaluation and Restoration</t>
  </si>
  <si>
    <t>2008-470-00</t>
  </si>
  <si>
    <t>Willamette Falls Lamprey Escapement Estimate</t>
  </si>
  <si>
    <t>2008-308-00</t>
  </si>
  <si>
    <t>Walla Walla River Basin Monitoring and Evaluation (M&amp;E)</t>
  </si>
  <si>
    <t>2000-039-00</t>
  </si>
  <si>
    <t>Upstream Migration Timing</t>
  </si>
  <si>
    <t>2008-518-00</t>
  </si>
  <si>
    <t>Upper Columbia Spring Chinook and Steelhead Juvenile and Adult Abundance, Productivity and Spatial Structure Monitoring</t>
  </si>
  <si>
    <t>2010-034-00</t>
  </si>
  <si>
    <t>Technical and Analytical Support for ESA Activities/Issues</t>
  </si>
  <si>
    <t>1996-017-00</t>
  </si>
  <si>
    <t>Sturgeon Genetics</t>
  </si>
  <si>
    <t>2008-504-00</t>
  </si>
  <si>
    <t>Studies into Factors Limiting the Abundance of Okanagan and Wenatchee Sockeye Salmon</t>
  </si>
  <si>
    <t>2008-503-00</t>
  </si>
  <si>
    <t>Status and Trend Annual Reporting</t>
  </si>
  <si>
    <t>2009-002-00</t>
  </si>
  <si>
    <t>Statistical Support For Salmon</t>
  </si>
  <si>
    <t>1989-107-00</t>
  </si>
  <si>
    <t>Snake River Chinook and Steelhead Parental Based Tagging</t>
  </si>
  <si>
    <t>2010-031-00</t>
  </si>
  <si>
    <t>Smolt Monitoring by Non-Federal Entities</t>
  </si>
  <si>
    <t>1987-127-00</t>
  </si>
  <si>
    <t>Resident Fish Research, Monitoring and Evaluation (RM&amp;E)</t>
  </si>
  <si>
    <t>2008-109-00</t>
  </si>
  <si>
    <t>Research, monitoring, and evaluation of emerging issues and measures to recover the Snake River fall Chinook salmon ESU</t>
  </si>
  <si>
    <t>1991-029-00</t>
  </si>
  <si>
    <t>Project to provided VSP Estimates for Yakima Steelhead MPG</t>
  </si>
  <si>
    <t>2010-030-00</t>
  </si>
  <si>
    <t>Pit Tag purchase for RFP</t>
  </si>
  <si>
    <t>2011-015-00</t>
  </si>
  <si>
    <t xml:space="preserve">Pacific Lamprey Research and Restoration Project </t>
  </si>
  <si>
    <t>1994-026-00</t>
  </si>
  <si>
    <t>Okanogan Basin Monitoring &amp; Evaluation Program (OBMEP)</t>
  </si>
  <si>
    <t>2003-022-00</t>
  </si>
  <si>
    <t>Ocean Survival Of Salmonids</t>
  </si>
  <si>
    <t>1998-014-00</t>
  </si>
  <si>
    <t>Natural Production Management and Monitoring</t>
  </si>
  <si>
    <t>2008-311-00</t>
  </si>
  <si>
    <t>Modeling and Evaluation Statistical Support for Life-Cycle Studies</t>
  </si>
  <si>
    <t>1991-051-00</t>
  </si>
  <si>
    <t>Lower Columbia Coded Wire Tag (CWT) Recovery Project</t>
  </si>
  <si>
    <t>2010-036-00</t>
  </si>
  <si>
    <t>Lake Roosevelt Burbot Population Assessment</t>
  </si>
  <si>
    <t>2008-115-00</t>
  </si>
  <si>
    <t>Investigation of Relative Reproductive Success of Stray Hatchery &amp; Wild Steelhead &amp; Influence of Hatchery Strays on Natural Productivity in Deschutes</t>
  </si>
  <si>
    <t>2007-299-00</t>
  </si>
  <si>
    <t>Integrated Status and Effectiveness Monitoring Program (ISEMP)</t>
  </si>
  <si>
    <t>2003-017-00</t>
  </si>
  <si>
    <t>Influence of Environment and Landscape on Salmonid Genetics</t>
  </si>
  <si>
    <t>2009-005-00</t>
  </si>
  <si>
    <t>Imnaha River Steelhead Status Monitoring</t>
  </si>
  <si>
    <t>2010-032-00</t>
  </si>
  <si>
    <t>Genetic Assessment of Columbia River Stocks</t>
  </si>
  <si>
    <t>2008-907-00</t>
  </si>
  <si>
    <t>Fish Passage Center</t>
  </si>
  <si>
    <t>1994-033-00</t>
  </si>
  <si>
    <t>Evaluate Stream Habitat- Nez Perce Tribe Watershed Monitoring and Evaluation (M&amp;E) Plan</t>
  </si>
  <si>
    <t>2002-068-00</t>
  </si>
  <si>
    <t>Evaluate Status &amp; Limiting Factors of Pacific Lamprey in the lower Deschutes River, Fifteenmile Creek and Hood River Subbasins</t>
  </si>
  <si>
    <t>2011-014-00</t>
  </si>
  <si>
    <t>Develop a Master Plan for a Rearing Facility to Enhance Selected Populations of White Sturgeon in the Columbia River Basin</t>
  </si>
  <si>
    <t>2007-155-00</t>
  </si>
  <si>
    <t>Deschutes River Sockeye Development</t>
  </si>
  <si>
    <t>2008-307-00</t>
  </si>
  <si>
    <t>Deschutes River Fall Chinook Research and Monitoring</t>
  </si>
  <si>
    <t>2008-306-00</t>
  </si>
  <si>
    <t>Cultural Resource Work</t>
  </si>
  <si>
    <t>2008-002-00</t>
  </si>
  <si>
    <t>Comparative Survival Study (CSS)</t>
  </si>
  <si>
    <t>1996-020-00</t>
  </si>
  <si>
    <t>Columbia Basin Pit-Tag Information</t>
  </si>
  <si>
    <t>1990-080-00</t>
  </si>
  <si>
    <t>Coded Wire-Tag Pacific States Marine Fisheries Commission (PSMFC)</t>
  </si>
  <si>
    <t>1982-013-01</t>
  </si>
  <si>
    <t>Coded Wire Tag US Fish and Wildlife Service (USFWS)</t>
  </si>
  <si>
    <t>1982-013-03</t>
  </si>
  <si>
    <t>Climate Change Impacts</t>
  </si>
  <si>
    <t>2009-008-00</t>
  </si>
  <si>
    <t>Chinook and Steelhead Genotyping for Genetic Stock Identification (GSI) at Lower Granite Dam</t>
  </si>
  <si>
    <t>2010-026-00</t>
  </si>
  <si>
    <t>Bull Trout Status and Abundance on Warm Springs Reservation</t>
  </si>
  <si>
    <t>2007-157-00</t>
  </si>
  <si>
    <t>BPA Project Action Effectiveness Monitoring (AEM) Programmatic</t>
  </si>
  <si>
    <t>2016-001-00</t>
  </si>
  <si>
    <t>Assess Reintroduction of Steelhead in Butte, McKay &amp; Willow Creeks</t>
  </si>
  <si>
    <t>2008-203-00</t>
  </si>
  <si>
    <t>Assess Reintroduction of Anadromous Fish in Burnt, Powder &amp; Malheur Rivers</t>
  </si>
  <si>
    <t>2008-204-00</t>
  </si>
  <si>
    <t>Analyze Persistence and Dynamics in Chinook Redds</t>
  </si>
  <si>
    <t>1999-020-00</t>
  </si>
  <si>
    <t>AMIP Salmonid Life Cycle Model Support</t>
  </si>
  <si>
    <t>2012-001-00</t>
  </si>
  <si>
    <t>Abundance, Productivity and Life History of Fifteenmile Creek Winter Steelhead</t>
  </si>
  <si>
    <t>2010-035-00</t>
  </si>
  <si>
    <t>Expenditures</t>
  </si>
  <si>
    <t>Project Title</t>
  </si>
  <si>
    <t>Project Number</t>
  </si>
  <si>
    <t>Programmatic Category Projects Only</t>
  </si>
  <si>
    <t>Direct Program Expenditures for Research, Monitoring and Evaluation (RM&amp;E), FY2017</t>
  </si>
  <si>
    <t>(These projects comprise the current year totals on the 7_RME [Figure 7] sheet)</t>
  </si>
  <si>
    <t>Note: Create legend for this chart in InDesign so that the top-to-bottom order matches (Excel reverses it)</t>
  </si>
  <si>
    <t>Power Purchases (row 27)</t>
  </si>
  <si>
    <t>Forgone Revenues (row 26)</t>
  </si>
  <si>
    <t>Reimbursable Expenses (row 17</t>
  </si>
  <si>
    <t>Direct Program (row 9)</t>
  </si>
  <si>
    <t>Fixed Expenses (row 23)</t>
  </si>
  <si>
    <t>Direct Program chart</t>
  </si>
  <si>
    <t>Subtitle (change this to point to current FY)</t>
  </si>
  <si>
    <t>axis titles with</t>
  </si>
  <si>
    <t>current FY data</t>
  </si>
  <si>
    <t>◄ also edit 2nd</t>
  </si>
  <si>
    <t>BPA Power Business Line Costs, FY 2018</t>
  </si>
  <si>
    <t>◄ check this %age each year</t>
  </si>
  <si>
    <t>◄ update FY each year</t>
  </si>
  <si>
    <t>◄ these 7 rows come from John's/BPA's sheet</t>
  </si>
  <si>
    <t>◄ sum two rows (amoritzation expense+depreciation expense)</t>
  </si>
  <si>
    <t>◄ line 33 from John/BPA</t>
  </si>
  <si>
    <t>◄ line 7 from John/BPA</t>
  </si>
  <si>
    <t>This information has been made publicly available by BPA on 1/18/2019.  The figures shown are consistent with audited actuals that contain Agency approved financial information, except for forgone revenues and power purchases which are estimates and do not contain Agency approved financial information</t>
  </si>
  <si>
    <t>▼ Update these from John/BPA notes each year</t>
  </si>
  <si>
    <t>Non-cumulative (paste current FY values from John/BPA sheet here)</t>
  </si>
  <si>
    <t>(graph uses these formulas)</t>
  </si>
  <si>
    <t>▼ Paste values here</t>
  </si>
  <si>
    <t>3) FY2017 revised as of February 12, 2019.</t>
  </si>
  <si>
    <t>▼ Paste notes here (and use in InDesign)</t>
  </si>
  <si>
    <t>▼ Use this in InDesign footnote, total capital expense for current FY</t>
  </si>
  <si>
    <t>◄ 1) Insert current year *before* last column, 2) copy values from last column to inserted column, 3) update FY in last column to point to current FY</t>
  </si>
  <si>
    <t>3) FY2017 reviewed as of February 12, 2019; no changes.</t>
  </si>
  <si>
    <t>Table 4: Direct Program Expenditures on ESA Listed Fish, 2018</t>
  </si>
  <si>
    <t>Chub, Oregon (endangered) 4</t>
  </si>
  <si>
    <t>4) Oregon Chub has been delisted.</t>
  </si>
  <si>
    <t>1)  BiOp tracking at fund level began in 2009; Accords began in 2008.</t>
  </si>
  <si>
    <t>3)  FY2017 revised as of February 12, 2019.</t>
  </si>
  <si>
    <t>Table/Figure 12: Cumulative Costs 1978-2018, by Major Spending Area</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</si>
  <si>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</si>
  <si>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G&amp;A</t>
  </si>
  <si>
    <t>CRSO EIS</t>
  </si>
  <si>
    <t>4) FY17 revised as of February 12, 2019.</t>
  </si>
  <si>
    <t>Program Support/Admin/Overhead/Other</t>
  </si>
  <si>
    <t>Coeur D'Alene Tribe</t>
  </si>
  <si>
    <t>Kalispel Tribe</t>
  </si>
  <si>
    <t>Kootenai Tribe</t>
  </si>
  <si>
    <t>3) Listed above is the project proponent for which acquisition was acquired</t>
  </si>
  <si>
    <t>OREGON DEPARTMENT OF ENVIRONMENTAL QUALITY</t>
  </si>
  <si>
    <t>BPA G&amp;A</t>
  </si>
  <si>
    <t>2)  Starting in FY13, land acquisition values may include stewardship costs for long-term operations and maintenance (O&amp;M).</t>
  </si>
  <si>
    <t>3) G&amp;A / CRSO EIS note (will send separately)</t>
  </si>
  <si>
    <t>Federal: Pacific NW National Laboratory</t>
  </si>
  <si>
    <t>G&amp;A + CRSO EIS</t>
  </si>
  <si>
    <t>y</t>
  </si>
  <si>
    <t>match?</t>
  </si>
  <si>
    <t>(For subtitle calculations only:)</t>
  </si>
  <si>
    <t>Total Capital Investments (row 7)</t>
  </si>
  <si>
    <t>Total Credits (row 33)</t>
  </si>
  <si>
    <r>
      <t xml:space="preserve">PROGRAM SUPPORT/ADMIN/ OVERHEAD </t>
    </r>
    <r>
      <rPr>
        <vertAlign val="superscript"/>
        <sz val="11"/>
        <rFont val="Century Gothic"/>
        <family val="2"/>
      </rPr>
      <t>3</t>
    </r>
  </si>
  <si>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</si>
  <si>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</si>
  <si>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</si>
  <si>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</si>
  <si>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</si>
  <si>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</si>
  <si>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</si>
  <si>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</si>
  <si>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</si>
  <si>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</si>
  <si>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</si>
  <si>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</si>
  <si>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</si>
  <si>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</si>
  <si>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</si>
  <si>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</si>
  <si>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</si>
  <si>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</si>
  <si>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</si>
  <si>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Burnt</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</si>
  <si>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</si>
  <si>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</si>
  <si>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</si>
  <si>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</si>
  <si>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</si>
  <si>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</si>
  <si>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</si>
  <si>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</si>
  <si>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</si>
  <si>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</si>
  <si>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</si>
  <si>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</si>
  <si>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</si>
  <si>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</si>
  <si>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</si>
  <si>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</si>
  <si>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</si>
  <si>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</si>
  <si>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</si>
  <si>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</si>
  <si>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</si>
  <si>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</si>
  <si>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</si>
  <si>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</si>
  <si>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</si>
  <si>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</si>
  <si>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</si>
  <si>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</si>
  <si>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</si>
  <si>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</si>
  <si>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</si>
  <si>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</si>
  <si>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</si>
  <si>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</si>
  <si>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</si>
  <si>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</si>
  <si>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</si>
  <si>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</si>
  <si>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</si>
  <si>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</si>
  <si>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</si>
  <si>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</si>
  <si>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</si>
  <si>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</si>
  <si>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</si>
  <si>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</si>
  <si>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</si>
  <si>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</si>
  <si>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</si>
  <si>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</si>
  <si>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SUBBASIN</t>
  </si>
  <si>
    <t>PROVINCE</t>
  </si>
  <si>
    <t>4) G&amp;A / CRSO EIS note: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</si>
  <si>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5) G&amp;A / CRSO EIS note: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</si>
  <si>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All graphs and tables are in support of the 2019 Columbia River Basin F&amp;W Program Costs Report (report 2019-5)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</si>
</sst>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0.0_);\(0.0\)"/>
    <numFmt numFmtId="173" formatCode="0.000"/>
    <numFmt numFmtId="174" formatCode="_(* #,##0_);_(* \(#,##0\);_(* &quot;-&quot;??_);_(@_)"/>
  </numFmts>
  <fonts count="49">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1"/>
      <name val="Century Gothic"/>
      <family val="2"/>
    </font>
    <font>
      <b/>
      <sz val="14"/>
      <name val="Century Gothic"/>
      <family val="2"/>
    </font>
    <font>
      <sz val="10"/>
      <name val="Arial"/>
      <family val="2"/>
    </font>
    <font>
      <sz val="10"/>
      <name val="Century Gothic"/>
      <family val="2"/>
    </font>
    <font>
      <b/>
      <sz val="10"/>
      <name val="Century Gothic"/>
      <family val="2"/>
    </font>
    <font>
      <b/>
      <sz val="11"/>
      <color theme="0"/>
      <name val="Century Gothic"/>
      <family val="2"/>
    </font>
    <font>
      <sz val="11"/>
      <color theme="1"/>
      <name val="Arial"/>
      <family val="2"/>
    </font>
    <font>
      <sz val="10"/>
      <name val="Arial"/>
    </font>
    <font>
      <sz val="9"/>
      <color indexed="81"/>
      <name val="Tahoma"/>
      <family val="2"/>
    </font>
    <font>
      <b/>
      <sz val="9"/>
      <color indexed="81"/>
      <name val="Tahoma"/>
      <family val="2"/>
    </font>
    <font>
      <b/>
      <sz val="10"/>
      <color rgb="FFC00000"/>
      <name val="Century Gothic"/>
      <family val="2"/>
    </font>
    <font>
      <sz val="11"/>
      <color rgb="FFC00000"/>
      <name val="Calibri"/>
      <family val="2"/>
      <scheme val="minor"/>
    </font>
    <font>
      <b/>
      <sz val="11"/>
      <color rgb="FFC00000"/>
      <name val="Century Gothic"/>
      <family val="2"/>
    </font>
    <font>
      <b/>
      <sz val="11"/>
      <color rgb="FFC00000"/>
      <name val="Calibri"/>
      <family val="2"/>
      <scheme val="minor"/>
    </font>
    <font>
      <b/>
      <sz val="11"/>
      <color rgb="FFFF0000"/>
      <name val="Calibri"/>
      <family val="2"/>
      <scheme val="minor"/>
    </font>
    <font>
      <b/>
      <sz val="12"/>
      <color rgb="FFFF0000"/>
      <name val="Calibri"/>
      <family val="2"/>
      <scheme val="minor"/>
    </font>
    <font>
      <b/>
      <sz val="11"/>
      <color rgb="FFFF0000"/>
      <name val="Century Gothic"/>
      <family val="2"/>
    </font>
    <font>
      <sz val="9"/>
      <color indexed="81"/>
      <name val="Tahoma"/>
      <charset val="1"/>
    </font>
    <font>
      <b/>
      <sz val="9"/>
      <color indexed="81"/>
      <name val="Tahoma"/>
      <charset val="1"/>
    </font>
    <font>
      <b/>
      <sz val="11"/>
      <color theme="1"/>
      <name val="Calibri"/>
      <family val="2"/>
      <scheme val="minor"/>
    </font>
  </fonts>
  <fills count="13">
    <fill>
      <patternFill patternType="none"/>
    </fill>
    <fill>
      <patternFill patternType="gray125"/>
    </fill>
    <fill>
      <patternFill patternType="solid">
        <fgColor rgb="FFFFFFCC"/>
      </patternFill>
    </fill>
    <fill>
      <patternFill patternType="solid">
        <fgColor theme="6"/>
        <bgColor indexed="64"/>
      </patternFill>
    </fill>
    <fill>
      <patternFill patternType="solid">
        <fgColor theme="6" tint="0.39997558519241921"/>
        <bgColor indexed="64"/>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theme="0" tint="-0.24994659260841701"/>
      </top>
      <bottom style="double">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diagonal/>
    </border>
  </borders>
  <cellStyleXfs count="19">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31" fillId="0" borderId="0"/>
    <xf numFmtId="0" fontId="36" fillId="0" borderId="0"/>
  </cellStyleXfs>
  <cellXfs count="303">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7" fillId="3" borderId="0" xfId="4" applyFont="1" applyFill="1" applyBorder="1" applyAlignment="1">
      <alignment horizontal="left" wrapText="1"/>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4" fillId="3" borderId="0" xfId="8" applyFont="1" applyFill="1" applyAlignment="1">
      <alignment horizontal="center" wrapText="1"/>
    </xf>
    <xf numFmtId="0" fontId="16" fillId="3" borderId="0" xfId="8" applyFont="1" applyFill="1" applyAlignment="1">
      <alignment horizontal="center" wrapText="1"/>
    </xf>
    <xf numFmtId="0" fontId="14" fillId="3" borderId="0" xfId="8" applyFont="1" applyFill="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4"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0" fontId="2" fillId="0" borderId="0" xfId="2"/>
    <xf numFmtId="0" fontId="7" fillId="3" borderId="0" xfId="0" applyFont="1" applyFill="1" applyBorder="1" applyAlignment="1" applyProtection="1">
      <alignment horizontal="center"/>
      <protection locked="0"/>
    </xf>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applyAlignment="1">
      <alignment horizontal="left"/>
    </xf>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4" fillId="3" borderId="0" xfId="0" applyFont="1" applyFill="1" applyBorder="1"/>
    <xf numFmtId="0" fontId="4" fillId="3" borderId="0" xfId="0" applyFont="1" applyFill="1" applyBorder="1" applyAlignment="1">
      <alignment horizontal="center"/>
    </xf>
    <xf numFmtId="0" fontId="4" fillId="0" borderId="0" xfId="0" applyFont="1" applyBorder="1"/>
    <xf numFmtId="164" fontId="7" fillId="0" borderId="0" xfId="6" applyNumberFormat="1" applyFont="1" applyBorder="1"/>
    <xf numFmtId="0" fontId="13" fillId="0" borderId="0" xfId="0" applyFont="1" applyFill="1"/>
    <xf numFmtId="6" fontId="13" fillId="0" borderId="0" xfId="0" applyNumberFormat="1" applyFont="1" applyAlignment="1"/>
    <xf numFmtId="6" fontId="14" fillId="0" borderId="0" xfId="0" applyNumberFormat="1" applyFont="1" applyAlignment="1"/>
    <xf numFmtId="6" fontId="14" fillId="0" borderId="0" xfId="0" applyNumberFormat="1" applyFont="1" applyFill="1" applyAlignment="1"/>
    <xf numFmtId="6" fontId="13" fillId="0" borderId="0" xfId="0" applyNumberFormat="1" applyFont="1" applyFill="1" applyAlignment="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167" fontId="4" fillId="0" borderId="0" xfId="5" applyNumberFormat="1" applyFont="1" applyFill="1" applyBorder="1"/>
    <xf numFmtId="0" fontId="4" fillId="0" borderId="0" xfId="2" applyFont="1" applyFill="1" applyBorder="1" applyAlignment="1">
      <alignment horizontal="left" indent="1"/>
    </xf>
    <xf numFmtId="0" fontId="23" fillId="0" borderId="0" xfId="2" applyFont="1"/>
    <xf numFmtId="0" fontId="7" fillId="3" borderId="0" xfId="2" applyFont="1" applyFill="1" applyBorder="1"/>
    <xf numFmtId="168" fontId="4" fillId="0" borderId="0" xfId="2" applyNumberFormat="1" applyFont="1"/>
    <xf numFmtId="164" fontId="19" fillId="0" borderId="2" xfId="0" applyNumberFormat="1" applyFont="1" applyBorder="1" applyAlignment="1"/>
    <xf numFmtId="164" fontId="24"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6"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3" borderId="0" xfId="3" applyFont="1" applyFill="1" applyBorder="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18" fillId="0" borderId="0" xfId="3" applyFont="1" applyFill="1" applyBorder="1" applyAlignment="1">
      <alignment horizontal="left" vertical="top" wrapText="1"/>
    </xf>
    <xf numFmtId="0" fontId="27" fillId="0" borderId="0" xfId="8" applyFont="1"/>
    <xf numFmtId="164" fontId="28" fillId="0" borderId="0" xfId="8" applyNumberFormat="1" applyFont="1" applyBorder="1"/>
    <xf numFmtId="0" fontId="28" fillId="0" borderId="0" xfId="8" applyFont="1"/>
    <xf numFmtId="164" fontId="28" fillId="0" borderId="6" xfId="8" applyNumberFormat="1" applyFont="1" applyBorder="1"/>
    <xf numFmtId="0" fontId="28" fillId="0" borderId="0" xfId="8" applyFont="1" applyAlignment="1"/>
    <xf numFmtId="0" fontId="7" fillId="3" borderId="0" xfId="12" applyFont="1" applyFill="1" applyBorder="1" applyAlignment="1">
      <alignment horizontal="center"/>
    </xf>
    <xf numFmtId="0" fontId="7" fillId="3" borderId="0" xfId="12" applyFont="1" applyFill="1" applyBorder="1"/>
    <xf numFmtId="0" fontId="27" fillId="0" borderId="0" xfId="8" applyFont="1"/>
    <xf numFmtId="165" fontId="12" fillId="0" borderId="0" xfId="1" applyNumberFormat="1" applyFont="1"/>
    <xf numFmtId="0" fontId="19" fillId="4"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8" fillId="0" borderId="0" xfId="13" applyFont="1" applyBorder="1"/>
    <xf numFmtId="164" fontId="18" fillId="0" borderId="0" xfId="13" applyNumberFormat="1" applyFont="1" applyFill="1" applyBorder="1"/>
    <xf numFmtId="0" fontId="18" fillId="0" borderId="0" xfId="13" applyFont="1" applyFill="1" applyBorder="1" applyAlignment="1">
      <alignment wrapText="1"/>
    </xf>
    <xf numFmtId="0" fontId="19" fillId="0" borderId="0" xfId="13" applyFont="1" applyBorder="1" applyAlignment="1">
      <alignment wrapText="1"/>
    </xf>
    <xf numFmtId="164" fontId="19" fillId="0" borderId="2" xfId="13" applyNumberFormat="1" applyFont="1" applyFill="1" applyBorder="1"/>
    <xf numFmtId="0" fontId="19" fillId="0" borderId="5" xfId="13" applyFont="1" applyBorder="1" applyAlignment="1">
      <alignment wrapText="1"/>
    </xf>
    <xf numFmtId="164" fontId="18" fillId="0" borderId="0" xfId="5" applyNumberFormat="1" applyFont="1" applyFill="1" applyBorder="1"/>
    <xf numFmtId="0" fontId="18" fillId="0" borderId="2" xfId="13" applyFont="1" applyFill="1" applyBorder="1" applyAlignment="1">
      <alignment wrapText="1"/>
    </xf>
    <xf numFmtId="164" fontId="18" fillId="0" borderId="0" xfId="13" applyNumberFormat="1" applyFont="1" applyFill="1" applyBorder="1" applyAlignment="1">
      <alignment wrapText="1"/>
    </xf>
    <xf numFmtId="0" fontId="19" fillId="0" borderId="0" xfId="13" applyFont="1" applyFill="1" applyBorder="1" applyAlignment="1">
      <alignment wrapText="1"/>
    </xf>
    <xf numFmtId="0" fontId="18" fillId="0" borderId="0" xfId="13" applyFont="1" applyBorder="1" applyAlignment="1">
      <alignment horizontal="center"/>
    </xf>
    <xf numFmtId="0" fontId="19" fillId="4" borderId="0" xfId="13" applyNumberFormat="1" applyFont="1" applyFill="1" applyBorder="1" applyAlignment="1">
      <alignment horizontal="center"/>
    </xf>
    <xf numFmtId="0" fontId="19" fillId="4" borderId="0" xfId="13" applyFont="1" applyFill="1" applyBorder="1" applyAlignment="1">
      <alignment horizontal="center" wrapText="1"/>
    </xf>
    <xf numFmtId="9" fontId="18" fillId="0" borderId="0" xfId="1" applyFont="1" applyFill="1" applyBorder="1"/>
    <xf numFmtId="0" fontId="19" fillId="4" borderId="0" xfId="0" applyFont="1" applyFill="1" applyBorder="1" applyAlignment="1">
      <alignment wrapText="1"/>
    </xf>
    <xf numFmtId="0" fontId="19" fillId="4" borderId="0" xfId="0" applyFont="1" applyFill="1" applyBorder="1" applyAlignment="1">
      <alignment horizontal="center"/>
    </xf>
    <xf numFmtId="0" fontId="18" fillId="0" borderId="0" xfId="0" applyFont="1" applyBorder="1" applyAlignment="1">
      <alignment wrapText="1"/>
    </xf>
    <xf numFmtId="0" fontId="19" fillId="0" borderId="1" xfId="0" applyFont="1" applyBorder="1" applyAlignment="1">
      <alignment wrapText="1"/>
    </xf>
    <xf numFmtId="0" fontId="30" fillId="0" borderId="0" xfId="0" applyFont="1" applyBorder="1" applyAlignment="1"/>
    <xf numFmtId="0" fontId="19" fillId="0" borderId="0" xfId="0" applyFont="1" applyFill="1" applyBorder="1" applyAlignment="1">
      <alignment wrapText="1"/>
    </xf>
    <xf numFmtId="0" fontId="27" fillId="0" borderId="0" xfId="8" applyFont="1"/>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6" fontId="19" fillId="0" borderId="7" xfId="2" applyNumberFormat="1" applyFont="1" applyBorder="1" applyAlignment="1"/>
    <xf numFmtId="0" fontId="18" fillId="0" borderId="0" xfId="2" applyFont="1" applyFill="1" applyAlignment="1">
      <alignment horizontal="left"/>
    </xf>
    <xf numFmtId="0" fontId="18" fillId="0" borderId="0" xfId="2" applyFont="1" applyFill="1" applyAlignment="1">
      <alignment horizontal="left" wrapText="1"/>
    </xf>
    <xf numFmtId="0" fontId="19" fillId="0" borderId="0" xfId="0" applyFont="1" applyFill="1" applyBorder="1"/>
    <xf numFmtId="0" fontId="7" fillId="0" borderId="0" xfId="2" applyFont="1"/>
    <xf numFmtId="0" fontId="32" fillId="0" borderId="0" xfId="2" applyFont="1"/>
    <xf numFmtId="171" fontId="32" fillId="0" borderId="0" xfId="14" applyNumberFormat="1" applyFont="1"/>
    <xf numFmtId="0" fontId="33" fillId="0" borderId="0" xfId="2" applyFont="1"/>
    <xf numFmtId="0" fontId="33" fillId="0" borderId="0" xfId="2" applyFont="1" applyAlignment="1">
      <alignment horizontal="right"/>
    </xf>
    <xf numFmtId="0" fontId="27" fillId="0" borderId="0" xfId="8" applyFont="1"/>
    <xf numFmtId="43" fontId="32" fillId="0" borderId="0" xfId="2" applyNumberFormat="1" applyFont="1"/>
    <xf numFmtId="171" fontId="32" fillId="0" borderId="0" xfId="2" applyNumberFormat="1"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0" fontId="7" fillId="3" borderId="0" xfId="0" applyFont="1" applyFill="1" applyBorder="1" applyAlignment="1">
      <alignment horizontal="center"/>
    </xf>
    <xf numFmtId="164" fontId="4" fillId="0" borderId="0" xfId="0" applyNumberFormat="1" applyFont="1" applyFill="1" applyBorder="1"/>
    <xf numFmtId="6" fontId="13" fillId="0" borderId="5" xfId="0" applyNumberFormat="1" applyFont="1" applyBorder="1" applyAlignment="1"/>
    <xf numFmtId="6" fontId="14" fillId="0" borderId="5" xfId="0" applyNumberFormat="1" applyFont="1" applyBorder="1" applyAlignment="1"/>
    <xf numFmtId="6" fontId="4" fillId="0" borderId="0" xfId="0" applyNumberFormat="1" applyFont="1" applyFill="1"/>
    <xf numFmtId="0" fontId="7" fillId="3" borderId="0" xfId="3" applyFont="1" applyFill="1" applyBorder="1" applyAlignment="1">
      <alignment horizontal="center"/>
    </xf>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0" fontId="18" fillId="0" borderId="0" xfId="2" applyFont="1" applyAlignment="1">
      <alignment horizontal="left"/>
    </xf>
    <xf numFmtId="6" fontId="28" fillId="0" borderId="0" xfId="0" applyNumberFormat="1" applyFont="1" applyAlignment="1"/>
    <xf numFmtId="164" fontId="28" fillId="0" borderId="0" xfId="0" applyNumberFormat="1" applyFont="1" applyAlignment="1"/>
    <xf numFmtId="6" fontId="28" fillId="0" borderId="0" xfId="0" applyNumberFormat="1" applyFont="1"/>
    <xf numFmtId="164" fontId="28" fillId="0" borderId="0" xfId="0" applyNumberFormat="1" applyFont="1"/>
    <xf numFmtId="0" fontId="7" fillId="0" borderId="0" xfId="0" applyFont="1" applyBorder="1" applyAlignment="1">
      <alignment vertical="top"/>
    </xf>
    <xf numFmtId="170" fontId="4" fillId="0" borderId="0" xfId="2" applyNumberFormat="1" applyFont="1"/>
    <xf numFmtId="0" fontId="13"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7" fillId="0" borderId="0" xfId="2" applyFont="1" applyAlignment="1">
      <alignment vertical="top"/>
    </xf>
    <xf numFmtId="6" fontId="18" fillId="0" borderId="0" xfId="0" applyNumberFormat="1" applyFont="1" applyFill="1" applyAlignment="1"/>
    <xf numFmtId="164" fontId="28" fillId="0" borderId="0" xfId="0" applyNumberFormat="1" applyFont="1" applyFill="1" applyAlignment="1"/>
    <xf numFmtId="164" fontId="28" fillId="0" borderId="0" xfId="0" applyNumberFormat="1" applyFont="1" applyFill="1"/>
    <xf numFmtId="0" fontId="18" fillId="0" borderId="0" xfId="13" applyFont="1" applyFill="1" applyBorder="1" applyAlignment="1"/>
    <xf numFmtId="171" fontId="34" fillId="5" borderId="0" xfId="14" applyNumberFormat="1" applyFont="1" applyFill="1"/>
    <xf numFmtId="173" fontId="18" fillId="0" borderId="0" xfId="0" applyNumberFormat="1" applyFont="1" applyFill="1" applyBorder="1" applyAlignment="1">
      <alignment horizontal="center" wrapText="1"/>
    </xf>
    <xf numFmtId="172" fontId="18" fillId="0" borderId="0" xfId="0" applyNumberFormat="1" applyFont="1" applyBorder="1" applyAlignment="1"/>
    <xf numFmtId="173" fontId="18" fillId="0" borderId="0" xfId="0" applyNumberFormat="1" applyFont="1" applyAlignment="1">
      <alignment horizontal="center"/>
    </xf>
    <xf numFmtId="172" fontId="18" fillId="0" borderId="0" xfId="0" applyNumberFormat="1" applyFont="1" applyFill="1" applyAlignment="1">
      <alignment wrapText="1"/>
    </xf>
    <xf numFmtId="171" fontId="34" fillId="6" borderId="0" xfId="14" applyNumberFormat="1" applyFont="1" applyFill="1"/>
    <xf numFmtId="171" fontId="34" fillId="9" borderId="0" xfId="14" applyNumberFormat="1" applyFont="1" applyFill="1"/>
    <xf numFmtId="171" fontId="34" fillId="10" borderId="0" xfId="14" applyNumberFormat="1" applyFont="1" applyFill="1"/>
    <xf numFmtId="171" fontId="34" fillId="11" borderId="0" xfId="14" applyNumberFormat="1" applyFont="1" applyFill="1"/>
    <xf numFmtId="0" fontId="4" fillId="0" borderId="0" xfId="0" applyFont="1" applyBorder="1"/>
    <xf numFmtId="174" fontId="32" fillId="0" borderId="0" xfId="16" applyNumberFormat="1" applyFont="1"/>
    <xf numFmtId="0" fontId="4" fillId="0" borderId="0" xfId="0" applyFont="1" applyBorder="1"/>
    <xf numFmtId="0" fontId="4" fillId="0" borderId="0" xfId="0" applyFont="1" applyBorder="1"/>
    <xf numFmtId="0" fontId="18" fillId="0" borderId="0" xfId="13" applyFont="1" applyBorder="1" applyAlignment="1">
      <alignment horizontal="left" vertical="top" wrapText="1"/>
    </xf>
    <xf numFmtId="6" fontId="18" fillId="0" borderId="0" xfId="0" applyNumberFormat="1" applyFont="1" applyAlignment="1"/>
    <xf numFmtId="0" fontId="18" fillId="0" borderId="0" xfId="0" applyFont="1" applyFill="1" applyAlignment="1">
      <alignment horizontal="left"/>
    </xf>
    <xf numFmtId="6" fontId="19" fillId="0" borderId="7" xfId="0" applyNumberFormat="1" applyFont="1" applyBorder="1" applyAlignment="1"/>
    <xf numFmtId="0" fontId="18" fillId="0" borderId="0" xfId="0" applyFont="1" applyAlignment="1"/>
    <xf numFmtId="0" fontId="36" fillId="0" borderId="0" xfId="18"/>
    <xf numFmtId="0" fontId="36" fillId="0" borderId="0" xfId="18" applyAlignment="1">
      <alignment wrapText="1"/>
    </xf>
    <xf numFmtId="164" fontId="7" fillId="0" borderId="8" xfId="18" applyNumberFormat="1" applyFont="1" applyBorder="1"/>
    <xf numFmtId="0" fontId="7" fillId="0" borderId="0" xfId="18" applyFont="1" applyAlignment="1">
      <alignment horizontal="right" wrapText="1" indent="1"/>
    </xf>
    <xf numFmtId="0" fontId="18" fillId="0" borderId="0" xfId="18" applyFont="1"/>
    <xf numFmtId="164" fontId="18" fillId="0" borderId="9" xfId="18" applyNumberFormat="1" applyFont="1" applyBorder="1"/>
    <xf numFmtId="0" fontId="18" fillId="0" borderId="9" xfId="18" applyFont="1" applyBorder="1" applyAlignment="1">
      <alignment wrapText="1"/>
    </xf>
    <xf numFmtId="0" fontId="18" fillId="0" borderId="9" xfId="18" applyFont="1" applyBorder="1"/>
    <xf numFmtId="0" fontId="19" fillId="0" borderId="9" xfId="18" applyFont="1" applyBorder="1" applyAlignment="1">
      <alignment horizontal="right"/>
    </xf>
    <xf numFmtId="0" fontId="19" fillId="0" borderId="9" xfId="18" applyFont="1" applyBorder="1" applyAlignment="1">
      <alignment wrapText="1"/>
    </xf>
    <xf numFmtId="0" fontId="19" fillId="0" borderId="9" xfId="18" applyFont="1" applyBorder="1"/>
    <xf numFmtId="0" fontId="7" fillId="0" borderId="0" xfId="18" applyFont="1" applyAlignment="1">
      <alignment horizontal="left" vertical="top" wrapText="1"/>
    </xf>
    <xf numFmtId="0" fontId="4" fillId="0" borderId="0" xfId="18" applyFont="1" applyAlignment="1">
      <alignment horizontal="left" vertical="top"/>
    </xf>
    <xf numFmtId="172" fontId="18" fillId="0" borderId="0" xfId="0" applyNumberFormat="1" applyFont="1" applyBorder="1" applyAlignment="1">
      <alignment wrapText="1"/>
    </xf>
    <xf numFmtId="0" fontId="18" fillId="0" borderId="0" xfId="0" applyFont="1" applyAlignment="1">
      <alignment wrapText="1"/>
    </xf>
    <xf numFmtId="172" fontId="18" fillId="0" borderId="0" xfId="0" applyNumberFormat="1" applyFont="1" applyAlignment="1">
      <alignment wrapText="1"/>
    </xf>
    <xf numFmtId="0" fontId="7" fillId="0" borderId="0" xfId="4" applyFont="1" applyFill="1" applyBorder="1" applyAlignment="1">
      <alignment horizontal="left" vertical="top"/>
    </xf>
    <xf numFmtId="0" fontId="4" fillId="0" borderId="0" xfId="0" applyFont="1" applyBorder="1" applyAlignment="1">
      <alignment wrapText="1"/>
    </xf>
    <xf numFmtId="0" fontId="4" fillId="0" borderId="0" xfId="0" applyFont="1" applyFill="1" applyAlignment="1">
      <alignment wrapText="1"/>
    </xf>
    <xf numFmtId="0" fontId="18" fillId="0" borderId="0" xfId="0" applyFont="1" applyFill="1" applyBorder="1"/>
    <xf numFmtId="0" fontId="18" fillId="0" borderId="0" xfId="3" applyFont="1" applyFill="1" applyBorder="1" applyAlignment="1"/>
    <xf numFmtId="0" fontId="27" fillId="0" borderId="0" xfId="8" applyFont="1"/>
    <xf numFmtId="0" fontId="18" fillId="0" borderId="0" xfId="13" applyFont="1" applyBorder="1" applyAlignment="1"/>
    <xf numFmtId="0" fontId="19" fillId="0" borderId="1" xfId="13" applyFont="1" applyBorder="1" applyAlignment="1">
      <alignment wrapText="1"/>
    </xf>
    <xf numFmtId="0" fontId="19" fillId="0" borderId="2" xfId="13" applyFont="1" applyBorder="1" applyAlignment="1">
      <alignment wrapText="1"/>
    </xf>
    <xf numFmtId="0" fontId="18" fillId="0" borderId="0" xfId="0" applyFont="1" applyFill="1" applyBorder="1" applyAlignment="1">
      <alignment wrapText="1"/>
    </xf>
    <xf numFmtId="0" fontId="18" fillId="0" borderId="0" xfId="0" applyFont="1" applyFill="1" applyBorder="1" applyAlignment="1"/>
    <xf numFmtId="0" fontId="39" fillId="0" borderId="0" xfId="2" applyFont="1" applyFill="1"/>
    <xf numFmtId="171" fontId="32" fillId="0" borderId="0" xfId="14" applyNumberFormat="1" applyFont="1" applyFill="1"/>
    <xf numFmtId="171" fontId="18" fillId="0" borderId="0" xfId="14" applyNumberFormat="1" applyFont="1"/>
    <xf numFmtId="0" fontId="40" fillId="0" borderId="0" xfId="8" applyFont="1" applyAlignment="1">
      <alignment horizontal="right"/>
    </xf>
    <xf numFmtId="0" fontId="39" fillId="0" borderId="0" xfId="2" applyFont="1"/>
    <xf numFmtId="0" fontId="18" fillId="0" borderId="0" xfId="0" applyFont="1" applyAlignment="1">
      <alignment vertical="top" wrapText="1"/>
    </xf>
    <xf numFmtId="172" fontId="18" fillId="0" borderId="0" xfId="0" applyNumberFormat="1" applyFont="1" applyAlignment="1">
      <alignment vertical="top"/>
    </xf>
    <xf numFmtId="172" fontId="18" fillId="0" borderId="0" xfId="0" applyNumberFormat="1" applyFont="1" applyAlignment="1"/>
    <xf numFmtId="0" fontId="41" fillId="0" borderId="0" xfId="8" applyFont="1"/>
    <xf numFmtId="0" fontId="42" fillId="0" borderId="0" xfId="8" applyFont="1"/>
    <xf numFmtId="0" fontId="42" fillId="0" borderId="0" xfId="2" applyFont="1"/>
    <xf numFmtId="0" fontId="43" fillId="0" borderId="0" xfId="2" applyFont="1"/>
    <xf numFmtId="164" fontId="44" fillId="0" borderId="0" xfId="5" applyNumberFormat="1" applyFont="1" applyBorder="1"/>
    <xf numFmtId="0" fontId="7" fillId="0" borderId="0" xfId="2" applyFont="1" applyFill="1" applyBorder="1" applyAlignment="1">
      <alignment horizontal="left"/>
    </xf>
    <xf numFmtId="0" fontId="45" fillId="0" borderId="0" xfId="2" applyFont="1" applyFill="1" applyBorder="1" applyAlignment="1">
      <alignment horizontal="left"/>
    </xf>
    <xf numFmtId="0" fontId="4" fillId="0" borderId="0" xfId="3" applyFont="1" applyFill="1" applyBorder="1" applyAlignment="1"/>
    <xf numFmtId="0" fontId="3" fillId="0" borderId="0" xfId="2" applyFont="1" applyFill="1" applyAlignment="1"/>
    <xf numFmtId="0" fontId="4" fillId="0" borderId="0" xfId="0" applyFont="1" applyBorder="1" applyAlignment="1"/>
    <xf numFmtId="0" fontId="0" fillId="0" borderId="0" xfId="0" applyAlignment="1"/>
    <xf numFmtId="0" fontId="7" fillId="0" borderId="0" xfId="2" applyFont="1" applyFill="1"/>
    <xf numFmtId="164" fontId="45" fillId="0" borderId="0" xfId="5" applyNumberFormat="1" applyFont="1" applyBorder="1"/>
    <xf numFmtId="164" fontId="19" fillId="0" borderId="0" xfId="5" applyNumberFormat="1" applyFont="1" applyBorder="1" applyAlignment="1">
      <alignment horizontal="left"/>
    </xf>
    <xf numFmtId="0" fontId="13" fillId="0" borderId="0" xfId="0" applyFont="1" applyAlignment="1"/>
    <xf numFmtId="0" fontId="4" fillId="0" borderId="0" xfId="0" applyFont="1" applyAlignment="1"/>
    <xf numFmtId="164" fontId="4" fillId="0" borderId="0" xfId="3" applyNumberFormat="1" applyFont="1" applyFill="1" applyBorder="1"/>
    <xf numFmtId="170" fontId="4" fillId="0" borderId="0" xfId="2" applyNumberFormat="1" applyFont="1" applyBorder="1"/>
    <xf numFmtId="0" fontId="18" fillId="0" borderId="0" xfId="2" applyFont="1" applyAlignment="1"/>
    <xf numFmtId="164" fontId="19" fillId="0" borderId="2" xfId="0" applyNumberFormat="1" applyFont="1" applyFill="1" applyBorder="1" applyAlignment="1"/>
    <xf numFmtId="0" fontId="18" fillId="0" borderId="0" xfId="3" applyFont="1" applyFill="1" applyBorder="1" applyAlignment="1">
      <alignment vertical="top"/>
    </xf>
    <xf numFmtId="0" fontId="18" fillId="0" borderId="0" xfId="3" applyFont="1" applyFill="1" applyBorder="1" applyAlignment="1">
      <alignment vertical="center"/>
    </xf>
    <xf numFmtId="0" fontId="19" fillId="0" borderId="0" xfId="13" applyFont="1" applyFill="1" applyBorder="1" applyAlignment="1">
      <alignment horizontal="right" wrapText="1"/>
    </xf>
    <xf numFmtId="164" fontId="19" fillId="0" borderId="0" xfId="13" applyNumberFormat="1" applyFont="1" applyFill="1" applyBorder="1"/>
    <xf numFmtId="0" fontId="19" fillId="0" borderId="10" xfId="13" applyFont="1" applyBorder="1" applyAlignment="1">
      <alignment wrapText="1"/>
    </xf>
    <xf numFmtId="164" fontId="18" fillId="0" borderId="10" xfId="13" applyNumberFormat="1" applyFont="1" applyFill="1" applyBorder="1"/>
    <xf numFmtId="164" fontId="18" fillId="0" borderId="5" xfId="13" applyNumberFormat="1" applyFont="1" applyFill="1" applyBorder="1"/>
    <xf numFmtId="0" fontId="18" fillId="0" borderId="0" xfId="13" applyFont="1" applyBorder="1" applyAlignment="1">
      <alignment wrapText="1"/>
    </xf>
    <xf numFmtId="0" fontId="41" fillId="0" borderId="0" xfId="13" applyFont="1" applyFill="1" applyBorder="1" applyAlignment="1">
      <alignment wrapText="1"/>
    </xf>
    <xf numFmtId="0" fontId="32" fillId="0" borderId="0" xfId="2" quotePrefix="1" applyFont="1"/>
    <xf numFmtId="0" fontId="18" fillId="0" borderId="0" xfId="3" applyFont="1" applyFill="1" applyBorder="1" applyAlignment="1">
      <alignment horizontal="center"/>
    </xf>
    <xf numFmtId="6" fontId="18" fillId="0" borderId="0" xfId="8" applyNumberFormat="1" applyFont="1" applyFill="1" applyBorder="1" applyAlignment="1">
      <alignment horizontal="center"/>
    </xf>
    <xf numFmtId="6" fontId="19" fillId="0" borderId="2" xfId="8" applyNumberFormat="1" applyFont="1" applyFill="1" applyBorder="1" applyAlignment="1">
      <alignment horizontal="center"/>
    </xf>
    <xf numFmtId="0" fontId="12" fillId="0" borderId="2" xfId="8" applyBorder="1"/>
    <xf numFmtId="0" fontId="19" fillId="0" borderId="2" xfId="3" applyFont="1" applyFill="1" applyBorder="1" applyAlignment="1">
      <alignment horizontal="left"/>
    </xf>
    <xf numFmtId="164" fontId="18" fillId="0" borderId="0" xfId="8" applyNumberFormat="1" applyFont="1" applyFill="1" applyBorder="1" applyAlignment="1"/>
    <xf numFmtId="164" fontId="12" fillId="0" borderId="0" xfId="8" applyNumberFormat="1"/>
    <xf numFmtId="0" fontId="48" fillId="0" borderId="0" xfId="8" applyFont="1"/>
    <xf numFmtId="0" fontId="19" fillId="3" borderId="0" xfId="8" applyNumberFormat="1" applyFont="1" applyFill="1" applyBorder="1" applyAlignment="1">
      <alignment horizontal="center"/>
    </xf>
    <xf numFmtId="164" fontId="19" fillId="3" borderId="0" xfId="8" applyNumberFormat="1" applyFont="1" applyFill="1" applyBorder="1" applyAlignment="1"/>
    <xf numFmtId="0" fontId="17" fillId="12" borderId="0" xfId="8" applyFont="1" applyFill="1" applyAlignment="1">
      <alignment horizontal="center" vertical="center"/>
    </xf>
    <xf numFmtId="0" fontId="13" fillId="0" borderId="0" xfId="8" applyFont="1" applyAlignment="1">
      <alignment horizontal="left" vertical="top" wrapText="1"/>
    </xf>
    <xf numFmtId="0" fontId="12" fillId="7" borderId="0" xfId="8" applyFill="1" applyBorder="1" applyAlignment="1">
      <alignment horizontal="center" vertical="center" wrapText="1"/>
    </xf>
    <xf numFmtId="171" fontId="12" fillId="7" borderId="0" xfId="8" applyNumberFormat="1" applyFill="1" applyAlignment="1">
      <alignment horizontal="center" vertical="center"/>
    </xf>
    <xf numFmtId="0" fontId="12" fillId="8" borderId="0" xfId="8" applyFill="1" applyAlignment="1">
      <alignment horizontal="center" vertical="center" wrapText="1"/>
    </xf>
    <xf numFmtId="0" fontId="35" fillId="7" borderId="0" xfId="8" applyFont="1" applyFill="1" applyBorder="1" applyAlignment="1">
      <alignment horizontal="center" vertical="center"/>
    </xf>
    <xf numFmtId="0" fontId="12" fillId="7" borderId="0" xfId="8" applyFill="1" applyBorder="1" applyAlignment="1">
      <alignment horizontal="center" vertical="center"/>
    </xf>
    <xf numFmtId="0" fontId="35" fillId="8" borderId="0" xfId="8" applyFont="1" applyFill="1" applyAlignment="1">
      <alignment horizontal="center" vertical="center"/>
    </xf>
    <xf numFmtId="0" fontId="12" fillId="8" borderId="0" xfId="8" applyFill="1" applyAlignment="1">
      <alignment horizontal="center" vertical="center"/>
    </xf>
    <xf numFmtId="171" fontId="12" fillId="8" borderId="0" xfId="8" applyNumberFormat="1" applyFill="1" applyAlignment="1">
      <alignment horizontal="center" vertical="center"/>
    </xf>
    <xf numFmtId="0" fontId="22" fillId="0" borderId="0" xfId="3" applyFont="1" applyFill="1" applyBorder="1" applyAlignment="1">
      <alignment horizontal="left" wrapText="1"/>
    </xf>
    <xf numFmtId="0" fontId="22" fillId="0" borderId="0" xfId="0" applyFont="1" applyBorder="1" applyAlignment="1">
      <alignment horizontal="left" wrapText="1"/>
    </xf>
    <xf numFmtId="0" fontId="4" fillId="0" borderId="0" xfId="3" applyFont="1" applyFill="1" applyBorder="1" applyAlignment="1">
      <alignment horizontal="left" wrapText="1"/>
    </xf>
    <xf numFmtId="0" fontId="4" fillId="0" borderId="0" xfId="0" applyFont="1" applyBorder="1" applyAlignment="1">
      <alignment horizontal="left" wrapText="1"/>
    </xf>
    <xf numFmtId="0" fontId="7" fillId="0" borderId="0" xfId="4" applyFont="1" applyFill="1" applyBorder="1" applyAlignment="1">
      <alignment horizontal="left" vertical="top"/>
    </xf>
    <xf numFmtId="0" fontId="4" fillId="0" borderId="0" xfId="2" applyFont="1" applyBorder="1" applyAlignment="1">
      <alignment horizontal="left" wrapText="1"/>
    </xf>
    <xf numFmtId="0" fontId="4" fillId="0" borderId="0" xfId="0" applyFont="1" applyFill="1" applyAlignment="1">
      <alignment horizontal="left" vertical="top" wrapText="1"/>
    </xf>
    <xf numFmtId="0" fontId="13" fillId="0" borderId="0" xfId="8" applyFont="1" applyAlignment="1">
      <alignment horizontal="left" wrapText="1"/>
    </xf>
    <xf numFmtId="0" fontId="17" fillId="0" borderId="0" xfId="8" applyFont="1" applyAlignment="1">
      <alignment vertical="top"/>
    </xf>
    <xf numFmtId="0" fontId="7" fillId="0" borderId="0" xfId="2" applyFont="1"/>
    <xf numFmtId="0" fontId="4" fillId="0" borderId="0" xfId="0" applyFont="1" applyFill="1" applyAlignment="1">
      <alignment wrapText="1"/>
    </xf>
    <xf numFmtId="0" fontId="7" fillId="0" borderId="0" xfId="3" applyFont="1" applyFill="1" applyBorder="1" applyAlignment="1">
      <alignment vertical="top"/>
    </xf>
    <xf numFmtId="0" fontId="4" fillId="0" borderId="0" xfId="3" applyFont="1" applyFill="1" applyAlignment="1">
      <alignment horizontal="left" wrapText="1"/>
    </xf>
    <xf numFmtId="0" fontId="7" fillId="0" borderId="0" xfId="18" applyFont="1" applyAlignment="1">
      <alignment horizontal="left" vertical="top" wrapText="1"/>
    </xf>
    <xf numFmtId="0" fontId="18" fillId="0" borderId="0" xfId="3" applyFont="1" applyFill="1" applyBorder="1" applyAlignment="1">
      <alignment horizontal="left" wrapText="1"/>
    </xf>
    <xf numFmtId="0" fontId="18" fillId="0" borderId="0" xfId="3" applyFont="1" applyFill="1" applyBorder="1" applyAlignment="1">
      <alignment horizontal="left" vertical="top" wrapText="1"/>
    </xf>
    <xf numFmtId="0" fontId="27" fillId="0" borderId="0" xfId="8" applyFont="1"/>
    <xf numFmtId="0" fontId="19" fillId="0" borderId="0" xfId="13" applyFont="1" applyBorder="1" applyAlignment="1">
      <alignment vertical="top"/>
    </xf>
    <xf numFmtId="0" fontId="19" fillId="0" borderId="2" xfId="13" applyFont="1" applyFill="1" applyBorder="1" applyAlignment="1">
      <alignment horizontal="left" wrapText="1"/>
    </xf>
    <xf numFmtId="0" fontId="19" fillId="0" borderId="2" xfId="13" applyFont="1" applyFill="1" applyBorder="1" applyAlignment="1">
      <alignment wrapText="1"/>
    </xf>
    <xf numFmtId="0" fontId="19" fillId="0" borderId="2" xfId="13" applyFont="1" applyBorder="1" applyAlignment="1">
      <alignment wrapText="1"/>
    </xf>
    <xf numFmtId="0" fontId="18" fillId="0" borderId="0" xfId="0" applyFont="1" applyFill="1" applyBorder="1" applyAlignment="1">
      <alignment wrapText="1"/>
    </xf>
    <xf numFmtId="6" fontId="4" fillId="0" borderId="0" xfId="0" applyNumberFormat="1" applyFont="1"/>
  </cellXfs>
  <cellStyles count="19">
    <cellStyle name="Comma" xfId="14" builtinId="3"/>
    <cellStyle name="Comma 2" xfId="16" xr:uid="{00000000-0005-0000-0000-000001000000}"/>
    <cellStyle name="Currency 2" xfId="5" xr:uid="{00000000-0005-0000-0000-000002000000}"/>
    <cellStyle name="Currency 3" xfId="11" xr:uid="{00000000-0005-0000-0000-000003000000}"/>
    <cellStyle name="Normal" xfId="0" builtinId="0"/>
    <cellStyle name="Normal 2" xfId="2" xr:uid="{00000000-0005-0000-0000-000005000000}"/>
    <cellStyle name="Normal 2 2" xfId="10" xr:uid="{00000000-0005-0000-0000-000006000000}"/>
    <cellStyle name="Normal 2 3" xfId="15" xr:uid="{00000000-0005-0000-0000-000007000000}"/>
    <cellStyle name="Normal 3" xfId="6" xr:uid="{00000000-0005-0000-0000-000008000000}"/>
    <cellStyle name="Normal 4" xfId="7" xr:uid="{00000000-0005-0000-0000-000009000000}"/>
    <cellStyle name="Normal 5" xfId="8" xr:uid="{00000000-0005-0000-0000-00000A000000}"/>
    <cellStyle name="Normal 5 2" xfId="12" xr:uid="{00000000-0005-0000-0000-00000B000000}"/>
    <cellStyle name="Normal 6" xfId="17" xr:uid="{00000000-0005-0000-0000-00000C000000}"/>
    <cellStyle name="Normal 7" xfId="18" xr:uid="{00000000-0005-0000-0000-00000D000000}"/>
    <cellStyle name="Normal_78 - 04 FW spending report Spring 05Revised" xfId="13" xr:uid="{00000000-0005-0000-0000-00000E000000}"/>
    <cellStyle name="Normal_Gov Report File" xfId="3" xr:uid="{00000000-0005-0000-0000-00000F000000}"/>
    <cellStyle name="Normal_Sheet1" xfId="4" xr:uid="{00000000-0005-0000-0000-000010000000}"/>
    <cellStyle name="Note 2" xfId="9" xr:uid="{00000000-0005-0000-0000-000011000000}"/>
    <cellStyle name="Percent" xfId="1" builtinId="5"/>
  </cellStyles>
  <dxfs count="0"/>
  <tableStyles count="0" defaultTableStyle="TableStyleMedium9" defaultPivotStyle="PivotStyleLight16"/>
  <colors>
    <mruColors>
      <color rgb="FFC3D69B"/>
      <color rgb="FF8064A2"/>
      <color rgb="FFC0504D"/>
      <color rgb="FF9AB9D2"/>
      <color rgb="FFFFFF66"/>
      <color rgb="FFFFFFFF"/>
      <color rgb="FFF68B32"/>
      <color rgb="FF856BA5"/>
      <color rgb="FF9BBB5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64C-4B75-ACC6-D985A14E3F5E}"/>
              </c:ext>
            </c:extLst>
          </c:dPt>
          <c:dLbls>
            <c:dLbl>
              <c:idx val="0"/>
              <c:layout>
                <c:manualLayout>
                  <c:x val="-0.11202784662283355"/>
                  <c:y val="9.1526998596788992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579955468246489"/>
                      <c:h val="0.10053661644501764"/>
                    </c:manualLayout>
                  </c15:layout>
                </c:ext>
                <c:ext xmlns:c16="http://schemas.microsoft.com/office/drawing/2014/chart" uri="{C3380CC4-5D6E-409C-BE32-E72D297353CC}">
                  <c16:uniqueId val="{00000001-E64C-4B75-ACC6-D985A14E3F5E}"/>
                </c:ext>
              </c:extLst>
            </c:dLbl>
            <c:dLbl>
              <c:idx val="1"/>
              <c:layout>
                <c:manualLayout>
                  <c:x val="3.782464898582065E-2"/>
                  <c:y val="-3.4217229622966021E-2"/>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9.0899547542308584E-2"/>
                      <c:h val="9.4536458172732818E-2"/>
                    </c:manualLayout>
                  </c15:layout>
                </c:ext>
                <c:ext xmlns:c16="http://schemas.microsoft.com/office/drawing/2014/chart" uri="{C3380CC4-5D6E-409C-BE32-E72D297353CC}">
                  <c16:uniqueId val="{00000003-E64C-4B75-ACC6-D985A14E3F5E}"/>
                </c:ext>
              </c:extLst>
            </c:dLbl>
            <c:dLbl>
              <c:idx val="2"/>
              <c:layout>
                <c:manualLayout>
                  <c:x val="-0.13167832529248513"/>
                  <c:y val="-2.2938075709699642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142383927600671"/>
                      <c:h val="6.5293258528394738E-2"/>
                    </c:manualLayout>
                  </c15:layout>
                </c:ext>
                <c:ext xmlns:c16="http://schemas.microsoft.com/office/drawing/2014/chart" uri="{C3380CC4-5D6E-409C-BE32-E72D297353CC}">
                  <c16:uniqueId val="{00000005-E64C-4B75-ACC6-D985A14E3F5E}"/>
                </c:ext>
              </c:extLst>
            </c:dLbl>
            <c:dLbl>
              <c:idx val="3"/>
              <c:layout>
                <c:manualLayout>
                  <c:x val="-5.9851489708606348E-2"/>
                  <c:y val="2.9538139923641016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350959038683961"/>
                      <c:h val="6.3220119827416918E-2"/>
                    </c:manualLayout>
                  </c15:layout>
                </c:ext>
                <c:ext xmlns:c16="http://schemas.microsoft.com/office/drawing/2014/chart" uri="{C3380CC4-5D6E-409C-BE32-E72D297353CC}">
                  <c16:uniqueId val="{00000007-E64C-4B75-ACC6-D985A14E3F5E}"/>
                </c:ext>
              </c:extLst>
            </c:dLbl>
            <c:dLbl>
              <c:idx val="4"/>
              <c:layout>
                <c:manualLayout>
                  <c:x val="-1.752797846799066E-2"/>
                  <c:y val="2.656779140458686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4C-4B75-ACC6-D985A14E3F5E}"/>
                </c:ext>
              </c:extLst>
            </c:dLbl>
            <c:dLbl>
              <c:idx val="5"/>
              <c:layout>
                <c:manualLayout>
                  <c:x val="-1.4994207144097082E-2"/>
                  <c:y val="-3.4611317794626721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023244631556063"/>
                      <c:h val="9.222478965513245E-2"/>
                    </c:manualLayout>
                  </c15:layout>
                </c:ext>
                <c:ext xmlns:c16="http://schemas.microsoft.com/office/drawing/2014/chart" uri="{C3380CC4-5D6E-409C-BE32-E72D297353CC}">
                  <c16:uniqueId val="{0000000B-E64C-4B75-ACC6-D985A14E3F5E}"/>
                </c:ext>
              </c:extLst>
            </c:dLbl>
            <c:dLbl>
              <c:idx val="6"/>
              <c:layout>
                <c:manualLayout>
                  <c:x val="-1.704203300680002E-2"/>
                  <c:y val="-0.10456519047159905"/>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1540056669604228"/>
                      <c:h val="9.222478965513245E-2"/>
                    </c:manualLayout>
                  </c15:layout>
                </c:ext>
                <c:ext xmlns:c16="http://schemas.microsoft.com/office/drawing/2014/chart" uri="{C3380CC4-5D6E-409C-BE32-E72D297353CC}">
                  <c16:uniqueId val="{0000000D-E64C-4B75-ACC6-D985A14E3F5E}"/>
                </c:ext>
              </c:extLst>
            </c:dLbl>
            <c:dLbl>
              <c:idx val="7"/>
              <c:layout>
                <c:manualLayout>
                  <c:x val="-2.2819637254635532E-2"/>
                  <c:y val="6.133483561604277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20817677278306"/>
                      <c:h val="5.9872850889794153E-2"/>
                    </c:manualLayout>
                  </c15:layout>
                </c:ext>
                <c:ext xmlns:c16="http://schemas.microsoft.com/office/drawing/2014/chart" uri="{C3380CC4-5D6E-409C-BE32-E72D297353CC}">
                  <c16:uniqueId val="{0000000F-E64C-4B75-ACC6-D985A14E3F5E}"/>
                </c:ext>
              </c:extLst>
            </c:dLbl>
            <c:dLbl>
              <c:idx val="8"/>
              <c:layout>
                <c:manualLayout>
                  <c:x val="5.1384545109256587E-2"/>
                  <c:y val="4.287982766167770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216249577561959"/>
                      <c:h val="9.6416106206558327E-2"/>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'1_CostsByArea'!$A$7:$A$15</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'1_CostsByArea'!$B$7:$B$15</c:f>
              <c:numCache>
                <c:formatCode>_(* #,##0.0_);_(* \(#,##0.0\);_(* "-"??_);_(@_)</c:formatCode>
                <c:ptCount val="9"/>
                <c:pt idx="0">
                  <c:v>258.70465134000005</c:v>
                </c:pt>
                <c:pt idx="1">
                  <c:v>2.9</c:v>
                </c:pt>
                <c:pt idx="2">
                  <c:v>47.5</c:v>
                </c:pt>
                <c:pt idx="3">
                  <c:v>31.4</c:v>
                </c:pt>
                <c:pt idx="4">
                  <c:v>5.5</c:v>
                </c:pt>
                <c:pt idx="5">
                  <c:v>5.5</c:v>
                </c:pt>
                <c:pt idx="6">
                  <c:v>41</c:v>
                </c:pt>
                <c:pt idx="7">
                  <c:v>64.099999999999994</c:v>
                </c:pt>
                <c:pt idx="8">
                  <c:v>24.3</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'1_CostsByArea'!$A$7:$A$15</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'1_CostsByArea'!$B$7:$B$15</c:f>
              <c:numCache>
                <c:formatCode>_(* #,##0.0_);_(* \(#,##0.0\);_(* "-"??_);_(@_)</c:formatCode>
                <c:ptCount val="9"/>
                <c:pt idx="0">
                  <c:v>258.70465134000005</c:v>
                </c:pt>
                <c:pt idx="1">
                  <c:v>2.9</c:v>
                </c:pt>
                <c:pt idx="2">
                  <c:v>47.5</c:v>
                </c:pt>
                <c:pt idx="3">
                  <c:v>31.4</c:v>
                </c:pt>
                <c:pt idx="4">
                  <c:v>5.5</c:v>
                </c:pt>
                <c:pt idx="5">
                  <c:v>5.5</c:v>
                </c:pt>
                <c:pt idx="6">
                  <c:v>41</c:v>
                </c:pt>
                <c:pt idx="7">
                  <c:v>64.099999999999994</c:v>
                </c:pt>
                <c:pt idx="8">
                  <c:v>24.3</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'8a_Subbasin'!$B$38:$B$62</c:f>
              <c:strCache>
                <c:ptCount val="25"/>
                <c:pt idx="0">
                  <c:v>Columbia Lower Middle</c:v>
                </c:pt>
                <c:pt idx="1">
                  <c:v>Klickitat</c:v>
                </c:pt>
                <c:pt idx="2">
                  <c:v>Columbia Upper Middle</c:v>
                </c:pt>
                <c:pt idx="3">
                  <c:v>Snake Lower</c:v>
                </c:pt>
                <c:pt idx="4">
                  <c:v>Other</c:v>
                </c:pt>
                <c:pt idx="5">
                  <c:v>Spokane</c:v>
                </c:pt>
                <c:pt idx="6">
                  <c:v>Wenatchee</c:v>
                </c:pt>
                <c:pt idx="7">
                  <c:v>Okanogan</c:v>
                </c:pt>
                <c:pt idx="8">
                  <c:v>Walla Walla</c:v>
                </c:pt>
                <c:pt idx="9">
                  <c:v>Columbia Estuary</c:v>
                </c:pt>
                <c:pt idx="10">
                  <c:v>Pend Oreille</c:v>
                </c:pt>
                <c:pt idx="11">
                  <c:v>Columbia Upper</c:v>
                </c:pt>
                <c:pt idx="12">
                  <c:v>Deschutes</c:v>
                </c:pt>
                <c:pt idx="13">
                  <c:v>Columbia Lower</c:v>
                </c:pt>
                <c:pt idx="14">
                  <c:v>Clark Fork</c:v>
                </c:pt>
                <c:pt idx="15">
                  <c:v>John Day</c:v>
                </c:pt>
                <c:pt idx="16">
                  <c:v>Umatilla</c:v>
                </c:pt>
                <c:pt idx="17">
                  <c:v>Methow</c:v>
                </c:pt>
                <c:pt idx="18">
                  <c:v>Grande Ronde</c:v>
                </c:pt>
                <c:pt idx="19">
                  <c:v>Kootenai</c:v>
                </c:pt>
                <c:pt idx="20">
                  <c:v>Flathead</c:v>
                </c:pt>
                <c:pt idx="21">
                  <c:v>Clearwater</c:v>
                </c:pt>
                <c:pt idx="22">
                  <c:v>Salmon</c:v>
                </c:pt>
                <c:pt idx="23">
                  <c:v>Yakima</c:v>
                </c:pt>
                <c:pt idx="24">
                  <c:v>Willamette</c:v>
                </c:pt>
              </c:strCache>
            </c:strRef>
          </c:cat>
          <c:val>
            <c:numRef>
              <c:f>'8a_Subbasin'!$C$38:$C$62</c:f>
              <c:numCache>
                <c:formatCode>"$"#,##0</c:formatCode>
                <c:ptCount val="25"/>
                <c:pt idx="0">
                  <c:v>3735582</c:v>
                </c:pt>
                <c:pt idx="1">
                  <c:v>3827875</c:v>
                </c:pt>
                <c:pt idx="2">
                  <c:v>4616592</c:v>
                </c:pt>
                <c:pt idx="3">
                  <c:v>4836951</c:v>
                </c:pt>
                <c:pt idx="4">
                  <c:v>4841580</c:v>
                </c:pt>
                <c:pt idx="5">
                  <c:v>4972899</c:v>
                </c:pt>
                <c:pt idx="6">
                  <c:v>5063727</c:v>
                </c:pt>
                <c:pt idx="7">
                  <c:v>5164544</c:v>
                </c:pt>
                <c:pt idx="8">
                  <c:v>5187246</c:v>
                </c:pt>
                <c:pt idx="9">
                  <c:v>5586494</c:v>
                </c:pt>
                <c:pt idx="10">
                  <c:v>6459448</c:v>
                </c:pt>
                <c:pt idx="11">
                  <c:v>6655312</c:v>
                </c:pt>
                <c:pt idx="12">
                  <c:v>6861054</c:v>
                </c:pt>
                <c:pt idx="13">
                  <c:v>7797045</c:v>
                </c:pt>
                <c:pt idx="14">
                  <c:v>7951498</c:v>
                </c:pt>
                <c:pt idx="15">
                  <c:v>9289080</c:v>
                </c:pt>
                <c:pt idx="16">
                  <c:v>9289373</c:v>
                </c:pt>
                <c:pt idx="17">
                  <c:v>9355815</c:v>
                </c:pt>
                <c:pt idx="18">
                  <c:v>11572218</c:v>
                </c:pt>
                <c:pt idx="19">
                  <c:v>13287419</c:v>
                </c:pt>
                <c:pt idx="20">
                  <c:v>13977352</c:v>
                </c:pt>
                <c:pt idx="21">
                  <c:v>15152190</c:v>
                </c:pt>
                <c:pt idx="22">
                  <c:v>16515039</c:v>
                </c:pt>
                <c:pt idx="23">
                  <c:v>19657077</c:v>
                </c:pt>
                <c:pt idx="24">
                  <c:v>23276478</c:v>
                </c:pt>
              </c:numCache>
            </c:numRef>
          </c:val>
          <c:extLst>
            <c:ext xmlns:c16="http://schemas.microsoft.com/office/drawing/2014/chart" uri="{C3380CC4-5D6E-409C-BE32-E72D297353CC}">
              <c16:uniqueId val="{00000000-3C35-469A-9BA5-CF3170D51A4C}"/>
            </c:ext>
          </c:extLst>
        </c:ser>
        <c:dLbls>
          <c:showLegendKey val="0"/>
          <c:showVal val="0"/>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'10_Contractor'!$B$80:$B$112</c:f>
              <c:strCache>
                <c:ptCount val="33"/>
                <c:pt idx="0">
                  <c:v>Federal: BPA Overhead (&amp; Non-Contracted Project Costs)</c:v>
                </c:pt>
                <c:pt idx="1">
                  <c:v>Federal: National Marine Fisheries</c:v>
                </c:pt>
                <c:pt idx="2">
                  <c:v>Federal: US Fish &amp; Wildlife Service</c:v>
                </c:pt>
                <c:pt idx="3">
                  <c:v>Federal: US Geological Survey</c:v>
                </c:pt>
                <c:pt idx="4">
                  <c:v>Federal: US Forest Service</c:v>
                </c:pt>
                <c:pt idx="5">
                  <c:v>Federal: Pacific NW National Laboratory</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Nez Perce Tribe</c:v>
                </c:pt>
                <c:pt idx="14">
                  <c:v>Tribe: Colville Confederated Tribes</c:v>
                </c:pt>
                <c:pt idx="15">
                  <c:v>Tribe: Umatilla Confederated Tribes</c:v>
                </c:pt>
                <c:pt idx="16">
                  <c:v>Tribe: Kootenai Tribe</c:v>
                </c:pt>
                <c:pt idx="17">
                  <c:v>Tribe: Columbia River Intertribal Fish Commission</c:v>
                </c:pt>
                <c:pt idx="18">
                  <c:v>Tribe: Confederated Tribes of Warm Springs</c:v>
                </c:pt>
                <c:pt idx="19">
                  <c:v>Tribe: Spokane Tribe of Indians</c:v>
                </c:pt>
                <c:pt idx="20">
                  <c:v>Tribe: Kalispel Tribe of Indians</c:v>
                </c:pt>
                <c:pt idx="21">
                  <c:v>Tribe: Shoshone-Bannock Tribes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Land Acquisitions</c:v>
                </c:pt>
                <c:pt idx="29">
                  <c:v>Other: Private/Non-Profit/Other</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4A0C-442C-B05A-7D95BF9BA070}"/>
            </c:ext>
          </c:extLst>
        </c:ser>
        <c:ser>
          <c:idx val="1"/>
          <c:order val="1"/>
          <c:spPr>
            <a:solidFill>
              <a:schemeClr val="accent2"/>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02-4A0C-442C-B05A-7D95BF9BA070}"/>
              </c:ext>
            </c:extLst>
          </c:dPt>
          <c:dPt>
            <c:idx val="7"/>
            <c:invertIfNegative val="0"/>
            <c:bubble3D val="0"/>
            <c:spPr>
              <a:solidFill>
                <a:srgbClr val="9AB9D2"/>
              </a:solidFill>
              <a:ln>
                <a:noFill/>
              </a:ln>
              <a:effectLst/>
            </c:spPr>
            <c:extLst>
              <c:ext xmlns:c16="http://schemas.microsoft.com/office/drawing/2014/chart" uri="{C3380CC4-5D6E-409C-BE32-E72D297353CC}">
                <c16:uniqueId val="{00000004-4A0C-442C-B05A-7D95BF9BA070}"/>
              </c:ext>
            </c:extLst>
          </c:dPt>
          <c:dPt>
            <c:idx val="8"/>
            <c:invertIfNegative val="0"/>
            <c:bubble3D val="0"/>
            <c:spPr>
              <a:solidFill>
                <a:srgbClr val="9AB9D2"/>
              </a:solidFill>
              <a:ln>
                <a:noFill/>
              </a:ln>
              <a:effectLst/>
            </c:spPr>
            <c:extLst>
              <c:ext xmlns:c16="http://schemas.microsoft.com/office/drawing/2014/chart" uri="{C3380CC4-5D6E-409C-BE32-E72D297353CC}">
                <c16:uniqueId val="{00000006-4A0C-442C-B05A-7D95BF9BA070}"/>
              </c:ext>
            </c:extLst>
          </c:dPt>
          <c:dPt>
            <c:idx val="9"/>
            <c:invertIfNegative val="0"/>
            <c:bubble3D val="0"/>
            <c:spPr>
              <a:solidFill>
                <a:srgbClr val="9AB9D2"/>
              </a:solidFill>
              <a:ln>
                <a:noFill/>
              </a:ln>
              <a:effectLst/>
            </c:spPr>
            <c:extLst>
              <c:ext xmlns:c16="http://schemas.microsoft.com/office/drawing/2014/chart" uri="{C3380CC4-5D6E-409C-BE32-E72D297353CC}">
                <c16:uniqueId val="{00000008-4A0C-442C-B05A-7D95BF9BA070}"/>
              </c:ext>
            </c:extLst>
          </c:dPt>
          <c:dPt>
            <c:idx val="10"/>
            <c:invertIfNegative val="0"/>
            <c:bubble3D val="0"/>
            <c:spPr>
              <a:solidFill>
                <a:srgbClr val="9AB9D2"/>
              </a:solidFill>
              <a:ln>
                <a:noFill/>
              </a:ln>
              <a:effectLst/>
            </c:spPr>
            <c:extLst>
              <c:ext xmlns:c16="http://schemas.microsoft.com/office/drawing/2014/chart" uri="{C3380CC4-5D6E-409C-BE32-E72D297353CC}">
                <c16:uniqueId val="{0000000A-4A0C-442C-B05A-7D95BF9BA070}"/>
              </c:ext>
            </c:extLst>
          </c:dPt>
          <c:dPt>
            <c:idx val="11"/>
            <c:invertIfNegative val="0"/>
            <c:bubble3D val="0"/>
            <c:spPr>
              <a:solidFill>
                <a:srgbClr val="9AB9D2"/>
              </a:solidFill>
              <a:ln>
                <a:noFill/>
              </a:ln>
              <a:effectLst/>
            </c:spPr>
            <c:extLst>
              <c:ext xmlns:c16="http://schemas.microsoft.com/office/drawing/2014/chart" uri="{C3380CC4-5D6E-409C-BE32-E72D297353CC}">
                <c16:uniqueId val="{0000000C-4A0C-442C-B05A-7D95BF9BA070}"/>
              </c:ext>
            </c:extLst>
          </c:dPt>
          <c:dPt>
            <c:idx val="12"/>
            <c:invertIfNegative val="0"/>
            <c:bubble3D val="0"/>
            <c:spPr>
              <a:solidFill>
                <a:srgbClr val="C3D69B"/>
              </a:solidFill>
              <a:ln>
                <a:noFill/>
              </a:ln>
              <a:effectLst/>
            </c:spPr>
            <c:extLst>
              <c:ext xmlns:c16="http://schemas.microsoft.com/office/drawing/2014/chart" uri="{C3380CC4-5D6E-409C-BE32-E72D297353CC}">
                <c16:uniqueId val="{0000000E-4A0C-442C-B05A-7D95BF9BA070}"/>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4A0C-442C-B05A-7D95BF9BA070}"/>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4A0C-442C-B05A-7D95BF9BA070}"/>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4A0C-442C-B05A-7D95BF9BA070}"/>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4A0C-442C-B05A-7D95BF9BA070}"/>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4A0C-442C-B05A-7D95BF9BA070}"/>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4A0C-442C-B05A-7D95BF9BA070}"/>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4A0C-442C-B05A-7D95BF9BA070}"/>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4A0C-442C-B05A-7D95BF9BA070}"/>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4A0C-442C-B05A-7D95BF9BA070}"/>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4A0C-442C-B05A-7D95BF9BA070}"/>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4A0C-442C-B05A-7D95BF9BA070}"/>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4A0C-442C-B05A-7D95BF9BA070}"/>
              </c:ext>
            </c:extLst>
          </c:dPt>
          <c:dPt>
            <c:idx val="25"/>
            <c:invertIfNegative val="0"/>
            <c:bubble3D val="0"/>
            <c:spPr>
              <a:solidFill>
                <a:srgbClr val="C3D69B"/>
              </a:solidFill>
              <a:ln>
                <a:noFill/>
              </a:ln>
              <a:effectLst/>
            </c:spPr>
            <c:extLst>
              <c:ext xmlns:c16="http://schemas.microsoft.com/office/drawing/2014/chart" uri="{C3380CC4-5D6E-409C-BE32-E72D297353CC}">
                <c16:uniqueId val="{00000028-4A0C-442C-B05A-7D95BF9BA070}"/>
              </c:ext>
            </c:extLst>
          </c:dPt>
          <c:dPt>
            <c:idx val="26"/>
            <c:invertIfNegative val="0"/>
            <c:bubble3D val="0"/>
            <c:spPr>
              <a:solidFill>
                <a:srgbClr val="8064A2"/>
              </a:solidFill>
              <a:ln>
                <a:noFill/>
              </a:ln>
              <a:effectLst/>
            </c:spPr>
            <c:extLst>
              <c:ext xmlns:c16="http://schemas.microsoft.com/office/drawing/2014/chart" uri="{C3380CC4-5D6E-409C-BE32-E72D297353CC}">
                <c16:uniqueId val="{0000002A-4A0C-442C-B05A-7D95BF9BA070}"/>
              </c:ext>
            </c:extLst>
          </c:dPt>
          <c:dPt>
            <c:idx val="27"/>
            <c:invertIfNegative val="0"/>
            <c:bubble3D val="0"/>
            <c:spPr>
              <a:solidFill>
                <a:srgbClr val="FFC000"/>
              </a:solidFill>
              <a:ln>
                <a:noFill/>
              </a:ln>
              <a:effectLst/>
            </c:spPr>
            <c:extLst>
              <c:ext xmlns:c16="http://schemas.microsoft.com/office/drawing/2014/chart" uri="{C3380CC4-5D6E-409C-BE32-E72D297353CC}">
                <c16:uniqueId val="{0000002C-4A0C-442C-B05A-7D95BF9BA070}"/>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4A0C-442C-B05A-7D95BF9BA070}"/>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4A0C-442C-B05A-7D95BF9BA070}"/>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4A0C-442C-B05A-7D95BF9BA070}"/>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4A0C-442C-B05A-7D95BF9BA070}"/>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4A0C-442C-B05A-7D95BF9BA070}"/>
              </c:ext>
            </c:extLst>
          </c:dPt>
          <c:cat>
            <c:strRef>
              <c:f>'10_Contractor'!$B$80:$B$112</c:f>
              <c:strCache>
                <c:ptCount val="33"/>
                <c:pt idx="0">
                  <c:v>Federal: BPA Overhead (&amp; Non-Contracted Project Costs)</c:v>
                </c:pt>
                <c:pt idx="1">
                  <c:v>Federal: National Marine Fisheries</c:v>
                </c:pt>
                <c:pt idx="2">
                  <c:v>Federal: US Fish &amp; Wildlife Service</c:v>
                </c:pt>
                <c:pt idx="3">
                  <c:v>Federal: US Geological Survey</c:v>
                </c:pt>
                <c:pt idx="4">
                  <c:v>Federal: US Forest Service</c:v>
                </c:pt>
                <c:pt idx="5">
                  <c:v>Federal: Pacific NW National Laboratory</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Nez Perce Tribe</c:v>
                </c:pt>
                <c:pt idx="14">
                  <c:v>Tribe: Colville Confederated Tribes</c:v>
                </c:pt>
                <c:pt idx="15">
                  <c:v>Tribe: Umatilla Confederated Tribes</c:v>
                </c:pt>
                <c:pt idx="16">
                  <c:v>Tribe: Kootenai Tribe</c:v>
                </c:pt>
                <c:pt idx="17">
                  <c:v>Tribe: Columbia River Intertribal Fish Commission</c:v>
                </c:pt>
                <c:pt idx="18">
                  <c:v>Tribe: Confederated Tribes of Warm Springs</c:v>
                </c:pt>
                <c:pt idx="19">
                  <c:v>Tribe: Spokane Tribe of Indians</c:v>
                </c:pt>
                <c:pt idx="20">
                  <c:v>Tribe: Kalispel Tribe of Indians</c:v>
                </c:pt>
                <c:pt idx="21">
                  <c:v>Tribe: Shoshone-Bannock Tribes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Land Acquisitions</c:v>
                </c:pt>
                <c:pt idx="29">
                  <c:v>Other: Private/Non-Profit/Other</c:v>
                </c:pt>
                <c:pt idx="30">
                  <c:v>Other: Local/Semi Government</c:v>
                </c:pt>
                <c:pt idx="31">
                  <c:v>Other: National Fish &amp; Wildlife Foundation</c:v>
                </c:pt>
                <c:pt idx="32">
                  <c:v>Other: Utility</c:v>
                </c:pt>
              </c:strCache>
            </c:strRef>
          </c:cat>
          <c:val>
            <c:numRef>
              <c:f>'10_Contractor'!$C$80:$C$112</c:f>
              <c:numCache>
                <c:formatCode>"$"#,##0</c:formatCode>
                <c:ptCount val="33"/>
                <c:pt idx="0">
                  <c:v>15144232</c:v>
                </c:pt>
                <c:pt idx="1">
                  <c:v>7262514</c:v>
                </c:pt>
                <c:pt idx="2">
                  <c:v>2636188</c:v>
                </c:pt>
                <c:pt idx="3">
                  <c:v>1665717</c:v>
                </c:pt>
                <c:pt idx="4">
                  <c:v>915292</c:v>
                </c:pt>
                <c:pt idx="5">
                  <c:v>736525</c:v>
                </c:pt>
                <c:pt idx="6">
                  <c:v>371734</c:v>
                </c:pt>
                <c:pt idx="7">
                  <c:v>15400007</c:v>
                </c:pt>
                <c:pt idx="8">
                  <c:v>11779934</c:v>
                </c:pt>
                <c:pt idx="9">
                  <c:v>11026037</c:v>
                </c:pt>
                <c:pt idx="10">
                  <c:v>4107184</c:v>
                </c:pt>
                <c:pt idx="11">
                  <c:v>3185901</c:v>
                </c:pt>
                <c:pt idx="12">
                  <c:v>30088177</c:v>
                </c:pt>
                <c:pt idx="13">
                  <c:v>16731875</c:v>
                </c:pt>
                <c:pt idx="14">
                  <c:v>16674160</c:v>
                </c:pt>
                <c:pt idx="15">
                  <c:v>13963980</c:v>
                </c:pt>
                <c:pt idx="16">
                  <c:v>12755152</c:v>
                </c:pt>
                <c:pt idx="17">
                  <c:v>8413360</c:v>
                </c:pt>
                <c:pt idx="18">
                  <c:v>8173784</c:v>
                </c:pt>
                <c:pt idx="19">
                  <c:v>5267198</c:v>
                </c:pt>
                <c:pt idx="20">
                  <c:v>4568749</c:v>
                </c:pt>
                <c:pt idx="21">
                  <c:v>3607056</c:v>
                </c:pt>
                <c:pt idx="22">
                  <c:v>2726337</c:v>
                </c:pt>
                <c:pt idx="23">
                  <c:v>1028574</c:v>
                </c:pt>
                <c:pt idx="24">
                  <c:v>828953</c:v>
                </c:pt>
                <c:pt idx="25">
                  <c:v>2346952</c:v>
                </c:pt>
                <c:pt idx="26">
                  <c:v>13517548</c:v>
                </c:pt>
                <c:pt idx="27">
                  <c:v>3019916</c:v>
                </c:pt>
                <c:pt idx="28">
                  <c:v>26702585</c:v>
                </c:pt>
                <c:pt idx="29">
                  <c:v>22142181</c:v>
                </c:pt>
                <c:pt idx="30">
                  <c:v>6471900</c:v>
                </c:pt>
                <c:pt idx="31">
                  <c:v>4643486</c:v>
                </c:pt>
                <c:pt idx="32">
                  <c:v>1690830</c:v>
                </c:pt>
              </c:numCache>
            </c:numRef>
          </c:val>
          <c:extLst>
            <c:ext xmlns:c16="http://schemas.microsoft.com/office/drawing/2014/chart" uri="{C3380CC4-5D6E-409C-BE32-E72D297353CC}">
              <c16:uniqueId val="{00000037-4A0C-442C-B05A-7D95BF9BA070}"/>
            </c:ext>
          </c:extLst>
        </c:ser>
        <c:dLbls>
          <c:showLegendKey val="0"/>
          <c:showVal val="0"/>
          <c:showCatName val="0"/>
          <c:showSerName val="0"/>
          <c:showPercent val="0"/>
          <c:showBubbleSize val="0"/>
        </c:dLbls>
        <c:gapWidth val="5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'11_LandPurchases'!$A$48:$A$55</c:f>
              <c:strCache>
                <c:ptCount val="8"/>
                <c:pt idx="0">
                  <c:v>Montana Fish, Wildlife and Parks (MFWP)</c:v>
                </c:pt>
                <c:pt idx="1">
                  <c:v>Idaho Department of Fish and Game (IDFG)</c:v>
                </c:pt>
                <c:pt idx="2">
                  <c:v>Oregon Department Of Fish and Wildlife (ODFW)</c:v>
                </c:pt>
                <c:pt idx="3">
                  <c:v>Salish and Kootenai Confederated Tribes</c:v>
                </c:pt>
                <c:pt idx="4">
                  <c:v>Umatilla Confederated Tribes (CTUIR)</c:v>
                </c:pt>
                <c:pt idx="5">
                  <c:v>Yakama Confederated Tribes</c:v>
                </c:pt>
                <c:pt idx="6">
                  <c:v>Kalispel Tribe</c:v>
                </c:pt>
                <c:pt idx="7">
                  <c:v>Columbia Land Trust</c:v>
                </c:pt>
              </c:strCache>
            </c:strRef>
          </c:cat>
          <c:val>
            <c:numRef>
              <c:f>'11_LandPurchases'!$B$48:$B$55</c:f>
              <c:numCache>
                <c:formatCode>"$"#,##0</c:formatCode>
                <c:ptCount val="8"/>
                <c:pt idx="0">
                  <c:v>10733065</c:v>
                </c:pt>
                <c:pt idx="1">
                  <c:v>7369712</c:v>
                </c:pt>
                <c:pt idx="2">
                  <c:v>6978254</c:v>
                </c:pt>
                <c:pt idx="3">
                  <c:v>524163</c:v>
                </c:pt>
                <c:pt idx="4">
                  <c:v>491757</c:v>
                </c:pt>
                <c:pt idx="5">
                  <c:v>225545</c:v>
                </c:pt>
                <c:pt idx="6">
                  <c:v>203432</c:v>
                </c:pt>
                <c:pt idx="7">
                  <c:v>170178</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'12_Cumulative'!$A$4</c:f>
              <c:strCache>
                <c:ptCount val="1"/>
                <c:pt idx="0">
                  <c:v>Power Purchases</c:v>
                </c:pt>
              </c:strCache>
            </c:strRef>
          </c:tx>
          <c:spPr>
            <a:solidFill>
              <a:srgbClr val="4F81BD"/>
            </a:solidFill>
            <a:ln>
              <a:noFill/>
            </a:ln>
            <a:effectLst/>
          </c:spPr>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'12_Cumulative'!$C$4:$AN$4</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'12_Cumulative'!$A$5</c:f>
              <c:strCache>
                <c:ptCount val="1"/>
                <c:pt idx="0">
                  <c:v>Forgone Revenues</c:v>
                </c:pt>
              </c:strCache>
            </c:strRef>
          </c:tx>
          <c:spPr>
            <a:solidFill>
              <a:srgbClr val="C0504D"/>
            </a:solidFill>
            <a:ln>
              <a:noFill/>
            </a:ln>
            <a:effectLst/>
          </c:spPr>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'12_Cumulative'!$C$5:$AN$5</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'12_Cumulative'!$A$6</c:f>
              <c:strCache>
                <c:ptCount val="1"/>
                <c:pt idx="0">
                  <c:v>Reimbursable Expenses</c:v>
                </c:pt>
              </c:strCache>
            </c:strRef>
          </c:tx>
          <c:spPr>
            <a:solidFill>
              <a:srgbClr val="9BBB59"/>
            </a:solidFill>
            <a:ln>
              <a:noFill/>
            </a:ln>
            <a:effectLst/>
          </c:spPr>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'12_Cumulative'!$C$6:$AN$6</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'12_Cumulative'!$A$7</c:f>
              <c:strCache>
                <c:ptCount val="1"/>
                <c:pt idx="0">
                  <c:v>Direct Program</c:v>
                </c:pt>
              </c:strCache>
            </c:strRef>
          </c:tx>
          <c:spPr>
            <a:solidFill>
              <a:srgbClr val="8064A2"/>
            </a:solidFill>
            <a:ln>
              <a:noFill/>
            </a:ln>
            <a:effectLst/>
          </c:spPr>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'12_Cumulative'!$C$7:$AN$7</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'12_Cumulative'!$A$8</c:f>
              <c:strCache>
                <c:ptCount val="1"/>
                <c:pt idx="0">
                  <c:v>Fixed Expenses</c:v>
                </c:pt>
              </c:strCache>
            </c:strRef>
          </c:tx>
          <c:spPr>
            <a:solidFill>
              <a:srgbClr val="4BACC6"/>
            </a:solidFill>
            <a:ln>
              <a:noFill/>
            </a:ln>
            <a:effectLst/>
          </c:spPr>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'12_Cumulative'!$C$8:$AN$8</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'12_Cumulative'!$C$3:$AN$3</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'12_Cumulative'!$C$19:$AN$19</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17993872279909234"/>
                  <c:y val="-0.17573434683508365"/>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7AC-4531-B5AE-729C85665BAF}"/>
                </c:ext>
              </c:extLst>
            </c:dLbl>
            <c:dLbl>
              <c:idx val="1"/>
              <c:layout>
                <c:manualLayout>
                  <c:x val="8.5034482385315815E-2"/>
                  <c:y val="-6.611978786085576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4473256579979293"/>
                  <c:y val="0.118354637843922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0.11745710073093447"/>
                  <c:y val="0.1018306365063775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'2_SpeciesType'!$A$38:$A$41</c:f>
              <c:strCache>
                <c:ptCount val="4"/>
                <c:pt idx="0">
                  <c:v>Anadromous Fish</c:v>
                </c:pt>
                <c:pt idx="1">
                  <c:v>Resident Fish</c:v>
                </c:pt>
                <c:pt idx="2">
                  <c:v>Wildlife</c:v>
                </c:pt>
                <c:pt idx="3">
                  <c:v>Program Support</c:v>
                </c:pt>
              </c:strCache>
            </c:strRef>
          </c:cat>
          <c:val>
            <c:numRef>
              <c:f>'2_SpeciesType'!$B$38:$B$41</c:f>
              <c:numCache>
                <c:formatCode>"$"#,##0</c:formatCode>
                <c:ptCount val="4"/>
                <c:pt idx="0">
                  <c:v>176272306</c:v>
                </c:pt>
                <c:pt idx="1">
                  <c:v>55012515</c:v>
                </c:pt>
                <c:pt idx="2">
                  <c:v>24366037</c:v>
                </c:pt>
                <c:pt idx="3">
                  <c:v>23049232</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797519336631601"/>
          <c:y val="4.6024135251250015E-2"/>
          <c:w val="0.82606610456878748"/>
          <c:h val="0.8460244285106821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dLbls>
            <c:numFmt formatCode="&quot;$&quot;#,," sourceLinked="0"/>
            <c:spPr>
              <a:solidFill>
                <a:sysClr val="window" lastClr="FFFFFF">
                  <a:alpha val="63000"/>
                </a:sysClr>
              </a:solidFill>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'3_FCRPS'!$B$8:$N$8</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'3_FCRPS'!$B$3:$N$3</c:f>
              <c:numCache>
                <c:formatCode>"$"#,##0</c:formatCode>
                <c:ptCount val="13"/>
                <c:pt idx="0">
                  <c:v>74024959.329999998</c:v>
                </c:pt>
                <c:pt idx="1">
                  <c:v>78219265.00000003</c:v>
                </c:pt>
                <c:pt idx="2">
                  <c:v>91806508</c:v>
                </c:pt>
                <c:pt idx="3">
                  <c:v>113900603</c:v>
                </c:pt>
                <c:pt idx="4">
                  <c:v>129758323</c:v>
                </c:pt>
                <c:pt idx="5">
                  <c:v>143477289</c:v>
                </c:pt>
                <c:pt idx="6">
                  <c:v>162060445</c:v>
                </c:pt>
                <c:pt idx="7">
                  <c:v>151177409</c:v>
                </c:pt>
                <c:pt idx="8">
                  <c:v>143128947.90000001</c:v>
                </c:pt>
                <c:pt idx="9">
                  <c:v>165362220.78999999</c:v>
                </c:pt>
                <c:pt idx="10">
                  <c:v>159987743.56999999</c:v>
                </c:pt>
                <c:pt idx="11">
                  <c:v>156828472.72999999</c:v>
                </c:pt>
                <c:pt idx="12">
                  <c:v>153679667</c:v>
                </c:pt>
              </c:numCache>
            </c:numRef>
          </c:val>
          <c:extLs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dLbls>
            <c:dLbl>
              <c:idx val="0"/>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23-496B-9A95-548D7717997D}"/>
                </c:ext>
              </c:extLst>
            </c:dLbl>
            <c:dLbl>
              <c:idx val="1"/>
              <c:layout>
                <c:manualLayout>
                  <c:x val="2.133332974978188E-3"/>
                  <c:y val="-5.04827876470897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23-496B-9A95-548D7717997D}"/>
                </c:ext>
              </c:extLst>
            </c:dLbl>
            <c:dLbl>
              <c:idx val="2"/>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23-496B-9A95-548D7717997D}"/>
                </c:ext>
              </c:extLst>
            </c:dLbl>
            <c:dLbl>
              <c:idx val="3"/>
              <c:layout>
                <c:manualLayout>
                  <c:x val="2.133332974978188E-3"/>
                  <c:y val="-5.3452115812917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23-496B-9A95-548D7717997D}"/>
                </c:ext>
              </c:extLst>
            </c:dLbl>
            <c:dLbl>
              <c:idx val="4"/>
              <c:layout>
                <c:manualLayout>
                  <c:x val="0"/>
                  <c:y val="-6.53303637713437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23-496B-9A95-548D7717997D}"/>
                </c:ext>
              </c:extLst>
            </c:dLbl>
            <c:dLbl>
              <c:idx val="5"/>
              <c:layout>
                <c:manualLayout>
                  <c:x val="-7.8221305463337962E-17"/>
                  <c:y val="-7.1269487750556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23-496B-9A95-548D7717997D}"/>
                </c:ext>
              </c:extLst>
            </c:dLbl>
            <c:dLbl>
              <c:idx val="6"/>
              <c:layout>
                <c:manualLayout>
                  <c:x val="-7.8221305463337962E-17"/>
                  <c:y val="-8.31477357089829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23-496B-9A95-548D7717997D}"/>
                </c:ext>
              </c:extLst>
            </c:dLbl>
            <c:dLbl>
              <c:idx val="7"/>
              <c:layout>
                <c:manualLayout>
                  <c:x val="-7.8221305463337962E-17"/>
                  <c:y val="-7.126948775055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23-496B-9A95-548D7717997D}"/>
                </c:ext>
              </c:extLst>
            </c:dLbl>
            <c:dLbl>
              <c:idx val="8"/>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D-4EE7-8732-4420A3787B3E}"/>
                </c:ext>
              </c:extLst>
            </c:dLbl>
            <c:dLbl>
              <c:idx val="9"/>
              <c:layout>
                <c:manualLayout>
                  <c:x val="-1.5644261092667592E-16"/>
                  <c:y val="-5.0482553823311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D-4EE7-8732-4420A3787B3E}"/>
                </c:ext>
              </c:extLst>
            </c:dLbl>
            <c:dLbl>
              <c:idx val="10"/>
              <c:layout>
                <c:manualLayout>
                  <c:x val="-1.5644261092667592E-16"/>
                  <c:y val="-2.96956198960653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39-43CB-9B4E-22808F2210B8}"/>
                </c:ext>
              </c:extLst>
            </c:dLbl>
            <c:dLbl>
              <c:idx val="12"/>
              <c:delete val="1"/>
              <c:extLst>
                <c:ext xmlns:c15="http://schemas.microsoft.com/office/drawing/2012/chart" uri="{CE6537A1-D6FC-4f65-9D91-7224C49458BB}"/>
                <c:ext xmlns:c16="http://schemas.microsoft.com/office/drawing/2014/chart" uri="{C3380CC4-5D6E-409C-BE32-E72D297353CC}">
                  <c16:uniqueId val="{00000000-8AF3-4E6A-BB6E-FFB0C338C4DA}"/>
                </c:ext>
              </c:extLst>
            </c:dLbl>
            <c:numFmt formatCode="&quot;$&quot;#,," sourceLinked="0"/>
            <c:spPr>
              <a:noFill/>
              <a:ln>
                <a:noFill/>
              </a:ln>
              <a:effectLst/>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'3_FCRPS'!$B$8:$N$8</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'3_FCRPS'!$B$4:$N$4</c:f>
              <c:numCache>
                <c:formatCode>"$"#,##0</c:formatCode>
                <c:ptCount val="13"/>
                <c:pt idx="0">
                  <c:v>5086155.01</c:v>
                </c:pt>
                <c:pt idx="1">
                  <c:v>8839587.0300000012</c:v>
                </c:pt>
                <c:pt idx="2">
                  <c:v>9869097</c:v>
                </c:pt>
                <c:pt idx="3">
                  <c:v>11668863</c:v>
                </c:pt>
                <c:pt idx="4">
                  <c:v>21761323</c:v>
                </c:pt>
                <c:pt idx="5">
                  <c:v>31297548</c:v>
                </c:pt>
                <c:pt idx="6">
                  <c:v>29240867</c:v>
                </c:pt>
                <c:pt idx="7">
                  <c:v>29683425</c:v>
                </c:pt>
                <c:pt idx="8">
                  <c:v>5925196.1100000003</c:v>
                </c:pt>
                <c:pt idx="9">
                  <c:v>7703153.2699999996</c:v>
                </c:pt>
                <c:pt idx="10">
                  <c:v>1249955.1399999999</c:v>
                </c:pt>
                <c:pt idx="11">
                  <c:v>-396792.47</c:v>
                </c:pt>
                <c:pt idx="12">
                  <c:v>25343</c:v>
                </c:pt>
              </c:numCache>
            </c:numRef>
          </c:val>
          <c:extLs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plotArea>
    <c:legend>
      <c:legendPos val="l"/>
      <c:layout>
        <c:manualLayout>
          <c:xMode val="edge"/>
          <c:yMode val="edge"/>
          <c:x val="0.15811205742999559"/>
          <c:y val="6.4691791031688969E-2"/>
          <c:w val="0.3111032448377582"/>
          <c:h val="8.843916782117156E-2"/>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90996883140904061"/>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Chub, Oregon (endangered) 4</c:v>
                </c:pt>
                <c:pt idx="14">
                  <c:v>Cutthroat Trout, Lahontan (threatened)</c:v>
                </c:pt>
                <c:pt idx="15">
                  <c:v>Sturgeon, White - Kootenai River DPS (endangered)</c:v>
                </c:pt>
                <c:pt idx="16">
                  <c:v>Trout, Bull (threatened)</c:v>
                </c:pt>
              </c:strCache>
            </c:strRef>
          </c:cat>
          <c:val>
            <c:numRef>
              <c:f>'4_ESASpecies'!$D$3:$D$19</c:f>
              <c:numCache>
                <c:formatCode>"$"#,##0_);[Red]\("$"#,##0\)</c:formatCode>
                <c:ptCount val="17"/>
                <c:pt idx="0">
                  <c:v>6244616.4426589096</c:v>
                </c:pt>
                <c:pt idx="1">
                  <c:v>12154258.3576193</c:v>
                </c:pt>
                <c:pt idx="2">
                  <c:v>23691457.777468801</c:v>
                </c:pt>
                <c:pt idx="3">
                  <c:v>14384409.791381599</c:v>
                </c:pt>
                <c:pt idx="4">
                  <c:v>5137647.9455375103</c:v>
                </c:pt>
                <c:pt idx="5">
                  <c:v>3267162.5022581299</c:v>
                </c:pt>
                <c:pt idx="6">
                  <c:v>4309155.5797062097</c:v>
                </c:pt>
                <c:pt idx="7">
                  <c:v>7671793.66856289</c:v>
                </c:pt>
                <c:pt idx="8">
                  <c:v>5854675.3730571503</c:v>
                </c:pt>
                <c:pt idx="9">
                  <c:v>41177634.864970297</c:v>
                </c:pt>
                <c:pt idx="10">
                  <c:v>27211217.250613999</c:v>
                </c:pt>
                <c:pt idx="11">
                  <c:v>13716869.0068541</c:v>
                </c:pt>
                <c:pt idx="12">
                  <c:v>4059584.9723810102</c:v>
                </c:pt>
                <c:pt idx="14">
                  <c:v>2027946.3101999999</c:v>
                </c:pt>
                <c:pt idx="15">
                  <c:v>11722631.7788858</c:v>
                </c:pt>
                <c:pt idx="16">
                  <c:v>15473424.684544399</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Chub, Oregon (endangered) 4</c:v>
                </c:pt>
                <c:pt idx="14">
                  <c:v>Cutthroat Trout, Lahontan (threatened)</c:v>
                </c:pt>
                <c:pt idx="15">
                  <c:v>Sturgeon, White - Kootenai River DPS (endangered)</c:v>
                </c:pt>
                <c:pt idx="16">
                  <c:v>Trout, Bull (threatened)</c:v>
                </c:pt>
              </c:strCache>
            </c:strRef>
          </c:cat>
          <c:val>
            <c:numRef>
              <c:f>'4_ESASpecies'!$G$3:$G$19</c:f>
              <c:numCache>
                <c:formatCode>"$"#,##0_);[Red]\("$"#,##0\)</c:formatCode>
                <c:ptCount val="17"/>
                <c:pt idx="0">
                  <c:v>4132.4754499998398</c:v>
                </c:pt>
                <c:pt idx="1">
                  <c:v>47.086199999998399</c:v>
                </c:pt>
                <c:pt idx="2">
                  <c:v>47.086199999998399</c:v>
                </c:pt>
                <c:pt idx="3">
                  <c:v>20478.396299999898</c:v>
                </c:pt>
                <c:pt idx="4">
                  <c:v>1459802.5394474301</c:v>
                </c:pt>
                <c:pt idx="5">
                  <c:v>6.0396132539608503E-14</c:v>
                </c:pt>
                <c:pt idx="6">
                  <c:v>2029371.6464525701</c:v>
                </c:pt>
                <c:pt idx="7">
                  <c:v>6.0396132539608503E-14</c:v>
                </c:pt>
                <c:pt idx="8">
                  <c:v>515.10793000001001</c:v>
                </c:pt>
                <c:pt idx="9">
                  <c:v>18.905379999999301</c:v>
                </c:pt>
                <c:pt idx="10">
                  <c:v>18.905379999999301</c:v>
                </c:pt>
                <c:pt idx="11">
                  <c:v>18.905379999999301</c:v>
                </c:pt>
                <c:pt idx="12">
                  <c:v>2133205.4756931802</c:v>
                </c:pt>
                <c:pt idx="14">
                  <c:v>0</c:v>
                </c:pt>
                <c:pt idx="15">
                  <c:v>0</c:v>
                </c:pt>
                <c:pt idx="16">
                  <c:v>12613168.0193868</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69723702971060098"/>
          <c:y val="0.14080663148345279"/>
          <c:w val="0.23389830508474579"/>
          <c:h val="0.14342258148864453"/>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14808442080308587"/>
                  <c:y val="0.104856778942113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36D-469F-BFEB-8CC3BF38283E}"/>
                </c:ext>
              </c:extLst>
            </c:dLbl>
            <c:dLbl>
              <c:idx val="1"/>
              <c:layout>
                <c:manualLayout>
                  <c:x val="1.3359475483891159E-2"/>
                  <c:y val="-0.1489360518552261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36D-469F-BFEB-8CC3BF38283E}"/>
                </c:ext>
              </c:extLst>
            </c:dLbl>
            <c:dLbl>
              <c:idx val="2"/>
              <c:layout>
                <c:manualLayout>
                  <c:x val="9.9551191559222402E-2"/>
                  <c:y val="-5.855387277289521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736D-469F-BFEB-8CC3BF38283E}"/>
                </c:ext>
              </c:extLst>
            </c:dLbl>
            <c:dLbl>
              <c:idx val="3"/>
              <c:layout>
                <c:manualLayout>
                  <c:x val="0.14127544196388542"/>
                  <c:y val="0.136024969878094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7.7638004412794961E-2"/>
                  <c:y val="6.54379461961440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736D-469F-BFEB-8CC3BF38283E}"/>
                </c:ext>
              </c:extLst>
            </c:dLbl>
            <c:dLbl>
              <c:idx val="5"/>
              <c:layout>
                <c:manualLayout>
                  <c:x val="5.1961478792846072E-2"/>
                  <c:y val="0.1046619537521314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'5_Fund'!$A$22:$A$26</c:f>
              <c:strCache>
                <c:ptCount val="5"/>
                <c:pt idx="0">
                  <c:v>Total BiOp (non Accord)</c:v>
                </c:pt>
                <c:pt idx="1">
                  <c:v>Accords - BiOp</c:v>
                </c:pt>
                <c:pt idx="2">
                  <c:v>Accords - non-BiOp</c:v>
                </c:pt>
                <c:pt idx="3">
                  <c:v>Total General</c:v>
                </c:pt>
                <c:pt idx="4">
                  <c:v>Total BPA Overhead</c:v>
                </c:pt>
              </c:strCache>
            </c:strRef>
          </c:cat>
          <c:val>
            <c:numRef>
              <c:f>'5_Fund'!$B$22:$B$26</c:f>
              <c:numCache>
                <c:formatCode>"$"#,,\ "million"</c:formatCode>
                <c:ptCount val="5"/>
                <c:pt idx="0">
                  <c:v>96641476</c:v>
                </c:pt>
                <c:pt idx="1">
                  <c:v>57573752</c:v>
                </c:pt>
                <c:pt idx="2">
                  <c:v>66808002</c:v>
                </c:pt>
                <c:pt idx="3">
                  <c:v>45108946</c:v>
                </c:pt>
                <c:pt idx="4">
                  <c:v>12567914</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A5C-4DC7-8F1A-219DE91BC20B}"/>
                </c:ext>
              </c:extLst>
            </c:dLbl>
            <c:dLbl>
              <c:idx val="1"/>
              <c:layout>
                <c:manualLayout>
                  <c:x val="-0.190126575967837"/>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5C-4DC7-8F1A-219DE91BC20B}"/>
                </c:ext>
              </c:extLst>
            </c:dLbl>
            <c:dLbl>
              <c:idx val="2"/>
              <c:layout>
                <c:manualLayout>
                  <c:x val="-3.1225039571682166E-2"/>
                  <c:y val="9.1460682475990263E-2"/>
                </c:manualLayout>
              </c:layout>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6060636814751115"/>
                      <c:h val="0.14441207069542464"/>
                    </c:manualLayout>
                  </c15:layout>
                </c:ext>
                <c:ext xmlns:c16="http://schemas.microsoft.com/office/drawing/2014/chart" uri="{C3380CC4-5D6E-409C-BE32-E72D297353CC}">
                  <c16:uniqueId val="{00000004-0A5C-4DC7-8F1A-219DE91BC20B}"/>
                </c:ext>
              </c:extLst>
            </c:dLbl>
            <c:dLbl>
              <c:idx val="3"/>
              <c:layout>
                <c:manualLayout>
                  <c:x val="-0.16733159556227406"/>
                  <c:y val="-0.14529375835318561"/>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0A5C-4DC7-8F1A-219DE91BC20B}"/>
                </c:ext>
              </c:extLst>
            </c:dLbl>
            <c:dLbl>
              <c:idx val="5"/>
              <c:layout>
                <c:manualLayout>
                  <c:x val="0.21477069790381367"/>
                  <c:y val="-0.28505002464021051"/>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8.2135108205137766E-2"/>
                  <c:y val="0.1688535751039049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13576478841390999"/>
                  <c:y val="0.1376938536749389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'6a_Category'!$K$3:$K$13</c:f>
              <c:strCache>
                <c:ptCount val="11"/>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'6a_Category'!$J$3:$J$13</c:f>
              <c:numCache>
                <c:formatCode>"$"#.0,,\ "million"</c:formatCode>
                <c:ptCount val="11"/>
                <c:pt idx="0">
                  <c:v>12490178</c:v>
                </c:pt>
                <c:pt idx="1">
                  <c:v>11036776</c:v>
                </c:pt>
                <c:pt idx="2">
                  <c:v>5980713</c:v>
                </c:pt>
                <c:pt idx="3">
                  <c:v>123250425</c:v>
                </c:pt>
                <c:pt idx="4">
                  <c:v>6599734</c:v>
                </c:pt>
                <c:pt idx="5">
                  <c:v>36978108</c:v>
                </c:pt>
                <c:pt idx="6">
                  <c:v>939310</c:v>
                </c:pt>
                <c:pt idx="7">
                  <c:v>3392431</c:v>
                </c:pt>
                <c:pt idx="8">
                  <c:v>78032415</c:v>
                </c:pt>
                <c:pt idx="9">
                  <c:v>10367580</c:v>
                </c:pt>
                <c:pt idx="10">
                  <c:v>304457</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5CE-487F-888A-ADA545CC2CAC}"/>
                </c:ext>
              </c:extLst>
            </c:dLbl>
            <c:dLbl>
              <c:idx val="1"/>
              <c:layout>
                <c:manualLayout>
                  <c:x val="-0.14716303533052369"/>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23743009299567872"/>
                  <c:y val="-6.6112114114637521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 xmlns:c16="http://schemas.microsoft.com/office/drawing/2014/chart" uri="{C3380CC4-5D6E-409C-BE32-E72D297353CC}">
                  <c16:uniqueId val="{00000004-A5CE-487F-888A-ADA545CC2CAC}"/>
                </c:ext>
              </c:extLst>
            </c:dLbl>
            <c:dLbl>
              <c:idx val="3"/>
              <c:layout>
                <c:manualLayout>
                  <c:x val="8.366593131887208E-2"/>
                  <c:y val="-1.5518126942971217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 and E</c:v>
                </c:pt>
                <c:pt idx="3">
                  <c:v>Supplementation</c:v>
                </c:pt>
              </c:strCache>
            </c:strRef>
          </c:cat>
          <c:val>
            <c:numRef>
              <c:f>'6b_ArtProd'!$J$3:$J$6</c:f>
              <c:numCache>
                <c:formatCode>"$"#.0,,\ "million"</c:formatCode>
                <c:ptCount val="4"/>
                <c:pt idx="0">
                  <c:v>598768</c:v>
                </c:pt>
                <c:pt idx="1">
                  <c:v>6599734</c:v>
                </c:pt>
                <c:pt idx="2">
                  <c:v>24832549</c:v>
                </c:pt>
                <c:pt idx="3">
                  <c:v>36978108</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4188228898572145"/>
                  <c:y val="0.18313229267394207"/>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9189426564397896"/>
                      <c:h val="0.10324022655062853"/>
                    </c:manualLayout>
                  </c15:layout>
                </c:ext>
                <c:ext xmlns:c16="http://schemas.microsoft.com/office/drawing/2014/chart" uri="{C3380CC4-5D6E-409C-BE32-E72D297353CC}">
                  <c16:uniqueId val="{00000000-5D53-435E-BE94-4CF8A3BB5C2A}"/>
                </c:ext>
              </c:extLst>
            </c:dLbl>
            <c:dLbl>
              <c:idx val="1"/>
              <c:layout>
                <c:manualLayout>
                  <c:x val="-0.21403511454272101"/>
                  <c:y val="-0.19887360132615001"/>
                </c:manualLayout>
              </c:layout>
              <c:showLegendKey val="0"/>
              <c:showVal val="1"/>
              <c:showCatName val="1"/>
              <c:showSerName val="0"/>
              <c:showPercent val="1"/>
              <c:showBubbleSize val="0"/>
              <c:extLst>
                <c:ext xmlns:c15="http://schemas.microsoft.com/office/drawing/2012/chart" uri="{CE6537A1-D6FC-4f65-9D91-7224C49458BB}">
                  <c15:layout>
                    <c:manualLayout>
                      <c:w val="0.20401294498381881"/>
                      <c:h val="6.435087719298245E-2"/>
                    </c:manualLayout>
                  </c15:layout>
                </c:ext>
                <c:ext xmlns:c16="http://schemas.microsoft.com/office/drawing/2014/chart" uri="{C3380CC4-5D6E-409C-BE32-E72D297353CC}">
                  <c16:uniqueId val="{00000001-5D53-435E-BE94-4CF8A3BB5C2A}"/>
                </c:ext>
              </c:extLst>
            </c:dLbl>
            <c:dLbl>
              <c:idx val="2"/>
              <c:layout>
                <c:manualLayout>
                  <c:x val="1.6240688360556792E-2"/>
                  <c:y val="-5.847953216374268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D53-435E-BE94-4CF8A3BB5C2A}"/>
                </c:ext>
              </c:extLst>
            </c:dLbl>
            <c:dLbl>
              <c:idx val="3"/>
              <c:layout>
                <c:manualLayout>
                  <c:x val="9.4511123002828532E-2"/>
                  <c:y val="-8.17512547773633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53-435E-BE94-4CF8A3BB5C2A}"/>
                </c:ext>
              </c:extLst>
            </c:dLbl>
            <c:dLbl>
              <c:idx val="4"/>
              <c:layout>
                <c:manualLayout>
                  <c:x val="6.2467701246082093E-2"/>
                  <c:y val="-0.11912032048625501"/>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8.1025371828521445E-2"/>
                    </c:manualLayout>
                  </c15:layout>
                </c:ext>
                <c:ext xmlns:c16="http://schemas.microsoft.com/office/drawing/2014/chart" uri="{C3380CC4-5D6E-409C-BE32-E72D297353CC}">
                  <c16:uniqueId val="{00000004-5D53-435E-BE94-4CF8A3BB5C2A}"/>
                </c:ext>
              </c:extLst>
            </c:dLbl>
            <c:dLbl>
              <c:idx val="5"/>
              <c:layout>
                <c:manualLayout>
                  <c:x val="0.11337767245113778"/>
                  <c:y val="7.058617672790897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 xmlns:c16="http://schemas.microsoft.com/office/drawing/2014/chart" uri="{C3380CC4-5D6E-409C-BE32-E72D297353CC}">
                  <c16:uniqueId val="{00000005-5D53-435E-BE94-4CF8A3BB5C2A}"/>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D53-435E-BE94-4CF8A3BB5C2A}"/>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5D53-435E-BE94-4CF8A3BB5C2A}"/>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53-435E-BE94-4CF8A3BB5C2A}"/>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D53-435E-BE94-4CF8A3BB5C2A}"/>
                </c:ext>
              </c:extLst>
            </c:dLbl>
            <c:dLbl>
              <c:idx val="10"/>
              <c:layout>
                <c:manualLayout>
                  <c:x val="8.3128965675407035E-2"/>
                  <c:y val="7.507906248561034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5D53-435E-BE94-4CF8A3BB5C2A}"/>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5D53-435E-BE94-4CF8A3BB5C2A}"/>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'7_RME'!$A$4:$A$9</c:f>
              <c:strCache>
                <c:ptCount val="6"/>
                <c:pt idx="0">
                  <c:v>Artificial Production</c:v>
                </c:pt>
                <c:pt idx="1">
                  <c:v>Habitat</c:v>
                </c:pt>
                <c:pt idx="2">
                  <c:v>Harvest</c:v>
                </c:pt>
                <c:pt idx="3">
                  <c:v>Hydrosystem</c:v>
                </c:pt>
                <c:pt idx="4">
                  <c:v>Predation</c:v>
                </c:pt>
                <c:pt idx="5">
                  <c:v>Programmatic</c:v>
                </c:pt>
              </c:strCache>
            </c:strRef>
          </c:cat>
          <c:val>
            <c:numRef>
              <c:f>'7_RME'!$C$4:$C$9</c:f>
              <c:numCache>
                <c:formatCode>"$"#.0,,\ "million"</c:formatCode>
                <c:ptCount val="6"/>
                <c:pt idx="0">
                  <c:v>24832549</c:v>
                </c:pt>
                <c:pt idx="1">
                  <c:v>12924874</c:v>
                </c:pt>
                <c:pt idx="2">
                  <c:v>1129180</c:v>
                </c:pt>
                <c:pt idx="3">
                  <c:v>8297504</c:v>
                </c:pt>
                <c:pt idx="4">
                  <c:v>1213338</c:v>
                </c:pt>
                <c:pt idx="5">
                  <c:v>29634970</c:v>
                </c:pt>
              </c:numCache>
            </c:numRef>
          </c:val>
          <c:extLst>
            <c:ext xmlns:c16="http://schemas.microsoft.com/office/drawing/2014/chart" uri="{C3380CC4-5D6E-409C-BE32-E72D297353CC}">
              <c16:uniqueId val="{0000000C-5D53-435E-BE94-4CF8A3BB5C2A}"/>
            </c:ext>
          </c:extLst>
        </c:ser>
        <c:ser>
          <c:idx val="1"/>
          <c:order val="1"/>
          <c:val>
            <c:numLit>
              <c:formatCode>General</c:formatCode>
              <c:ptCount val="1"/>
              <c:pt idx="0">
                <c:v>1</c:v>
              </c:pt>
            </c:numLit>
          </c:val>
          <c:extLst>
            <c:ext xmlns:c16="http://schemas.microsoft.com/office/drawing/2014/chart" uri="{C3380CC4-5D6E-409C-BE32-E72D297353CC}">
              <c16:uniqueId val="{0000000D-5D53-435E-BE94-4CF8A3BB5C2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5.5258857205956129E-2"/>
                  <c:y val="6.500363770318183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795683306576967"/>
                      <c:h val="8.6865957544780589E-2"/>
                    </c:manualLayout>
                  </c15:layout>
                </c:ext>
                <c:ext xmlns:c16="http://schemas.microsoft.com/office/drawing/2014/chart" uri="{C3380CC4-5D6E-409C-BE32-E72D297353CC}">
                  <c16:uniqueId val="{00000000-7FEE-4D26-A36B-86FFF3A5B10A}"/>
                </c:ext>
              </c:extLst>
            </c:dLbl>
            <c:dLbl>
              <c:idx val="1"/>
              <c:layout>
                <c:manualLayout>
                  <c:x val="-0.17520011473772376"/>
                  <c:y val="0.1301040180470435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EE-4D26-A36B-86FFF3A5B10A}"/>
                </c:ext>
              </c:extLst>
            </c:dLbl>
            <c:dLbl>
              <c:idx val="2"/>
              <c:layout>
                <c:manualLayout>
                  <c:x val="-0.14557160937407104"/>
                  <c:y val="7.144393792881152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EE-4D26-A36B-86FFF3A5B10A}"/>
                </c:ext>
              </c:extLst>
            </c:dLbl>
            <c:dLbl>
              <c:idx val="3"/>
              <c:layout>
                <c:manualLayout>
                  <c:x val="-0.19027858094751507"/>
                  <c:y val="-0.1308740595371996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EE-4D26-A36B-86FFF3A5B10A}"/>
                </c:ext>
              </c:extLst>
            </c:dLbl>
            <c:dLbl>
              <c:idx val="4"/>
              <c:layout>
                <c:manualLayout>
                  <c:x val="-4.1014762375935911E-2"/>
                  <c:y val="-6.181040899441711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5.997274024957408E-2"/>
                    </c:manualLayout>
                  </c15:layout>
                </c:ext>
                <c:ext xmlns:c16="http://schemas.microsoft.com/office/drawing/2014/chart" uri="{C3380CC4-5D6E-409C-BE32-E72D297353CC}">
                  <c16:uniqueId val="{00000004-7FEE-4D26-A36B-86FFF3A5B10A}"/>
                </c:ext>
              </c:extLst>
            </c:dLbl>
            <c:dLbl>
              <c:idx val="5"/>
              <c:layout>
                <c:manualLayout>
                  <c:x val="4.8652753357286652E-2"/>
                  <c:y val="-0.14461859372841554"/>
                </c:manualLayout>
              </c:layout>
              <c:showLegendKey val="0"/>
              <c:showVal val="1"/>
              <c:showCatName val="1"/>
              <c:showSerName val="0"/>
              <c:showPercent val="1"/>
              <c:showBubbleSize val="0"/>
              <c:extLst>
                <c:ext xmlns:c15="http://schemas.microsoft.com/office/drawing/2012/chart" uri="{CE6537A1-D6FC-4f65-9D91-7224C49458BB}">
                  <c15:layout>
                    <c:manualLayout>
                      <c:w val="0.17401105490482502"/>
                      <c:h val="5.35258058034025E-2"/>
                    </c:manualLayout>
                  </c15:layout>
                </c:ext>
                <c:ext xmlns:c16="http://schemas.microsoft.com/office/drawing/2014/chart" uri="{C3380CC4-5D6E-409C-BE32-E72D297353CC}">
                  <c16:uniqueId val="{00000005-7FEE-4D26-A36B-86FFF3A5B10A}"/>
                </c:ext>
              </c:extLst>
            </c:dLbl>
            <c:dLbl>
              <c:idx val="6"/>
              <c:layout>
                <c:manualLayout>
                  <c:x val="0.13569214042419456"/>
                  <c:y val="-0.1640742275636598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EE-4D26-A36B-86FFF3A5B10A}"/>
                </c:ext>
              </c:extLst>
            </c:dLbl>
            <c:dLbl>
              <c:idx val="7"/>
              <c:layout>
                <c:manualLayout>
                  <c:x val="6.3457856602876089E-2"/>
                  <c:y val="-4.4158677533729339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7FEE-4D26-A36B-86FFF3A5B10A}"/>
                </c:ext>
              </c:extLst>
            </c:dLbl>
            <c:dLbl>
              <c:idx val="8"/>
              <c:layout>
                <c:manualLayout>
                  <c:x val="5.4920537845390686E-2"/>
                  <c:y val="4.0521250633144539E-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EE-4D26-A36B-86FFF3A5B10A}"/>
                </c:ext>
              </c:extLst>
            </c:dLbl>
            <c:dLbl>
              <c:idx val="9"/>
              <c:layout>
                <c:manualLayout>
                  <c:x val="0.14159892634779875"/>
                  <c:y val="0.1574911820232997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FEE-4D26-A36B-86FFF3A5B10A}"/>
                </c:ext>
              </c:extLst>
            </c:dLbl>
            <c:dLbl>
              <c:idx val="10"/>
              <c:layout>
                <c:manualLayout>
                  <c:x val="9.607403443501597E-2"/>
                  <c:y val="0.1078276004973062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25015926408"/>
                      <c:h val="7.926214486347101E-2"/>
                    </c:manualLayout>
                  </c15:layout>
                </c:ext>
                <c:ext xmlns:c16="http://schemas.microsoft.com/office/drawing/2014/chart" uri="{C3380CC4-5D6E-409C-BE32-E72D297353CC}">
                  <c16:uniqueId val="{0000000A-7FEE-4D26-A36B-86FFF3A5B10A}"/>
                </c:ext>
              </c:extLst>
            </c:dLbl>
            <c:dLbl>
              <c:idx val="11"/>
              <c:layout>
                <c:manualLayout>
                  <c:x val="0.12941492750299413"/>
                  <c:y val="0.19818114840908041"/>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7FEE-4D26-A36B-86FFF3A5B10A}"/>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'8_Province'!$E$29:$E$41</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'8_Province'!$F$29:$F$41</c:f>
              <c:numCache>
                <c:formatCode>"$"#.0,,\ "million"</c:formatCode>
                <c:ptCount val="13"/>
                <c:pt idx="0">
                  <c:v>15971140</c:v>
                </c:pt>
                <c:pt idx="1">
                  <c:v>26971498</c:v>
                </c:pt>
                <c:pt idx="2">
                  <c:v>12057261</c:v>
                </c:pt>
                <c:pt idx="3">
                  <c:v>62147342</c:v>
                </c:pt>
                <c:pt idx="4">
                  <c:v>8368864</c:v>
                </c:pt>
                <c:pt idx="5">
                  <c:v>21730080</c:v>
                </c:pt>
                <c:pt idx="6">
                  <c:v>31737631</c:v>
                </c:pt>
                <c:pt idx="7">
                  <c:v>4527680</c:v>
                </c:pt>
                <c:pt idx="8">
                  <c:v>35985026</c:v>
                </c:pt>
                <c:pt idx="9">
                  <c:v>31667229</c:v>
                </c:pt>
                <c:pt idx="10">
                  <c:v>3449209</c:v>
                </c:pt>
                <c:pt idx="11">
                  <c:v>4841580</c:v>
                </c:pt>
                <c:pt idx="12">
                  <c:v>19245550</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xdr:col>
      <xdr:colOff>81520</xdr:colOff>
      <xdr:row>28</xdr:row>
      <xdr:rowOff>98329</xdr:rowOff>
    </xdr:from>
    <xdr:to>
      <xdr:col>15</xdr:col>
      <xdr:colOff>254934</xdr:colOff>
      <xdr:row>60</xdr:row>
      <xdr:rowOff>71156</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28</xdr:row>
      <xdr:rowOff>19050</xdr:rowOff>
    </xdr:from>
    <xdr:to>
      <xdr:col>3</xdr:col>
      <xdr:colOff>485775</xdr:colOff>
      <xdr:row>54</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447674</xdr:colOff>
      <xdr:row>22</xdr:row>
      <xdr:rowOff>19049</xdr:rowOff>
    </xdr:from>
    <xdr:to>
      <xdr:col>12</xdr:col>
      <xdr:colOff>457200</xdr:colOff>
      <xdr:row>54</xdr:row>
      <xdr:rowOff>19050</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312965</xdr:colOff>
      <xdr:row>78</xdr:row>
      <xdr:rowOff>101655</xdr:rowOff>
    </xdr:from>
    <xdr:to>
      <xdr:col>16</xdr:col>
      <xdr:colOff>280147</xdr:colOff>
      <xdr:row>115</xdr:row>
      <xdr:rowOff>205708</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367394</xdr:colOff>
      <xdr:row>45</xdr:row>
      <xdr:rowOff>95252</xdr:rowOff>
    </xdr:from>
    <xdr:to>
      <xdr:col>9</xdr:col>
      <xdr:colOff>217716</xdr:colOff>
      <xdr:row>79</xdr:row>
      <xdr:rowOff>16008</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0</xdr:colOff>
      <xdr:row>26</xdr:row>
      <xdr:rowOff>1242</xdr:rowOff>
    </xdr:from>
    <xdr:to>
      <xdr:col>41</xdr:col>
      <xdr:colOff>361951</xdr:colOff>
      <xdr:row>51</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27</xdr:row>
      <xdr:rowOff>0</xdr:rowOff>
    </xdr:from>
    <xdr:to>
      <xdr:col>53</xdr:col>
      <xdr:colOff>447262</xdr:colOff>
      <xdr:row>52</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0.40012</cdr:x>
      <cdr:y>0.31312</cdr:y>
    </cdr:from>
    <cdr:to>
      <cdr:x>0.52795</cdr:x>
      <cdr:y>0.41242</cdr:y>
    </cdr:to>
    <cdr:sp macro="" textlink="'1_CostsByArea'!$G$13">
      <cdr:nvSpPr>
        <cdr:cNvPr id="2" name="TextBox 1"/>
        <cdr:cNvSpPr txBox="1"/>
      </cdr:nvSpPr>
      <cdr:spPr>
        <a:xfrm xmlns:a="http://schemas.openxmlformats.org/drawingml/2006/main">
          <a:off x="3630089" y="1919219"/>
          <a:ext cx="1159748" cy="608630"/>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8D3027CB-7549-4B99-917E-C8B1DB7273A7}" type="TxLink">
            <a:rPr lang="en-US" sz="1050" b="0" i="0" u="none" strike="noStrike">
              <a:solidFill>
                <a:srgbClr val="000000"/>
              </a:solidFill>
              <a:latin typeface="Century Gothic" panose="020B0502020202020204" pitchFamily="34" charset="0"/>
              <a:ea typeface="+mn-ea"/>
              <a:cs typeface="+mn-cs"/>
            </a:rPr>
            <a:pPr marL="0" indent="0" algn="ctr"/>
            <a:t>Fixed costs, $105.1 million</a:t>
          </a:fld>
          <a:endParaRPr lang="en-US" sz="900">
            <a:latin typeface="Century Gothic" panose="020B0502020202020204" pitchFamily="34" charset="0"/>
            <a:ea typeface="+mn-ea"/>
            <a:cs typeface="+mn-cs"/>
          </a:endParaRPr>
        </a:p>
      </cdr:txBody>
    </cdr:sp>
  </cdr:relSizeAnchor>
  <cdr:relSizeAnchor xmlns:cdr="http://schemas.openxmlformats.org/drawingml/2006/chartDrawing">
    <cdr:from>
      <cdr:x>0.40394</cdr:x>
      <cdr:y>0.66097</cdr:y>
    </cdr:from>
    <cdr:to>
      <cdr:x>0.5626</cdr:x>
      <cdr:y>0.73556</cdr:y>
    </cdr:to>
    <cdr:sp macro="" textlink="'1_CostsByArea'!$G$12">
      <cdr:nvSpPr>
        <cdr:cNvPr id="3" name="TextBox 1"/>
        <cdr:cNvSpPr txBox="1"/>
      </cdr:nvSpPr>
      <cdr:spPr>
        <a:xfrm xmlns:a="http://schemas.openxmlformats.org/drawingml/2006/main">
          <a:off x="3641724" y="4051300"/>
          <a:ext cx="1430341" cy="457200"/>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9E0BEF0-C0A6-4559-96F8-6A3B59117DE9}" type="TxLink">
            <a:rPr lang="en-US" sz="1050" b="0" i="0" u="none" strike="noStrike">
              <a:solidFill>
                <a:srgbClr val="000000"/>
              </a:solidFill>
              <a:latin typeface="Century Gothic" panose="020B0502020202020204" pitchFamily="34" charset="0"/>
            </a:rPr>
            <a:pPr algn="ctr"/>
            <a:t>Reimburseable costs, $89.9 million</a:t>
          </a:fld>
          <a:endParaRPr lang="en-US" sz="900">
            <a:latin typeface="Century Gothic" panose="020B0502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3</xdr:col>
      <xdr:colOff>0</xdr:colOff>
      <xdr:row>41</xdr:row>
      <xdr:rowOff>0</xdr:rowOff>
    </xdr:from>
    <xdr:to>
      <xdr:col>7</xdr:col>
      <xdr:colOff>666750</xdr:colOff>
      <xdr:row>71</xdr:row>
      <xdr:rowOff>110217</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600074</xdr:colOff>
      <xdr:row>14</xdr:row>
      <xdr:rowOff>9524</xdr:rowOff>
    </xdr:from>
    <xdr:to>
      <xdr:col>6</xdr:col>
      <xdr:colOff>95250</xdr:colOff>
      <xdr:row>33</xdr:row>
      <xdr:rowOff>123824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0</xdr:rowOff>
    </xdr:from>
    <xdr:to>
      <xdr:col>2</xdr:col>
      <xdr:colOff>676275</xdr:colOff>
      <xdr:row>59</xdr:row>
      <xdr:rowOff>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20</xdr:row>
      <xdr:rowOff>0</xdr:rowOff>
    </xdr:from>
    <xdr:to>
      <xdr:col>7</xdr:col>
      <xdr:colOff>171450</xdr:colOff>
      <xdr:row>42</xdr:row>
      <xdr:rowOff>34017</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1085848</xdr:colOff>
      <xdr:row>23</xdr:row>
      <xdr:rowOff>133349</xdr:rowOff>
    </xdr:from>
    <xdr:to>
      <xdr:col>4</xdr:col>
      <xdr:colOff>819150</xdr:colOff>
      <xdr:row>56</xdr:row>
      <xdr:rowOff>142875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1085848</xdr:colOff>
      <xdr:row>13</xdr:row>
      <xdr:rowOff>133349</xdr:rowOff>
    </xdr:from>
    <xdr:to>
      <xdr:col>4</xdr:col>
      <xdr:colOff>819150</xdr:colOff>
      <xdr:row>46</xdr:row>
      <xdr:rowOff>142875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16</xdr:row>
      <xdr:rowOff>66675</xdr:rowOff>
    </xdr:from>
    <xdr:to>
      <xdr:col>4</xdr:col>
      <xdr:colOff>914400</xdr:colOff>
      <xdr:row>42</xdr:row>
      <xdr:rowOff>47625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S2529\AppData\Local\Microsoft\Windows\Temporary%20Internet%20Files\Content.Outlook\O15ARXQ4\inactive\bpa_mrv2008.xn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B0422\AppData\Local\Microsoft\Windows\Temporary%20Internet%20Files\Content.Outlook\SVIJCXTX\4h10c%20FRG%20Queries%20and%20FRS%20nVision%20Report_Periods%201-12%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sheetData sheetId="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topLeftCell="A25" zoomScaleNormal="100" workbookViewId="0">
      <selection activeCell="A37" sqref="A37"/>
    </sheetView>
  </sheetViews>
  <sheetFormatPr defaultRowHeight="15"/>
  <cols>
    <col min="1" max="1" width="63.140625" style="92" bestFit="1" customWidth="1"/>
    <col min="2" max="2" width="9.5703125" style="92" bestFit="1" customWidth="1"/>
    <col min="3" max="3" width="5.7109375" style="92" customWidth="1"/>
    <col min="4" max="4" width="17.140625" style="92" customWidth="1"/>
    <col min="5" max="6" width="9.140625" style="92"/>
    <col min="7" max="7" width="9.140625" style="92" customWidth="1"/>
    <col min="8" max="16384" width="9.140625" style="92"/>
  </cols>
  <sheetData>
    <row r="1" spans="1:10" ht="25.5" customHeight="1">
      <c r="A1" s="270" t="s">
        <v>525</v>
      </c>
      <c r="B1" s="270"/>
      <c r="C1" s="270"/>
      <c r="D1" s="270"/>
      <c r="E1" s="270"/>
      <c r="F1" s="270"/>
      <c r="G1" s="270"/>
      <c r="H1" s="270"/>
      <c r="I1" s="270"/>
      <c r="J1" s="270"/>
    </row>
    <row r="3" spans="1:10">
      <c r="A3" s="26" t="s">
        <v>267</v>
      </c>
      <c r="E3" s="231" t="s">
        <v>408</v>
      </c>
    </row>
    <row r="5" spans="1:10">
      <c r="A5" s="26" t="s">
        <v>407</v>
      </c>
      <c r="B5" s="231" t="s">
        <v>409</v>
      </c>
    </row>
    <row r="6" spans="1:10" ht="16.5">
      <c r="A6" s="22"/>
      <c r="B6" s="22"/>
    </row>
    <row r="7" spans="1:10" ht="16.5">
      <c r="A7" s="22" t="s">
        <v>216</v>
      </c>
      <c r="B7" s="184">
        <f>'12_Cumulative'!AN19</f>
        <v>258.70465134000005</v>
      </c>
    </row>
    <row r="8" spans="1:10" ht="16.5">
      <c r="A8" s="22" t="s">
        <v>268</v>
      </c>
      <c r="B8" s="182">
        <f>'12_Cumulative'!AN17</f>
        <v>2.9</v>
      </c>
    </row>
    <row r="9" spans="1:10" ht="16.5">
      <c r="A9" s="22" t="s">
        <v>218</v>
      </c>
      <c r="B9" s="177">
        <v>47.5</v>
      </c>
      <c r="C9" s="275" t="s">
        <v>289</v>
      </c>
      <c r="D9" s="272" t="s">
        <v>288</v>
      </c>
      <c r="E9" s="273">
        <f>SUM(B9:B12)</f>
        <v>89.9</v>
      </c>
      <c r="G9" s="231" t="s">
        <v>410</v>
      </c>
    </row>
    <row r="10" spans="1:10" ht="16.5">
      <c r="A10" s="22" t="s">
        <v>217</v>
      </c>
      <c r="B10" s="177">
        <v>31.4</v>
      </c>
      <c r="C10" s="276"/>
      <c r="D10" s="272"/>
      <c r="E10" s="273"/>
    </row>
    <row r="11" spans="1:10" ht="16.5">
      <c r="A11" s="22" t="s">
        <v>219</v>
      </c>
      <c r="B11" s="177">
        <v>5.5</v>
      </c>
      <c r="C11" s="276"/>
      <c r="D11" s="272"/>
      <c r="E11" s="273"/>
    </row>
    <row r="12" spans="1:10" ht="16.5">
      <c r="A12" s="22" t="s">
        <v>220</v>
      </c>
      <c r="B12" s="177">
        <v>5.5</v>
      </c>
      <c r="C12" s="276"/>
      <c r="D12" s="272"/>
      <c r="E12" s="273"/>
      <c r="G12" s="92" t="str">
        <f>"Reimburseable costs, "&amp;TEXT(E9,"$0.0")&amp;" million"</f>
        <v>Reimburseable costs, $89.9 million</v>
      </c>
    </row>
    <row r="13" spans="1:10" ht="16.5">
      <c r="A13" s="22" t="s">
        <v>221</v>
      </c>
      <c r="B13" s="183">
        <v>41</v>
      </c>
      <c r="C13" s="277" t="s">
        <v>289</v>
      </c>
      <c r="D13" s="274" t="s">
        <v>287</v>
      </c>
      <c r="E13" s="279">
        <f>SUM(B13:B14)</f>
        <v>105.1</v>
      </c>
      <c r="G13" s="92" t="str">
        <f>"Fixed costs, "&amp;TEXT(E13,"$0.0")&amp;" million"</f>
        <v>Fixed costs, $105.1 million</v>
      </c>
    </row>
    <row r="14" spans="1:10" ht="16.5">
      <c r="A14" s="22" t="s">
        <v>222</v>
      </c>
      <c r="B14" s="183">
        <v>64.099999999999994</v>
      </c>
      <c r="C14" s="278"/>
      <c r="D14" s="274"/>
      <c r="E14" s="278"/>
      <c r="G14" s="231" t="s">
        <v>411</v>
      </c>
    </row>
    <row r="15" spans="1:10" ht="16.5">
      <c r="A15" s="22" t="s">
        <v>223</v>
      </c>
      <c r="B15" s="185">
        <v>24.3</v>
      </c>
    </row>
    <row r="16" spans="1:10" ht="16.5">
      <c r="A16" s="22" t="s">
        <v>39</v>
      </c>
      <c r="B16" s="224">
        <f>SUM(B7:B15)</f>
        <v>480.90465134000004</v>
      </c>
    </row>
    <row r="17" spans="1:29" ht="16.5">
      <c r="A17" s="22"/>
      <c r="B17" s="224"/>
    </row>
    <row r="18" spans="1:29" ht="16.5">
      <c r="A18" s="230" t="s">
        <v>415</v>
      </c>
      <c r="B18" s="22"/>
    </row>
    <row r="19" spans="1:29" ht="16.5" customHeight="1">
      <c r="A19" s="228" t="s">
        <v>414</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row>
    <row r="20" spans="1:29" ht="16.5" customHeight="1">
      <c r="A20" s="179" t="s">
        <v>283</v>
      </c>
      <c r="B20" s="208"/>
      <c r="C20" s="208"/>
      <c r="D20" s="208"/>
      <c r="E20" s="208"/>
      <c r="F20" s="208"/>
      <c r="G20" s="208"/>
      <c r="H20" s="208"/>
      <c r="I20" s="208"/>
      <c r="J20" s="208"/>
      <c r="K20" s="208"/>
      <c r="L20" s="208"/>
      <c r="M20" s="208"/>
      <c r="N20" s="208"/>
      <c r="O20" s="208"/>
      <c r="P20" s="208"/>
      <c r="Q20" s="209"/>
      <c r="R20" s="209"/>
      <c r="S20" s="209"/>
      <c r="T20" s="209"/>
      <c r="U20" s="209"/>
      <c r="V20" s="209"/>
      <c r="W20" s="209"/>
      <c r="X20" s="209"/>
      <c r="Y20" s="209"/>
      <c r="Z20" s="209"/>
      <c r="AA20" s="209"/>
      <c r="AB20" s="209"/>
      <c r="AC20" s="178"/>
    </row>
    <row r="21" spans="1:29" ht="16.5">
      <c r="A21" s="179" t="s">
        <v>284</v>
      </c>
      <c r="B21" s="179"/>
      <c r="C21" s="179"/>
      <c r="D21" s="179"/>
      <c r="E21" s="179"/>
      <c r="F21" s="179"/>
      <c r="G21" s="179"/>
      <c r="H21" s="179"/>
      <c r="I21" s="179"/>
      <c r="J21" s="179"/>
      <c r="K21" s="179"/>
      <c r="L21" s="179"/>
      <c r="M21" s="179"/>
      <c r="N21" s="179"/>
      <c r="O21" s="179"/>
      <c r="P21" s="179"/>
      <c r="Q21" s="209"/>
      <c r="R21" s="209"/>
      <c r="S21" s="209"/>
      <c r="T21" s="209"/>
      <c r="U21" s="209"/>
      <c r="V21" s="209"/>
      <c r="W21" s="209"/>
      <c r="X21" s="209"/>
      <c r="Y21" s="209"/>
      <c r="Z21" s="209"/>
      <c r="AA21" s="209"/>
      <c r="AB21" s="209"/>
      <c r="AC21" s="180"/>
    </row>
    <row r="22" spans="1:29" ht="16.5" customHeight="1">
      <c r="A22" s="179" t="s">
        <v>285</v>
      </c>
      <c r="B22" s="208"/>
      <c r="C22" s="208"/>
      <c r="D22" s="208"/>
      <c r="E22" s="208"/>
      <c r="F22" s="208"/>
      <c r="G22" s="208"/>
      <c r="H22" s="208"/>
      <c r="I22" s="208"/>
      <c r="J22" s="208"/>
      <c r="K22" s="208"/>
      <c r="L22" s="208"/>
      <c r="M22" s="208"/>
      <c r="N22" s="208"/>
      <c r="O22" s="208"/>
      <c r="P22" s="208"/>
      <c r="Q22" s="209"/>
      <c r="R22" s="209"/>
      <c r="S22" s="209"/>
      <c r="T22" s="209"/>
      <c r="U22" s="209"/>
      <c r="V22" s="209"/>
      <c r="W22" s="209"/>
      <c r="X22" s="209"/>
      <c r="Y22" s="209"/>
      <c r="Z22" s="209"/>
      <c r="AA22" s="209"/>
      <c r="AB22" s="209"/>
      <c r="AC22" s="180"/>
    </row>
    <row r="23" spans="1:29" ht="16.5" customHeight="1">
      <c r="A23" s="229" t="s">
        <v>286</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181"/>
      <c r="AB23" s="181"/>
      <c r="AC23" s="180"/>
    </row>
    <row r="24" spans="1:29" ht="16.5">
      <c r="A24" s="22"/>
      <c r="B24" s="22"/>
    </row>
    <row r="25" spans="1:29" ht="16.5">
      <c r="A25" s="22" t="s">
        <v>290</v>
      </c>
      <c r="B25" s="224">
        <v>83.2</v>
      </c>
      <c r="D25" s="231" t="s">
        <v>413</v>
      </c>
    </row>
    <row r="26" spans="1:29" ht="16.5">
      <c r="A26" s="22" t="s">
        <v>291</v>
      </c>
      <c r="B26" s="224">
        <v>-70.099999999999994</v>
      </c>
      <c r="D26" s="231" t="s">
        <v>412</v>
      </c>
    </row>
    <row r="27" spans="1:29" ht="16.5">
      <c r="A27" s="22"/>
      <c r="B27" s="187"/>
    </row>
    <row r="28" spans="1:29" ht="16.5">
      <c r="A28" s="22" t="s">
        <v>101</v>
      </c>
      <c r="B28" s="187"/>
    </row>
    <row r="29" spans="1:29" ht="16.5" customHeight="1">
      <c r="A29" s="271" t="str">
        <f>"Total of "&amp;TEXT(B16,"$#0.0")&amp;" million does not reflect "&amp;TEXT(B25,"$#0.0")&amp;" million in obligations to capital projects for fish and wildlife projects, software development, and structures at dams, or "&amp;TEXT(ABS(B26),"$#0.0")&amp;" million federal credits Bonneville receives from the U.S. Treasury"</f>
        <v>Total of $480.9 million does not reflect $83.2 million in obligations to capital projects for fish and wildlife projects, software development, and structures at dams, or $70.1 million federal credits Bonneville receives from the U.S. Treasury</v>
      </c>
      <c r="B29" s="271"/>
      <c r="C29" s="271"/>
      <c r="D29" s="271"/>
      <c r="E29" s="271"/>
      <c r="F29" s="271"/>
      <c r="G29" s="271"/>
      <c r="H29" s="271"/>
      <c r="I29" s="271"/>
      <c r="J29" s="271"/>
      <c r="K29" s="271"/>
    </row>
    <row r="30" spans="1:29" ht="16.5" customHeight="1">
      <c r="A30" s="271"/>
      <c r="B30" s="271"/>
      <c r="C30" s="271"/>
      <c r="D30" s="271"/>
      <c r="E30" s="271"/>
      <c r="F30" s="271"/>
      <c r="G30" s="271"/>
      <c r="H30" s="271"/>
      <c r="I30" s="271"/>
      <c r="J30" s="271"/>
      <c r="K30" s="271"/>
    </row>
    <row r="31" spans="1:29" ht="16.5">
      <c r="A31" s="22"/>
      <c r="B31" s="187"/>
    </row>
    <row r="41" spans="1:1">
      <c r="A41" s="225"/>
    </row>
  </sheetData>
  <mergeCells count="8">
    <mergeCell ref="A1:J1"/>
    <mergeCell ref="A29:K30"/>
    <mergeCell ref="D9:D12"/>
    <mergeCell ref="E9:E12"/>
    <mergeCell ref="D13:D14"/>
    <mergeCell ref="C9:C12"/>
    <mergeCell ref="C13:C14"/>
    <mergeCell ref="E13:E14"/>
  </mergeCell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9"/>
  <sheetViews>
    <sheetView topLeftCell="A16" zoomScaleNormal="100" workbookViewId="0">
      <selection activeCell="A25" sqref="A25:L25"/>
    </sheetView>
  </sheetViews>
  <sheetFormatPr defaultRowHeight="16.5"/>
  <cols>
    <col min="1" max="1" width="51.85546875" style="32" customWidth="1"/>
    <col min="2" max="2" width="14.5703125" style="33" customWidth="1"/>
    <col min="3" max="3" width="14.5703125" style="34" customWidth="1"/>
    <col min="4" max="6" width="14.5703125" style="33" customWidth="1"/>
    <col min="7" max="7" width="14.5703125" style="32" bestFit="1" customWidth="1"/>
    <col min="8" max="8" width="14.5703125" style="32" customWidth="1"/>
    <col min="9" max="9" width="14.85546875" style="32" customWidth="1"/>
    <col min="10" max="16384" width="9.140625" style="32"/>
  </cols>
  <sheetData>
    <row r="1" spans="1:9" ht="30" customHeight="1">
      <c r="A1" s="42" t="str">
        <f>"Table/Figure 8: Direct Program Expenditures by Province, FY" &amp; B2 &amp; "-" &amp; I2</f>
        <v>Table/Figure 8: Direct Program Expenditures by Province, FY2011-2018</v>
      </c>
      <c r="B1" s="41"/>
      <c r="G1" s="34"/>
      <c r="H1" s="34"/>
    </row>
    <row r="2" spans="1:9">
      <c r="A2" s="40" t="s">
        <v>52</v>
      </c>
      <c r="B2" s="103">
        <v>2011</v>
      </c>
      <c r="C2" s="103">
        <v>2012</v>
      </c>
      <c r="D2" s="103">
        <v>2013</v>
      </c>
      <c r="E2" s="103">
        <v>2014</v>
      </c>
      <c r="F2" s="103">
        <v>2015</v>
      </c>
      <c r="G2" s="103">
        <v>2016</v>
      </c>
      <c r="H2" s="103">
        <v>2017</v>
      </c>
      <c r="I2" s="103">
        <v>2018</v>
      </c>
    </row>
    <row r="3" spans="1:9">
      <c r="A3" s="35" t="s">
        <v>234</v>
      </c>
      <c r="B3" s="105">
        <v>13045831</v>
      </c>
      <c r="C3" s="105">
        <v>13498753.4</v>
      </c>
      <c r="D3" s="105">
        <v>13359733.73</v>
      </c>
      <c r="E3" s="105">
        <v>14630130</v>
      </c>
      <c r="F3" s="105">
        <v>16928838.199999999</v>
      </c>
      <c r="G3" s="105">
        <v>17898141</v>
      </c>
      <c r="H3" s="105">
        <v>15136556</v>
      </c>
      <c r="I3" s="105">
        <v>15971140</v>
      </c>
    </row>
    <row r="4" spans="1:9">
      <c r="A4" s="35" t="s">
        <v>235</v>
      </c>
      <c r="B4" s="105">
        <v>52343560</v>
      </c>
      <c r="C4" s="105">
        <v>51216105.399999999</v>
      </c>
      <c r="D4" s="105">
        <v>36245776.280000001</v>
      </c>
      <c r="E4" s="105">
        <v>26801554</v>
      </c>
      <c r="F4" s="105">
        <v>28292736.699999999</v>
      </c>
      <c r="G4" s="105">
        <v>27088878</v>
      </c>
      <c r="H4" s="105">
        <v>23417021</v>
      </c>
      <c r="I4" s="105">
        <v>26971498</v>
      </c>
    </row>
    <row r="5" spans="1:9">
      <c r="A5" s="35" t="s">
        <v>236</v>
      </c>
      <c r="B5" s="105">
        <v>19962308</v>
      </c>
      <c r="C5" s="105">
        <v>13560427.4</v>
      </c>
      <c r="D5" s="105">
        <v>14326142.01</v>
      </c>
      <c r="E5" s="105">
        <v>10014903</v>
      </c>
      <c r="F5" s="105">
        <v>11744583.01</v>
      </c>
      <c r="G5" s="105">
        <v>9724087</v>
      </c>
      <c r="H5" s="105">
        <v>11247539</v>
      </c>
      <c r="I5" s="105">
        <v>12057261</v>
      </c>
    </row>
    <row r="6" spans="1:9">
      <c r="A6" s="35" t="s">
        <v>237</v>
      </c>
      <c r="B6" s="105">
        <v>59165613</v>
      </c>
      <c r="C6" s="105">
        <v>61637074.399999999</v>
      </c>
      <c r="D6" s="105">
        <v>61223676.229999997</v>
      </c>
      <c r="E6" s="105">
        <v>57654085</v>
      </c>
      <c r="F6" s="105">
        <v>67777655.400000006</v>
      </c>
      <c r="G6" s="105">
        <v>62214559</v>
      </c>
      <c r="H6" s="105">
        <v>62987617</v>
      </c>
      <c r="I6" s="105">
        <v>62147342</v>
      </c>
    </row>
    <row r="7" spans="1:9">
      <c r="A7" s="35" t="s">
        <v>238</v>
      </c>
      <c r="B7" s="105">
        <v>9469437</v>
      </c>
      <c r="C7" s="105">
        <v>11109892</v>
      </c>
      <c r="D7" s="105">
        <v>15336657.32</v>
      </c>
      <c r="E7" s="105">
        <v>10819987</v>
      </c>
      <c r="F7" s="105">
        <v>11165031.380000001</v>
      </c>
      <c r="G7" s="105">
        <v>11471831</v>
      </c>
      <c r="H7" s="105">
        <v>10425322</v>
      </c>
      <c r="I7" s="105">
        <v>8368864</v>
      </c>
    </row>
    <row r="8" spans="1:9">
      <c r="A8" s="35" t="s">
        <v>239</v>
      </c>
      <c r="B8" s="105">
        <v>17198718</v>
      </c>
      <c r="C8" s="105">
        <v>19784368</v>
      </c>
      <c r="D8" s="105">
        <v>16144887.76</v>
      </c>
      <c r="E8" s="105">
        <v>17769309</v>
      </c>
      <c r="F8" s="105">
        <v>17220237.800000001</v>
      </c>
      <c r="G8" s="105">
        <v>17995494</v>
      </c>
      <c r="H8" s="105">
        <v>20182310</v>
      </c>
      <c r="I8" s="105">
        <v>21730080</v>
      </c>
    </row>
    <row r="9" spans="1:9">
      <c r="A9" s="35" t="s">
        <v>240</v>
      </c>
      <c r="B9" s="105">
        <v>41609286</v>
      </c>
      <c r="C9" s="105">
        <v>33899854</v>
      </c>
      <c r="D9" s="105">
        <v>44562895.789999999</v>
      </c>
      <c r="E9" s="105">
        <v>13867496</v>
      </c>
      <c r="F9" s="105">
        <v>39453337.270000003</v>
      </c>
      <c r="G9" s="105">
        <v>40819289</v>
      </c>
      <c r="H9" s="105">
        <v>32446965</v>
      </c>
      <c r="I9" s="105">
        <v>31737631</v>
      </c>
    </row>
    <row r="10" spans="1:9">
      <c r="A10" s="35" t="s">
        <v>241</v>
      </c>
      <c r="B10" s="105">
        <v>4433754</v>
      </c>
      <c r="C10" s="105">
        <v>13235463</v>
      </c>
      <c r="D10" s="105">
        <v>3315759.24</v>
      </c>
      <c r="E10" s="105">
        <v>3817058</v>
      </c>
      <c r="F10" s="105">
        <v>4600725.0999999996</v>
      </c>
      <c r="G10" s="105">
        <v>4520947</v>
      </c>
      <c r="H10" s="105">
        <v>4516591</v>
      </c>
      <c r="I10" s="105">
        <v>4527680</v>
      </c>
    </row>
    <row r="11" spans="1:9">
      <c r="A11" s="36" t="s">
        <v>242</v>
      </c>
      <c r="B11" s="105">
        <v>24894377</v>
      </c>
      <c r="C11" s="105">
        <v>22160067</v>
      </c>
      <c r="D11" s="105">
        <v>20849802.890000001</v>
      </c>
      <c r="E11" s="105">
        <v>29293225</v>
      </c>
      <c r="F11" s="105">
        <v>19225549.199999999</v>
      </c>
      <c r="G11" s="105">
        <v>21252149</v>
      </c>
      <c r="H11" s="105">
        <v>15238992</v>
      </c>
      <c r="I11" s="105">
        <v>35985026</v>
      </c>
    </row>
    <row r="12" spans="1:9">
      <c r="A12" s="35" t="s">
        <v>243</v>
      </c>
      <c r="B12" s="105">
        <v>28149960</v>
      </c>
      <c r="C12" s="105">
        <v>30311321</v>
      </c>
      <c r="D12" s="105">
        <v>28453558.780000001</v>
      </c>
      <c r="E12" s="105">
        <v>28224756</v>
      </c>
      <c r="F12" s="105">
        <v>40285555.630000003</v>
      </c>
      <c r="G12" s="105">
        <v>29114533</v>
      </c>
      <c r="H12" s="105">
        <v>34958776</v>
      </c>
      <c r="I12" s="105">
        <v>31667229</v>
      </c>
    </row>
    <row r="13" spans="1:9">
      <c r="A13" s="35" t="s">
        <v>244</v>
      </c>
      <c r="B13" s="105">
        <v>4904675</v>
      </c>
      <c r="C13" s="105">
        <v>13213441</v>
      </c>
      <c r="D13" s="105">
        <v>10805581.939999999</v>
      </c>
      <c r="E13" s="105">
        <v>19886298</v>
      </c>
      <c r="F13" s="105">
        <v>3761184.08</v>
      </c>
      <c r="G13" s="105">
        <v>4997891</v>
      </c>
      <c r="H13" s="105">
        <v>4993296</v>
      </c>
      <c r="I13" s="105">
        <v>3449209</v>
      </c>
    </row>
    <row r="14" spans="1:9" ht="18">
      <c r="A14" s="35" t="s">
        <v>245</v>
      </c>
      <c r="B14" s="105">
        <v>7722192</v>
      </c>
      <c r="C14" s="105">
        <v>6872463</v>
      </c>
      <c r="D14" s="105">
        <v>4578007.34</v>
      </c>
      <c r="E14" s="105">
        <v>4892097</v>
      </c>
      <c r="F14" s="105">
        <v>5062472.42</v>
      </c>
      <c r="G14" s="105">
        <v>6828524</v>
      </c>
      <c r="H14" s="105">
        <v>5039627</v>
      </c>
      <c r="I14" s="105">
        <v>4841580</v>
      </c>
    </row>
    <row r="15" spans="1:9" ht="18">
      <c r="A15" s="35" t="s">
        <v>246</v>
      </c>
      <c r="B15" s="105">
        <v>28315184</v>
      </c>
      <c r="C15" s="105">
        <v>15910542</v>
      </c>
      <c r="D15" s="105">
        <v>21899413.120000001</v>
      </c>
      <c r="E15" s="105">
        <v>31463212</v>
      </c>
      <c r="F15" s="105">
        <v>14032643.140000001</v>
      </c>
      <c r="G15" s="105">
        <v>20245851</v>
      </c>
      <c r="H15" s="105">
        <v>19366924</v>
      </c>
      <c r="I15" s="105">
        <v>19245550</v>
      </c>
    </row>
    <row r="16" spans="1:9">
      <c r="A16" s="32" t="s">
        <v>431</v>
      </c>
      <c r="B16" s="32"/>
      <c r="C16" s="32"/>
      <c r="D16" s="32"/>
      <c r="E16" s="32"/>
      <c r="F16" s="32"/>
      <c r="I16" s="105">
        <v>10367580</v>
      </c>
    </row>
    <row r="17" spans="1:12">
      <c r="A17" s="32" t="s">
        <v>432</v>
      </c>
      <c r="B17" s="32"/>
      <c r="C17" s="32"/>
      <c r="D17" s="32"/>
      <c r="E17" s="32"/>
      <c r="F17" s="32"/>
      <c r="I17" s="105">
        <v>304457</v>
      </c>
    </row>
    <row r="18" spans="1:12">
      <c r="A18" s="39" t="s">
        <v>39</v>
      </c>
      <c r="B18" s="249">
        <f>SUM(B3:B17)</f>
        <v>311214895</v>
      </c>
      <c r="C18" s="249">
        <f t="shared" ref="C18:I18" si="0">SUM(C3:C17)</f>
        <v>306409771.60000002</v>
      </c>
      <c r="D18" s="249">
        <f t="shared" si="0"/>
        <v>291101892.43000001</v>
      </c>
      <c r="E18" s="249">
        <f t="shared" si="0"/>
        <v>269134110</v>
      </c>
      <c r="F18" s="249">
        <f t="shared" si="0"/>
        <v>279550549.32999998</v>
      </c>
      <c r="G18" s="249">
        <f t="shared" si="0"/>
        <v>274172174</v>
      </c>
      <c r="H18" s="249">
        <f t="shared" si="0"/>
        <v>259957536</v>
      </c>
      <c r="I18" s="249">
        <f t="shared" si="0"/>
        <v>289372127</v>
      </c>
    </row>
    <row r="19" spans="1:12">
      <c r="A19" s="35"/>
      <c r="C19" s="33"/>
      <c r="G19" s="37"/>
      <c r="H19" s="37"/>
    </row>
    <row r="20" spans="1:12">
      <c r="A20" s="38" t="s">
        <v>2</v>
      </c>
    </row>
    <row r="21" spans="1:12" ht="17.25" customHeight="1">
      <c r="A21" s="215" t="s">
        <v>51</v>
      </c>
      <c r="B21" s="215"/>
      <c r="C21" s="215"/>
      <c r="D21" s="215"/>
      <c r="E21" s="215"/>
      <c r="F21" s="215"/>
      <c r="G21" s="215"/>
      <c r="H21" s="215"/>
      <c r="I21" s="215"/>
      <c r="J21" s="215"/>
      <c r="K21" s="215"/>
    </row>
    <row r="22" spans="1:12" ht="17.25" customHeight="1">
      <c r="A22" s="215" t="s">
        <v>50</v>
      </c>
      <c r="B22" s="215"/>
      <c r="C22" s="215"/>
      <c r="D22" s="215"/>
      <c r="E22" s="215"/>
      <c r="F22" s="215"/>
      <c r="G22" s="215"/>
      <c r="H22" s="215"/>
      <c r="I22" s="215"/>
      <c r="J22" s="215"/>
      <c r="K22" s="215"/>
    </row>
    <row r="23" spans="1:12" ht="17.25" customHeight="1">
      <c r="A23" s="250" t="s">
        <v>278</v>
      </c>
      <c r="B23" s="250"/>
      <c r="C23" s="250"/>
      <c r="D23" s="250"/>
      <c r="E23" s="250"/>
      <c r="F23" s="250"/>
      <c r="G23" s="250"/>
      <c r="H23" s="250"/>
      <c r="I23" s="250"/>
      <c r="J23" s="250"/>
      <c r="K23" s="250"/>
    </row>
    <row r="24" spans="1:12" ht="17.25" customHeight="1">
      <c r="A24" s="250" t="s">
        <v>433</v>
      </c>
      <c r="B24" s="250"/>
      <c r="C24" s="250"/>
      <c r="D24" s="250"/>
      <c r="E24" s="250"/>
      <c r="F24" s="250"/>
      <c r="G24" s="250"/>
      <c r="H24" s="250"/>
      <c r="I24" s="250"/>
      <c r="J24" s="250"/>
      <c r="K24" s="250"/>
    </row>
    <row r="25" spans="1:12" ht="17.25" customHeight="1">
      <c r="A25" s="250" t="s">
        <v>524</v>
      </c>
      <c r="B25" s="250"/>
      <c r="C25" s="250"/>
      <c r="D25" s="250"/>
      <c r="E25" s="250"/>
      <c r="F25" s="250"/>
      <c r="G25" s="250"/>
      <c r="H25" s="250"/>
      <c r="I25" s="250"/>
      <c r="J25" s="250"/>
      <c r="K25" s="250"/>
      <c r="L25" s="250"/>
    </row>
    <row r="26" spans="1:12" ht="26.25" customHeight="1">
      <c r="A26" s="140" t="s">
        <v>101</v>
      </c>
      <c r="B26" s="104"/>
      <c r="C26" s="107"/>
      <c r="D26" s="104"/>
      <c r="E26" s="104"/>
      <c r="F26" s="104"/>
      <c r="G26" s="106"/>
      <c r="H26" s="214"/>
      <c r="I26" s="106"/>
    </row>
    <row r="27" spans="1:12" ht="17.25" customHeight="1">
      <c r="A27" s="36" t="str">
        <f>subtitle</f>
        <v>Total: $289.4 million includes $30.7 million in obligations to capital projects</v>
      </c>
      <c r="B27" s="104"/>
      <c r="C27" s="107"/>
      <c r="D27" s="104"/>
      <c r="E27" s="104"/>
      <c r="F27" s="104"/>
      <c r="G27" s="106"/>
      <c r="H27" s="214"/>
      <c r="I27" s="106"/>
    </row>
    <row r="28" spans="1:12">
      <c r="E28" s="109" t="s">
        <v>116</v>
      </c>
    </row>
    <row r="29" spans="1:12">
      <c r="E29" s="108" t="str">
        <f t="shared" ref="E29:E39" si="1">PROPER(A3)</f>
        <v>Blue Mountain</v>
      </c>
      <c r="F29" s="110">
        <f t="shared" ref="F29:F41" si="2">I3</f>
        <v>15971140</v>
      </c>
    </row>
    <row r="30" spans="1:12">
      <c r="E30" s="108" t="str">
        <f t="shared" si="1"/>
        <v>Columbia Cascade</v>
      </c>
      <c r="F30" s="110">
        <f t="shared" si="2"/>
        <v>26971498</v>
      </c>
    </row>
    <row r="31" spans="1:12">
      <c r="B31" s="32"/>
      <c r="C31" s="32"/>
      <c r="E31" s="108" t="str">
        <f t="shared" si="1"/>
        <v>Columbia Gorge</v>
      </c>
      <c r="F31" s="110">
        <f t="shared" si="2"/>
        <v>12057261</v>
      </c>
    </row>
    <row r="32" spans="1:12">
      <c r="B32" s="32"/>
      <c r="C32" s="32"/>
      <c r="E32" s="108" t="str">
        <f t="shared" si="1"/>
        <v>Columbia Plateau</v>
      </c>
      <c r="F32" s="110">
        <f t="shared" si="2"/>
        <v>62147342</v>
      </c>
    </row>
    <row r="33" spans="2:6">
      <c r="B33" s="32"/>
      <c r="C33" s="32"/>
      <c r="E33" s="108" t="str">
        <f t="shared" si="1"/>
        <v>Columbia Estuary</v>
      </c>
      <c r="F33" s="110">
        <f t="shared" si="2"/>
        <v>8368864</v>
      </c>
    </row>
    <row r="34" spans="2:6">
      <c r="B34" s="32"/>
      <c r="C34" s="32"/>
      <c r="E34" s="108" t="str">
        <f t="shared" si="1"/>
        <v>Intermountain</v>
      </c>
      <c r="F34" s="110">
        <f t="shared" si="2"/>
        <v>21730080</v>
      </c>
    </row>
    <row r="35" spans="2:6">
      <c r="B35" s="32"/>
      <c r="C35" s="32"/>
      <c r="E35" s="108" t="str">
        <f t="shared" si="1"/>
        <v>Lower Columbia</v>
      </c>
      <c r="F35" s="110">
        <f t="shared" si="2"/>
        <v>31737631</v>
      </c>
    </row>
    <row r="36" spans="2:6">
      <c r="E36" s="108" t="str">
        <f t="shared" si="1"/>
        <v>Middle Snake</v>
      </c>
      <c r="F36" s="110">
        <f t="shared" si="2"/>
        <v>4527680</v>
      </c>
    </row>
    <row r="37" spans="2:6">
      <c r="E37" s="108" t="str">
        <f t="shared" si="1"/>
        <v>Mountain Columbia</v>
      </c>
      <c r="F37" s="110">
        <f t="shared" si="2"/>
        <v>35985026</v>
      </c>
    </row>
    <row r="38" spans="2:6">
      <c r="E38" s="108" t="str">
        <f t="shared" si="1"/>
        <v>Mountain Snake</v>
      </c>
      <c r="F38" s="110">
        <f t="shared" si="2"/>
        <v>31667229</v>
      </c>
    </row>
    <row r="39" spans="2:6">
      <c r="E39" s="108" t="str">
        <f t="shared" si="1"/>
        <v>Upper Snake</v>
      </c>
      <c r="F39" s="110">
        <f t="shared" si="2"/>
        <v>3449209</v>
      </c>
    </row>
    <row r="40" spans="2:6">
      <c r="E40" s="108" t="s">
        <v>53</v>
      </c>
      <c r="F40" s="110">
        <f t="shared" si="2"/>
        <v>4841580</v>
      </c>
    </row>
    <row r="41" spans="2:6">
      <c r="E41" s="108" t="s">
        <v>5</v>
      </c>
      <c r="F41" s="110">
        <f t="shared" si="2"/>
        <v>19245550</v>
      </c>
    </row>
    <row r="43" spans="2:6">
      <c r="E43" s="43"/>
    </row>
    <row r="44" spans="2:6">
      <c r="E44" s="43"/>
    </row>
    <row r="45" spans="2:6">
      <c r="E45" s="43"/>
    </row>
    <row r="46" spans="2:6">
      <c r="E46" s="43"/>
    </row>
    <row r="47" spans="2:6">
      <c r="E47" s="43"/>
    </row>
    <row r="48" spans="2:6">
      <c r="E48" s="43"/>
    </row>
    <row r="49" spans="1:6">
      <c r="E49" s="43"/>
    </row>
    <row r="63" spans="1:6">
      <c r="E63" s="32"/>
      <c r="F63" s="32"/>
    </row>
    <row r="64" spans="1:6">
      <c r="A64" s="35"/>
      <c r="B64" s="32"/>
      <c r="C64" s="32"/>
      <c r="D64" s="32"/>
      <c r="E64" s="32"/>
      <c r="F64" s="32"/>
    </row>
    <row r="65" spans="1:6">
      <c r="A65" s="35"/>
      <c r="B65" s="32"/>
      <c r="C65" s="32"/>
      <c r="D65" s="32"/>
      <c r="E65" s="32"/>
      <c r="F65" s="32"/>
    </row>
    <row r="66" spans="1:6">
      <c r="A66" s="35"/>
      <c r="B66" s="32"/>
      <c r="C66" s="32"/>
      <c r="D66" s="32"/>
      <c r="E66" s="32"/>
      <c r="F66" s="32"/>
    </row>
    <row r="67" spans="1:6">
      <c r="A67" s="36"/>
      <c r="B67" s="32"/>
      <c r="C67" s="32"/>
      <c r="D67" s="32"/>
      <c r="E67" s="32"/>
      <c r="F67" s="32"/>
    </row>
    <row r="68" spans="1:6">
      <c r="A68" s="35"/>
      <c r="B68" s="32"/>
      <c r="C68" s="32"/>
      <c r="D68" s="32"/>
      <c r="E68" s="32"/>
      <c r="F68" s="32"/>
    </row>
    <row r="69" spans="1:6">
      <c r="A69" s="35"/>
      <c r="B69" s="32"/>
      <c r="C69" s="32"/>
      <c r="D69" s="32"/>
      <c r="E69" s="32"/>
      <c r="F69" s="32"/>
    </row>
    <row r="70" spans="1:6">
      <c r="A70" s="35"/>
      <c r="B70" s="32"/>
      <c r="C70" s="32"/>
      <c r="D70" s="32"/>
      <c r="E70" s="32"/>
      <c r="F70" s="32"/>
    </row>
    <row r="71" spans="1:6">
      <c r="A71" s="35"/>
      <c r="B71" s="32"/>
      <c r="C71" s="32"/>
      <c r="D71" s="32"/>
      <c r="E71" s="32"/>
      <c r="F71" s="32"/>
    </row>
    <row r="72" spans="1:6">
      <c r="A72" s="35"/>
      <c r="B72" s="32"/>
      <c r="C72" s="32"/>
      <c r="D72" s="32"/>
      <c r="E72" s="32"/>
      <c r="F72" s="32"/>
    </row>
    <row r="73" spans="1:6">
      <c r="A73" s="35"/>
      <c r="B73" s="32"/>
      <c r="C73" s="32"/>
      <c r="D73" s="32"/>
      <c r="E73" s="32"/>
      <c r="F73" s="32"/>
    </row>
    <row r="74" spans="1:6">
      <c r="A74" s="35"/>
      <c r="B74" s="32"/>
      <c r="C74" s="32"/>
      <c r="D74" s="32"/>
      <c r="E74" s="32"/>
      <c r="F74" s="32"/>
    </row>
    <row r="75" spans="1:6">
      <c r="A75" s="35"/>
      <c r="B75" s="32"/>
      <c r="C75" s="32"/>
      <c r="D75" s="32"/>
    </row>
    <row r="76" spans="1:6">
      <c r="E76" s="32"/>
      <c r="F76" s="32"/>
    </row>
    <row r="77" spans="1:6">
      <c r="A77" s="35"/>
      <c r="B77" s="32"/>
      <c r="C77" s="32"/>
      <c r="D77" s="32"/>
      <c r="E77" s="32"/>
      <c r="F77" s="32"/>
    </row>
    <row r="78" spans="1:6">
      <c r="A78" s="35"/>
      <c r="B78" s="32"/>
      <c r="C78" s="32"/>
      <c r="D78" s="32"/>
      <c r="E78" s="32"/>
      <c r="F78" s="32"/>
    </row>
    <row r="79" spans="1:6">
      <c r="A79" s="35"/>
      <c r="B79" s="32"/>
      <c r="C79" s="32"/>
      <c r="D79" s="32"/>
    </row>
  </sheetData>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F04A-3322-414A-BC92-58B9AEE60C67}">
  <sheetPr>
    <pageSetUpPr fitToPage="1"/>
  </sheetPr>
  <dimension ref="A1:L72"/>
  <sheetViews>
    <sheetView topLeftCell="A22" workbookViewId="0">
      <selection activeCell="D27" sqref="D27"/>
    </sheetView>
  </sheetViews>
  <sheetFormatPr defaultRowHeight="15"/>
  <cols>
    <col min="1" max="1" width="29.140625" style="92" customWidth="1"/>
    <col min="2" max="2" width="49" style="92" bestFit="1" customWidth="1"/>
    <col min="3" max="3" width="14.5703125" style="92" bestFit="1" customWidth="1"/>
    <col min="4" max="5" width="9.140625" style="92"/>
    <col min="6" max="6" width="10.140625" style="92" bestFit="1" customWidth="1"/>
    <col min="7" max="16384" width="9.140625" style="92"/>
  </cols>
  <sheetData>
    <row r="1" spans="1:3" s="267" customFormat="1">
      <c r="A1" s="269" t="s">
        <v>522</v>
      </c>
      <c r="B1" s="269" t="s">
        <v>521</v>
      </c>
      <c r="C1" s="268">
        <v>2018</v>
      </c>
    </row>
    <row r="2" spans="1:3" ht="16.5">
      <c r="A2" s="265" t="s">
        <v>465</v>
      </c>
      <c r="B2" s="265" t="s">
        <v>470</v>
      </c>
      <c r="C2" s="265">
        <v>0</v>
      </c>
    </row>
    <row r="3" spans="1:3" ht="16.5">
      <c r="A3" s="265" t="s">
        <v>465</v>
      </c>
      <c r="B3" s="265" t="s">
        <v>471</v>
      </c>
      <c r="C3" s="265">
        <v>13270</v>
      </c>
    </row>
    <row r="4" spans="1:3" ht="16.5">
      <c r="A4" s="265" t="s">
        <v>465</v>
      </c>
      <c r="B4" s="265" t="s">
        <v>466</v>
      </c>
      <c r="C4" s="265">
        <v>32661</v>
      </c>
    </row>
    <row r="5" spans="1:3" ht="16.5">
      <c r="A5" s="265" t="s">
        <v>503</v>
      </c>
      <c r="B5" s="265" t="s">
        <v>508</v>
      </c>
      <c r="C5" s="265">
        <v>55068</v>
      </c>
    </row>
    <row r="6" spans="1:3" ht="16.5">
      <c r="A6" s="265" t="s">
        <v>474</v>
      </c>
      <c r="B6" s="265" t="s">
        <v>478</v>
      </c>
      <c r="C6" s="265">
        <v>68341</v>
      </c>
    </row>
    <row r="7" spans="1:3" ht="16.5">
      <c r="A7" s="265" t="s">
        <v>474</v>
      </c>
      <c r="B7" s="265" t="s">
        <v>475</v>
      </c>
      <c r="C7" s="265">
        <v>95539</v>
      </c>
    </row>
    <row r="8" spans="1:3" ht="16.5">
      <c r="A8" s="265" t="s">
        <v>474</v>
      </c>
      <c r="B8" s="265" t="s">
        <v>476</v>
      </c>
      <c r="C8" s="265">
        <v>110534</v>
      </c>
    </row>
    <row r="9" spans="1:3" ht="16.5">
      <c r="A9" s="265" t="s">
        <v>487</v>
      </c>
      <c r="B9" s="265" t="s">
        <v>489</v>
      </c>
      <c r="C9" s="265">
        <v>119147</v>
      </c>
    </row>
    <row r="10" spans="1:3" ht="16.5">
      <c r="A10" s="265" t="s">
        <v>492</v>
      </c>
      <c r="B10" s="265" t="s">
        <v>497</v>
      </c>
      <c r="C10" s="265">
        <v>121436</v>
      </c>
    </row>
    <row r="11" spans="1:3" ht="16.5">
      <c r="A11" s="265" t="s">
        <v>465</v>
      </c>
      <c r="B11" s="265" t="s">
        <v>464</v>
      </c>
      <c r="C11" s="265">
        <v>132930</v>
      </c>
    </row>
    <row r="12" spans="1:3" ht="16.5">
      <c r="A12" s="265" t="s">
        <v>459</v>
      </c>
      <c r="B12" s="265" t="s">
        <v>463</v>
      </c>
      <c r="C12" s="265">
        <v>183432</v>
      </c>
    </row>
    <row r="13" spans="1:3" ht="16.5">
      <c r="A13" s="265" t="s">
        <v>452</v>
      </c>
      <c r="B13" s="265" t="s">
        <v>454</v>
      </c>
      <c r="C13" s="265">
        <v>203487</v>
      </c>
    </row>
    <row r="14" spans="1:3" ht="16.5">
      <c r="A14" s="265" t="s">
        <v>452</v>
      </c>
      <c r="B14" s="265" t="s">
        <v>451</v>
      </c>
      <c r="C14" s="265">
        <v>254256</v>
      </c>
    </row>
    <row r="15" spans="1:3" ht="16.5">
      <c r="A15" s="265" t="s">
        <v>474</v>
      </c>
      <c r="B15" s="265" t="s">
        <v>477</v>
      </c>
      <c r="C15" s="265">
        <v>389694</v>
      </c>
    </row>
    <row r="16" spans="1:3" ht="16.5">
      <c r="A16" s="265" t="s">
        <v>465</v>
      </c>
      <c r="B16" s="265" t="s">
        <v>467</v>
      </c>
      <c r="C16" s="265">
        <v>435849</v>
      </c>
    </row>
    <row r="17" spans="1:3" ht="16.5">
      <c r="A17" s="265" t="s">
        <v>503</v>
      </c>
      <c r="B17" s="265" t="s">
        <v>504</v>
      </c>
      <c r="C17" s="265">
        <v>525044</v>
      </c>
    </row>
    <row r="18" spans="1:3" ht="16.5">
      <c r="A18" s="265" t="s">
        <v>459</v>
      </c>
      <c r="B18" s="265" t="s">
        <v>462</v>
      </c>
      <c r="C18" s="265">
        <v>585325</v>
      </c>
    </row>
    <row r="19" spans="1:3" ht="16.5">
      <c r="A19" s="265" t="s">
        <v>503</v>
      </c>
      <c r="B19" s="265" t="s">
        <v>502</v>
      </c>
      <c r="C19" s="265">
        <v>644116</v>
      </c>
    </row>
    <row r="20" spans="1:3" ht="16.5">
      <c r="A20" s="265" t="s">
        <v>492</v>
      </c>
      <c r="B20" s="265" t="s">
        <v>500</v>
      </c>
      <c r="C20" s="265">
        <v>666863</v>
      </c>
    </row>
    <row r="21" spans="1:3" ht="16.5">
      <c r="A21" s="265" t="s">
        <v>517</v>
      </c>
      <c r="B21" s="265" t="s">
        <v>520</v>
      </c>
      <c r="C21" s="265">
        <v>713216</v>
      </c>
    </row>
    <row r="22" spans="1:3" ht="16.5">
      <c r="A22" s="265" t="s">
        <v>503</v>
      </c>
      <c r="B22" s="265" t="s">
        <v>507</v>
      </c>
      <c r="C22" s="265">
        <v>740194</v>
      </c>
    </row>
    <row r="23" spans="1:3" ht="16.5">
      <c r="A23" s="265" t="s">
        <v>465</v>
      </c>
      <c r="B23" s="265" t="s">
        <v>469</v>
      </c>
      <c r="C23" s="265">
        <v>779388</v>
      </c>
    </row>
    <row r="24" spans="1:3" ht="16.5">
      <c r="A24" s="265" t="s">
        <v>510</v>
      </c>
      <c r="B24" s="265" t="s">
        <v>513</v>
      </c>
      <c r="C24" s="265">
        <v>780264</v>
      </c>
    </row>
    <row r="25" spans="1:3" ht="16.5">
      <c r="A25" s="265" t="s">
        <v>465</v>
      </c>
      <c r="B25" s="265" t="s">
        <v>468</v>
      </c>
      <c r="C25" s="265">
        <v>1015304</v>
      </c>
    </row>
    <row r="26" spans="1:3" ht="16.5">
      <c r="A26" s="265" t="s">
        <v>487</v>
      </c>
      <c r="B26" s="265" t="s">
        <v>486</v>
      </c>
      <c r="C26" s="265">
        <v>1204524</v>
      </c>
    </row>
    <row r="27" spans="1:3" ht="16.5">
      <c r="A27" s="265" t="s">
        <v>517</v>
      </c>
      <c r="B27" s="265" t="s">
        <v>518</v>
      </c>
      <c r="C27" s="265">
        <v>1342240</v>
      </c>
    </row>
    <row r="28" spans="1:3" ht="16.5">
      <c r="A28" s="265" t="s">
        <v>487</v>
      </c>
      <c r="B28" s="265" t="s">
        <v>488</v>
      </c>
      <c r="C28" s="265">
        <v>1458699</v>
      </c>
    </row>
    <row r="29" spans="1:3" ht="16.5">
      <c r="A29" s="265" t="s">
        <v>481</v>
      </c>
      <c r="B29" s="265" t="s">
        <v>482</v>
      </c>
      <c r="C29" s="265">
        <v>1583977</v>
      </c>
    </row>
    <row r="30" spans="1:3" ht="16.5">
      <c r="A30" s="265" t="s">
        <v>510</v>
      </c>
      <c r="B30" s="265" t="s">
        <v>514</v>
      </c>
      <c r="C30" s="265">
        <v>1990556</v>
      </c>
    </row>
    <row r="31" spans="1:3" ht="16.5">
      <c r="A31" s="265" t="s">
        <v>481</v>
      </c>
      <c r="B31" s="265" t="s">
        <v>485</v>
      </c>
      <c r="C31" s="265">
        <v>2058444</v>
      </c>
    </row>
    <row r="32" spans="1:3" ht="16.5">
      <c r="A32" s="265" t="s">
        <v>465</v>
      </c>
      <c r="B32" s="265" t="s">
        <v>472</v>
      </c>
      <c r="C32" s="265">
        <v>2118278</v>
      </c>
    </row>
    <row r="33" spans="1:3" ht="16.5">
      <c r="A33" s="265" t="s">
        <v>517</v>
      </c>
      <c r="B33" s="265" t="s">
        <v>516</v>
      </c>
      <c r="C33" s="265">
        <v>2343466</v>
      </c>
    </row>
    <row r="34" spans="1:3" ht="16.5">
      <c r="A34" s="265" t="s">
        <v>492</v>
      </c>
      <c r="B34" s="265" t="s">
        <v>495</v>
      </c>
      <c r="C34" s="265">
        <v>2502680</v>
      </c>
    </row>
    <row r="35" spans="1:3" ht="16.5">
      <c r="A35" s="265" t="s">
        <v>503</v>
      </c>
      <c r="B35" s="265" t="s">
        <v>503</v>
      </c>
      <c r="C35" s="265">
        <v>2818390</v>
      </c>
    </row>
    <row r="36" spans="1:3" ht="16.5">
      <c r="A36" s="265" t="s">
        <v>452</v>
      </c>
      <c r="B36" s="265" t="s">
        <v>453</v>
      </c>
      <c r="C36" s="265">
        <v>2991466</v>
      </c>
    </row>
    <row r="37" spans="1:3" ht="16.5">
      <c r="A37" s="265" t="s">
        <v>503</v>
      </c>
      <c r="B37" s="265" t="s">
        <v>506</v>
      </c>
      <c r="C37" s="265">
        <v>3446574</v>
      </c>
    </row>
    <row r="38" spans="1:3" ht="16.5">
      <c r="A38" s="265" t="s">
        <v>492</v>
      </c>
      <c r="B38" s="265" t="s">
        <v>501</v>
      </c>
      <c r="C38" s="265">
        <v>3735582</v>
      </c>
    </row>
    <row r="39" spans="1:3" ht="16.5">
      <c r="A39" s="265" t="s">
        <v>503</v>
      </c>
      <c r="B39" s="265" t="s">
        <v>505</v>
      </c>
      <c r="C39" s="265">
        <v>3827875</v>
      </c>
    </row>
    <row r="40" spans="1:3" ht="16.5">
      <c r="A40" s="265" t="s">
        <v>510</v>
      </c>
      <c r="B40" s="265" t="s">
        <v>515</v>
      </c>
      <c r="C40" s="265">
        <v>4616592</v>
      </c>
    </row>
    <row r="41" spans="1:3" ht="16.5">
      <c r="A41" s="265" t="s">
        <v>492</v>
      </c>
      <c r="B41" s="265" t="s">
        <v>496</v>
      </c>
      <c r="C41" s="265">
        <v>4836951</v>
      </c>
    </row>
    <row r="42" spans="1:3" ht="16.5">
      <c r="A42" s="265" t="s">
        <v>53</v>
      </c>
      <c r="B42" s="265" t="s">
        <v>53</v>
      </c>
      <c r="C42" s="265">
        <v>4841580</v>
      </c>
    </row>
    <row r="43" spans="1:3" ht="16.5">
      <c r="A43" s="265" t="s">
        <v>481</v>
      </c>
      <c r="B43" s="265" t="s">
        <v>480</v>
      </c>
      <c r="C43" s="265">
        <v>4972899</v>
      </c>
    </row>
    <row r="44" spans="1:3" ht="16.5">
      <c r="A44" s="265" t="s">
        <v>510</v>
      </c>
      <c r="B44" s="265" t="s">
        <v>509</v>
      </c>
      <c r="C44" s="265">
        <v>5063727</v>
      </c>
    </row>
    <row r="45" spans="1:3" ht="16.5">
      <c r="A45" s="265" t="s">
        <v>510</v>
      </c>
      <c r="B45" s="265" t="s">
        <v>511</v>
      </c>
      <c r="C45" s="265">
        <v>5164544</v>
      </c>
    </row>
    <row r="46" spans="1:3" ht="16.5">
      <c r="A46" s="265" t="s">
        <v>492</v>
      </c>
      <c r="B46" s="265" t="s">
        <v>493</v>
      </c>
      <c r="C46" s="265">
        <v>5187246</v>
      </c>
    </row>
    <row r="47" spans="1:3" ht="16.5">
      <c r="A47" s="265" t="s">
        <v>487</v>
      </c>
      <c r="B47" s="265" t="s">
        <v>490</v>
      </c>
      <c r="C47" s="265">
        <f>5561535+24959</f>
        <v>5586494</v>
      </c>
    </row>
    <row r="48" spans="1:3" ht="16.5">
      <c r="A48" s="265" t="s">
        <v>481</v>
      </c>
      <c r="B48" s="265" t="s">
        <v>483</v>
      </c>
      <c r="C48" s="265">
        <v>6459448</v>
      </c>
    </row>
    <row r="49" spans="1:6" ht="16.5">
      <c r="A49" s="265" t="s">
        <v>481</v>
      </c>
      <c r="B49" s="265" t="s">
        <v>484</v>
      </c>
      <c r="C49" s="265">
        <v>6655312</v>
      </c>
    </row>
    <row r="50" spans="1:6" ht="16.5">
      <c r="A50" s="265" t="s">
        <v>492</v>
      </c>
      <c r="B50" s="265" t="s">
        <v>499</v>
      </c>
      <c r="C50" s="265">
        <v>6861054</v>
      </c>
    </row>
    <row r="51" spans="1:6" ht="16.5">
      <c r="A51" s="265" t="s">
        <v>474</v>
      </c>
      <c r="B51" s="265" t="s">
        <v>479</v>
      </c>
      <c r="C51" s="265">
        <v>7797045</v>
      </c>
    </row>
    <row r="52" spans="1:6" ht="16.5">
      <c r="A52" s="265" t="s">
        <v>459</v>
      </c>
      <c r="B52" s="265" t="s">
        <v>461</v>
      </c>
      <c r="C52" s="265">
        <v>7951498</v>
      </c>
    </row>
    <row r="53" spans="1:6" ht="16.5">
      <c r="A53" s="265" t="s">
        <v>492</v>
      </c>
      <c r="B53" s="265" t="s">
        <v>498</v>
      </c>
      <c r="C53" s="265">
        <v>9289080</v>
      </c>
    </row>
    <row r="54" spans="1:6" ht="16.5">
      <c r="A54" s="265" t="s">
        <v>492</v>
      </c>
      <c r="B54" s="265" t="s">
        <v>494</v>
      </c>
      <c r="C54" s="265">
        <v>9289373</v>
      </c>
    </row>
    <row r="55" spans="1:6" ht="16.5">
      <c r="A55" s="265" t="s">
        <v>510</v>
      </c>
      <c r="B55" s="265" t="s">
        <v>512</v>
      </c>
      <c r="C55" s="265">
        <v>9355815</v>
      </c>
    </row>
    <row r="56" spans="1:6" ht="16.5">
      <c r="A56" s="265" t="s">
        <v>517</v>
      </c>
      <c r="B56" s="265" t="s">
        <v>519</v>
      </c>
      <c r="C56" s="265">
        <v>11572218</v>
      </c>
    </row>
    <row r="57" spans="1:6" ht="16.5">
      <c r="A57" s="265" t="s">
        <v>459</v>
      </c>
      <c r="B57" s="265" t="s">
        <v>458</v>
      </c>
      <c r="C57" s="265">
        <v>13287419</v>
      </c>
    </row>
    <row r="58" spans="1:6" ht="16.5">
      <c r="A58" s="265" t="s">
        <v>459</v>
      </c>
      <c r="B58" s="265" t="s">
        <v>460</v>
      </c>
      <c r="C58" s="265">
        <v>13977352</v>
      </c>
    </row>
    <row r="59" spans="1:6" ht="16.5">
      <c r="A59" s="265" t="s">
        <v>456</v>
      </c>
      <c r="B59" s="265" t="s">
        <v>457</v>
      </c>
      <c r="C59" s="265">
        <v>15152190</v>
      </c>
    </row>
    <row r="60" spans="1:6" ht="16.5">
      <c r="A60" s="265" t="s">
        <v>456</v>
      </c>
      <c r="B60" s="265" t="s">
        <v>455</v>
      </c>
      <c r="C60" s="265">
        <v>16515039</v>
      </c>
    </row>
    <row r="61" spans="1:6" ht="16.5">
      <c r="A61" s="265" t="s">
        <v>492</v>
      </c>
      <c r="B61" s="265" t="s">
        <v>491</v>
      </c>
      <c r="C61" s="265">
        <v>19657077</v>
      </c>
    </row>
    <row r="62" spans="1:6" ht="16.5">
      <c r="A62" s="265" t="s">
        <v>474</v>
      </c>
      <c r="B62" s="265" t="s">
        <v>473</v>
      </c>
      <c r="C62" s="265">
        <v>23276478</v>
      </c>
      <c r="F62" s="266"/>
    </row>
    <row r="63" spans="1:6" ht="18">
      <c r="A63" s="265" t="s">
        <v>450</v>
      </c>
      <c r="B63" s="265"/>
      <c r="C63" s="265">
        <v>19245550</v>
      </c>
    </row>
    <row r="64" spans="1:6" ht="16.5">
      <c r="A64" s="265" t="s">
        <v>431</v>
      </c>
      <c r="B64" s="265"/>
      <c r="C64" s="265">
        <v>10367580</v>
      </c>
    </row>
    <row r="65" spans="1:12" ht="16.5">
      <c r="A65" s="265" t="s">
        <v>432</v>
      </c>
      <c r="B65" s="265"/>
      <c r="C65" s="265">
        <v>304457</v>
      </c>
    </row>
    <row r="66" spans="1:12">
      <c r="A66" s="264" t="s">
        <v>39</v>
      </c>
      <c r="B66" s="263"/>
      <c r="C66" s="262">
        <f>SUM(C2:C65)</f>
        <v>289372127</v>
      </c>
    </row>
    <row r="67" spans="1:12" ht="16.5">
      <c r="B67" s="35"/>
      <c r="C67" s="261"/>
    </row>
    <row r="68" spans="1:12" ht="16.5">
      <c r="A68" s="38" t="s">
        <v>2</v>
      </c>
      <c r="B68" s="260"/>
    </row>
    <row r="69" spans="1:12" ht="16.5">
      <c r="A69" s="294" t="s">
        <v>51</v>
      </c>
      <c r="B69" s="294"/>
      <c r="C69" s="294"/>
      <c r="D69" s="294"/>
      <c r="E69" s="294"/>
      <c r="F69" s="294"/>
      <c r="G69" s="294"/>
      <c r="H69" s="294"/>
    </row>
    <row r="70" spans="1:12" ht="16.5">
      <c r="A70" s="294" t="s">
        <v>50</v>
      </c>
      <c r="B70" s="294"/>
      <c r="C70" s="294"/>
      <c r="D70" s="294"/>
      <c r="E70" s="294"/>
      <c r="F70" s="294"/>
      <c r="G70" s="294"/>
      <c r="H70" s="294"/>
    </row>
    <row r="71" spans="1:12" ht="39.75" customHeight="1">
      <c r="A71" s="295" t="s">
        <v>278</v>
      </c>
      <c r="B71" s="295"/>
      <c r="C71" s="295"/>
      <c r="D71" s="295"/>
      <c r="E71" s="295"/>
      <c r="F71" s="295"/>
      <c r="G71" s="295"/>
      <c r="H71" s="295"/>
    </row>
    <row r="72" spans="1:12" ht="16.5">
      <c r="A72" s="250" t="s">
        <v>523</v>
      </c>
      <c r="B72" s="250"/>
      <c r="C72" s="250"/>
      <c r="D72" s="250"/>
      <c r="E72" s="250"/>
      <c r="F72" s="250"/>
      <c r="G72" s="250"/>
      <c r="H72" s="250"/>
      <c r="I72" s="250"/>
      <c r="J72" s="250"/>
      <c r="K72" s="250"/>
      <c r="L72" s="250"/>
    </row>
  </sheetData>
  <sortState xmlns:xlrd2="http://schemas.microsoft.com/office/spreadsheetml/2017/richdata2" ref="A2:C62">
    <sortCondition ref="C2:C62"/>
  </sortState>
  <mergeCells count="3">
    <mergeCell ref="A69:H69"/>
    <mergeCell ref="A70:H70"/>
    <mergeCell ref="A71:H71"/>
  </mergeCells>
  <pageMargins left="0.7" right="0.7" top="0.75" bottom="0.75" header="0.3" footer="0.3"/>
  <pageSetup scale="65"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5"/>
  <sheetViews>
    <sheetView zoomScale="85" zoomScaleNormal="85" workbookViewId="0">
      <selection activeCell="A20" sqref="A20:L20"/>
    </sheetView>
  </sheetViews>
  <sheetFormatPr defaultRowHeight="15"/>
  <cols>
    <col min="1" max="1" width="55.28515625" style="92" customWidth="1"/>
    <col min="2" max="3" width="19.85546875" style="92" customWidth="1"/>
    <col min="4" max="7" width="17.42578125" style="92" customWidth="1"/>
    <col min="8" max="8" width="16.42578125" style="92" customWidth="1"/>
    <col min="9" max="16384" width="9.140625" style="92"/>
  </cols>
  <sheetData>
    <row r="1" spans="1:9" ht="22.5" customHeight="1">
      <c r="A1" s="296" t="str">
        <f>"Table/Figure 9: Direct Program Expenditures by State, FY"&amp;H3</f>
        <v>Table/Figure 9: Direct Program Expenditures by State, FY2018</v>
      </c>
      <c r="B1" s="296"/>
      <c r="C1" s="296"/>
      <c r="D1" s="296"/>
      <c r="E1" s="296"/>
      <c r="F1" s="296"/>
      <c r="G1" s="296"/>
      <c r="H1" s="296"/>
    </row>
    <row r="2" spans="1:9" ht="22.5" customHeight="1">
      <c r="A2" s="96" t="s">
        <v>247</v>
      </c>
      <c r="B2" s="131"/>
      <c r="C2" s="131"/>
      <c r="D2" s="131"/>
      <c r="E2" s="131"/>
      <c r="F2" s="146"/>
      <c r="G2" s="216"/>
      <c r="H2" s="131"/>
    </row>
    <row r="3" spans="1:9" ht="15.75">
      <c r="A3" s="100" t="s">
        <v>115</v>
      </c>
      <c r="B3" s="99">
        <v>2012</v>
      </c>
      <c r="C3" s="99">
        <v>2013</v>
      </c>
      <c r="D3" s="99">
        <v>2014</v>
      </c>
      <c r="E3" s="99">
        <v>2015</v>
      </c>
      <c r="F3" s="99">
        <v>2016</v>
      </c>
      <c r="G3" s="99">
        <v>2017</v>
      </c>
      <c r="H3" s="99">
        <v>2018</v>
      </c>
      <c r="I3" s="92" t="s">
        <v>105</v>
      </c>
    </row>
    <row r="4" spans="1:9" ht="17.25">
      <c r="A4" s="98" t="s">
        <v>114</v>
      </c>
      <c r="B4" s="163">
        <v>115404913</v>
      </c>
      <c r="C4" s="163">
        <v>95365193</v>
      </c>
      <c r="D4" s="164">
        <v>86071758</v>
      </c>
      <c r="E4" s="164">
        <v>90272231.799999997</v>
      </c>
      <c r="F4" s="174">
        <v>89322441</v>
      </c>
      <c r="G4" s="174">
        <v>87798353</v>
      </c>
      <c r="H4" s="174">
        <v>92423713</v>
      </c>
      <c r="I4" s="102">
        <f t="shared" ref="I4:I13" si="0">H4/SUM(H$4:H$12)</f>
        <v>0.31973036970893354</v>
      </c>
    </row>
    <row r="5" spans="1:9" ht="17.25">
      <c r="A5" s="98" t="s">
        <v>113</v>
      </c>
      <c r="B5" s="163">
        <v>73383217</v>
      </c>
      <c r="C5" s="163">
        <v>61857476</v>
      </c>
      <c r="D5" s="164">
        <v>78704753</v>
      </c>
      <c r="E5" s="164">
        <v>68248817.269999996</v>
      </c>
      <c r="F5" s="174">
        <v>60368059</v>
      </c>
      <c r="G5" s="174">
        <v>60237861</v>
      </c>
      <c r="H5" s="174">
        <v>64509038</v>
      </c>
      <c r="I5" s="102">
        <f t="shared" si="0"/>
        <v>0.22316241037954884</v>
      </c>
    </row>
    <row r="6" spans="1:9" ht="17.25">
      <c r="A6" s="98" t="s">
        <v>112</v>
      </c>
      <c r="B6" s="163">
        <v>85320690</v>
      </c>
      <c r="C6" s="163">
        <v>101607686</v>
      </c>
      <c r="D6" s="164">
        <v>61266093</v>
      </c>
      <c r="E6" s="164">
        <v>97958650.379999995</v>
      </c>
      <c r="F6" s="174">
        <v>93424732</v>
      </c>
      <c r="G6" s="174">
        <v>83807412</v>
      </c>
      <c r="H6" s="174">
        <v>82121619</v>
      </c>
      <c r="I6" s="102">
        <f t="shared" si="0"/>
        <v>0.28409133058705599</v>
      </c>
    </row>
    <row r="7" spans="1:9" ht="17.25">
      <c r="A7" s="98" t="s">
        <v>107</v>
      </c>
      <c r="B7" s="163">
        <v>2367853</v>
      </c>
      <c r="C7" s="163">
        <v>589410</v>
      </c>
      <c r="D7" s="164">
        <v>989723</v>
      </c>
      <c r="E7" s="164">
        <v>938155.66</v>
      </c>
      <c r="F7" s="174">
        <v>1085664</v>
      </c>
      <c r="G7" s="174">
        <v>1031552</v>
      </c>
      <c r="H7" s="174">
        <v>962752</v>
      </c>
      <c r="I7" s="102">
        <f t="shared" si="0"/>
        <v>3.3305419454206001E-3</v>
      </c>
    </row>
    <row r="8" spans="1:9" ht="17.25">
      <c r="A8" s="98" t="s">
        <v>111</v>
      </c>
      <c r="B8" s="163">
        <v>11143660</v>
      </c>
      <c r="C8" s="163">
        <v>7215356</v>
      </c>
      <c r="D8" s="164">
        <v>8285323</v>
      </c>
      <c r="E8" s="164">
        <v>5345068.57</v>
      </c>
      <c r="F8" s="174">
        <v>7233270</v>
      </c>
      <c r="G8" s="174">
        <v>4856792</v>
      </c>
      <c r="H8" s="174">
        <v>16732097</v>
      </c>
      <c r="I8" s="102">
        <f t="shared" si="0"/>
        <v>5.7882975982751723E-2</v>
      </c>
    </row>
    <row r="9" spans="1:9" ht="17.25">
      <c r="A9" s="98" t="s">
        <v>110</v>
      </c>
      <c r="B9" s="163">
        <v>1983288</v>
      </c>
      <c r="C9" s="163">
        <v>2042752</v>
      </c>
      <c r="D9" s="164">
        <v>1859249</v>
      </c>
      <c r="E9" s="164">
        <v>1991757.54</v>
      </c>
      <c r="F9" s="174">
        <v>1849774</v>
      </c>
      <c r="G9" s="174">
        <v>2099864</v>
      </c>
      <c r="H9" s="174">
        <v>1934720</v>
      </c>
      <c r="I9" s="102">
        <f t="shared" si="0"/>
        <v>6.6929656990005141E-3</v>
      </c>
    </row>
    <row r="10" spans="1:9" ht="17.25">
      <c r="A10" s="98" t="s">
        <v>109</v>
      </c>
      <c r="B10" s="163">
        <v>883615</v>
      </c>
      <c r="C10" s="163">
        <v>524606</v>
      </c>
      <c r="D10" s="164">
        <v>494000</v>
      </c>
      <c r="E10" s="164">
        <v>763224.97</v>
      </c>
      <c r="F10" s="174">
        <v>642383</v>
      </c>
      <c r="G10" s="174">
        <v>758778</v>
      </c>
      <c r="H10" s="174">
        <v>770601</v>
      </c>
      <c r="I10" s="102">
        <f t="shared" si="0"/>
        <v>2.6658152397326202E-3</v>
      </c>
    </row>
    <row r="11" spans="1:9" ht="17.25">
      <c r="A11" s="96" t="s">
        <v>434</v>
      </c>
      <c r="B11" s="163">
        <f>11994+15910542</f>
        <v>15922536</v>
      </c>
      <c r="C11" s="165">
        <v>21899413</v>
      </c>
      <c r="D11" s="166">
        <v>31463211</v>
      </c>
      <c r="E11" s="166">
        <v>14032643.140000001</v>
      </c>
      <c r="F11" s="175">
        <v>20245851</v>
      </c>
      <c r="G11" s="175">
        <v>19366924</v>
      </c>
      <c r="H11" s="175">
        <v>19245550</v>
      </c>
      <c r="I11" s="102">
        <f t="shared" si="0"/>
        <v>6.6578009225313914E-2</v>
      </c>
    </row>
    <row r="12" spans="1:9" ht="17.25">
      <c r="A12" s="98" t="s">
        <v>431</v>
      </c>
      <c r="B12" s="163"/>
      <c r="C12" s="163"/>
      <c r="D12" s="164"/>
      <c r="E12" s="164"/>
      <c r="F12" s="174"/>
      <c r="G12" s="174"/>
      <c r="H12" s="174">
        <v>10367580</v>
      </c>
      <c r="I12" s="102">
        <f t="shared" si="0"/>
        <v>3.5865581232242261E-2</v>
      </c>
    </row>
    <row r="13" spans="1:9" ht="17.25">
      <c r="A13" s="96" t="s">
        <v>432</v>
      </c>
      <c r="B13" s="163"/>
      <c r="C13" s="165"/>
      <c r="D13" s="166"/>
      <c r="E13" s="166"/>
      <c r="F13" s="175"/>
      <c r="G13" s="175"/>
      <c r="H13" s="175">
        <v>304457</v>
      </c>
      <c r="I13" s="102">
        <f t="shared" si="0"/>
        <v>1.0532378110634094E-3</v>
      </c>
    </row>
    <row r="14" spans="1:9" ht="18" thickBot="1">
      <c r="A14" s="96"/>
      <c r="B14" s="97">
        <f t="shared" ref="B14:H14" si="1">SUM(B4:B13)</f>
        <v>306409772</v>
      </c>
      <c r="C14" s="97">
        <f t="shared" si="1"/>
        <v>291101892</v>
      </c>
      <c r="D14" s="97">
        <f t="shared" si="1"/>
        <v>269134110</v>
      </c>
      <c r="E14" s="97">
        <f t="shared" si="1"/>
        <v>279550549.32999998</v>
      </c>
      <c r="F14" s="97">
        <f t="shared" si="1"/>
        <v>274172174</v>
      </c>
      <c r="G14" s="97">
        <f t="shared" ref="G14" si="2">SUM(G4:G13)</f>
        <v>259957536</v>
      </c>
      <c r="H14" s="97">
        <f t="shared" si="1"/>
        <v>289372127</v>
      </c>
    </row>
    <row r="15" spans="1:9" ht="18" thickTop="1">
      <c r="A15" s="96"/>
      <c r="B15" s="96"/>
      <c r="C15" s="96"/>
      <c r="D15" s="96"/>
      <c r="E15" s="96"/>
      <c r="F15" s="96"/>
      <c r="G15" s="96"/>
      <c r="H15" s="95"/>
    </row>
    <row r="16" spans="1:9" ht="15.75">
      <c r="A16" s="94" t="s">
        <v>2</v>
      </c>
      <c r="B16" s="94"/>
      <c r="C16" s="94"/>
    </row>
    <row r="17" spans="1:12" ht="17.25" customHeight="1">
      <c r="A17" s="251" t="s">
        <v>108</v>
      </c>
      <c r="B17" s="251"/>
      <c r="C17" s="251"/>
      <c r="D17" s="251"/>
      <c r="E17" s="251"/>
      <c r="F17" s="251"/>
      <c r="G17" s="251"/>
      <c r="H17" s="251"/>
      <c r="I17" s="93"/>
    </row>
    <row r="18" spans="1:12" ht="17.25" customHeight="1">
      <c r="A18" s="251" t="s">
        <v>248</v>
      </c>
      <c r="B18" s="251"/>
      <c r="C18" s="251"/>
      <c r="D18" s="251"/>
      <c r="E18" s="251"/>
      <c r="F18" s="251"/>
      <c r="G18" s="251"/>
      <c r="H18" s="251"/>
      <c r="I18" s="93"/>
    </row>
    <row r="19" spans="1:12" ht="17.25" customHeight="1">
      <c r="A19" s="251" t="s">
        <v>419</v>
      </c>
      <c r="B19" s="251"/>
      <c r="C19" s="251"/>
      <c r="D19" s="251"/>
      <c r="E19" s="251"/>
      <c r="F19" s="251"/>
      <c r="G19" s="251"/>
      <c r="H19" s="251"/>
      <c r="I19" s="93"/>
    </row>
    <row r="20" spans="1:12" ht="17.25" customHeight="1">
      <c r="A20" s="250" t="s">
        <v>523</v>
      </c>
      <c r="B20" s="250"/>
      <c r="C20" s="250"/>
      <c r="D20" s="250"/>
      <c r="E20" s="250"/>
      <c r="F20" s="250"/>
      <c r="G20" s="250"/>
      <c r="H20" s="250"/>
      <c r="I20" s="250"/>
      <c r="J20" s="250"/>
      <c r="K20" s="250"/>
      <c r="L20" s="250"/>
    </row>
    <row r="21" spans="1:12" ht="17.25" customHeight="1">
      <c r="A21" s="251"/>
    </row>
    <row r="22" spans="1:12" ht="15.75">
      <c r="A22" s="101" t="s">
        <v>258</v>
      </c>
    </row>
    <row r="24" spans="1:12">
      <c r="A24" s="92" t="s">
        <v>101</v>
      </c>
    </row>
    <row r="25" spans="1:12">
      <c r="A25" s="92" t="str">
        <f>subtitle</f>
        <v>Total: $289.4 million includes $30.7 million in obligations to capital projects</v>
      </c>
    </row>
  </sheetData>
  <mergeCells count="1">
    <mergeCell ref="A1:H1"/>
  </mergeCells>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28"/>
  <sheetViews>
    <sheetView topLeftCell="A75" zoomScale="85" zoomScaleNormal="85" workbookViewId="0">
      <selection activeCell="F101" sqref="F101"/>
    </sheetView>
  </sheetViews>
  <sheetFormatPr defaultRowHeight="16.5"/>
  <cols>
    <col min="1" max="1" width="12.42578125" style="114" bestFit="1" customWidth="1"/>
    <col min="2" max="2" width="66.140625" style="113" customWidth="1"/>
    <col min="3" max="3" width="13.7109375" style="112" customWidth="1"/>
    <col min="4" max="5" width="13.7109375" style="112" bestFit="1" customWidth="1"/>
    <col min="6" max="8" width="13.7109375" style="111" bestFit="1" customWidth="1"/>
    <col min="9" max="9" width="13.7109375" style="111" customWidth="1"/>
    <col min="10" max="10" width="13.7109375" style="111" bestFit="1" customWidth="1"/>
    <col min="11" max="16384" width="9.140625" style="111"/>
  </cols>
  <sheetData>
    <row r="1" spans="1:10" ht="27.75" customHeight="1">
      <c r="A1" s="297" t="s">
        <v>249</v>
      </c>
      <c r="B1" s="297"/>
      <c r="C1" s="297"/>
      <c r="D1" s="297"/>
      <c r="E1" s="297"/>
      <c r="F1" s="297"/>
      <c r="G1" s="297"/>
      <c r="H1" s="297"/>
      <c r="I1" s="297"/>
      <c r="J1" s="297"/>
    </row>
    <row r="2" spans="1:10" s="121" customFormat="1" ht="32.25" customHeight="1">
      <c r="A2" s="123" t="s">
        <v>176</v>
      </c>
      <c r="B2" s="123" t="s">
        <v>175</v>
      </c>
      <c r="C2" s="122">
        <v>2011</v>
      </c>
      <c r="D2" s="122">
        <v>2012</v>
      </c>
      <c r="E2" s="122">
        <v>2013</v>
      </c>
      <c r="F2" s="122">
        <v>2014</v>
      </c>
      <c r="G2" s="122">
        <v>2015</v>
      </c>
      <c r="H2" s="122">
        <v>2016</v>
      </c>
      <c r="I2" s="122">
        <v>2017</v>
      </c>
      <c r="J2" s="122">
        <v>2018</v>
      </c>
    </row>
    <row r="3" spans="1:10">
      <c r="A3" s="114" t="s">
        <v>174</v>
      </c>
      <c r="B3" s="113" t="s">
        <v>172</v>
      </c>
      <c r="C3" s="112">
        <v>16437276</v>
      </c>
      <c r="D3" s="112">
        <v>15281324</v>
      </c>
      <c r="E3" s="112">
        <v>16789765.34</v>
      </c>
      <c r="F3" s="112">
        <v>18302893.870000001</v>
      </c>
      <c r="G3" s="112">
        <v>18662085.170000002</v>
      </c>
      <c r="H3" s="112">
        <v>20288062</v>
      </c>
      <c r="I3" s="112">
        <v>18817913.82</v>
      </c>
      <c r="J3" s="112">
        <v>15144232</v>
      </c>
    </row>
    <row r="4" spans="1:10">
      <c r="B4" s="113" t="s">
        <v>173</v>
      </c>
      <c r="C4" s="112">
        <v>10011126</v>
      </c>
      <c r="D4" s="112">
        <v>10226671.5</v>
      </c>
      <c r="E4" s="112">
        <v>7294105.1900000004</v>
      </c>
      <c r="F4" s="112">
        <v>6823152.6100000003</v>
      </c>
      <c r="G4" s="112">
        <v>7869433</v>
      </c>
      <c r="H4" s="112">
        <v>6916950</v>
      </c>
      <c r="I4" s="112">
        <v>7239871.330000001</v>
      </c>
      <c r="J4" s="112">
        <v>7262514</v>
      </c>
    </row>
    <row r="5" spans="1:10">
      <c r="B5" s="113" t="s">
        <v>171</v>
      </c>
      <c r="C5" s="112">
        <v>2842702</v>
      </c>
      <c r="D5" s="112">
        <v>2472045.7200000002</v>
      </c>
      <c r="E5" s="112">
        <v>2845423.81</v>
      </c>
      <c r="F5" s="112">
        <v>3425748.4</v>
      </c>
      <c r="G5" s="112">
        <v>2718120.18</v>
      </c>
      <c r="H5" s="112">
        <v>3027580</v>
      </c>
      <c r="I5" s="112">
        <v>2289092.34</v>
      </c>
      <c r="J5" s="112">
        <v>2636188</v>
      </c>
    </row>
    <row r="6" spans="1:10">
      <c r="B6" s="113" t="s">
        <v>167</v>
      </c>
      <c r="C6" s="112">
        <v>2385971</v>
      </c>
      <c r="D6" s="112">
        <v>3135563.61</v>
      </c>
      <c r="E6" s="112">
        <v>2209566.7000000002</v>
      </c>
      <c r="F6" s="112">
        <v>1704163.07</v>
      </c>
      <c r="G6" s="112">
        <v>1705065.54</v>
      </c>
      <c r="H6" s="112">
        <v>1809300</v>
      </c>
      <c r="I6" s="112">
        <v>2014355.6099999999</v>
      </c>
      <c r="J6" s="112">
        <v>1665717</v>
      </c>
    </row>
    <row r="7" spans="1:10">
      <c r="B7" s="113" t="s">
        <v>168</v>
      </c>
      <c r="C7" s="112">
        <v>1124508</v>
      </c>
      <c r="D7" s="112">
        <v>851567.22</v>
      </c>
      <c r="E7" s="112">
        <v>819257.58</v>
      </c>
      <c r="F7" s="112">
        <v>813991.96</v>
      </c>
      <c r="G7" s="112">
        <v>309565.11</v>
      </c>
      <c r="H7" s="112">
        <v>962585</v>
      </c>
      <c r="I7" s="112">
        <v>814089.25</v>
      </c>
      <c r="J7" s="112">
        <v>915292</v>
      </c>
    </row>
    <row r="8" spans="1:10">
      <c r="B8" s="113" t="s">
        <v>259</v>
      </c>
      <c r="C8" s="112">
        <v>750143</v>
      </c>
      <c r="D8" s="112">
        <v>573644.63</v>
      </c>
      <c r="E8" s="112">
        <v>381426.58</v>
      </c>
      <c r="F8" s="112">
        <v>379050.12</v>
      </c>
      <c r="G8" s="112">
        <v>625655.61</v>
      </c>
      <c r="H8" s="112">
        <v>793662.02</v>
      </c>
      <c r="I8" s="112">
        <v>392411.07</v>
      </c>
      <c r="J8" s="112">
        <v>736525</v>
      </c>
    </row>
    <row r="9" spans="1:10">
      <c r="B9" s="113" t="s">
        <v>170</v>
      </c>
      <c r="C9" s="112">
        <v>160153</v>
      </c>
      <c r="D9" s="112">
        <v>237485.58</v>
      </c>
      <c r="E9" s="112">
        <v>181861.7</v>
      </c>
      <c r="F9" s="112">
        <v>312773.18</v>
      </c>
      <c r="G9" s="112">
        <v>714662.68</v>
      </c>
      <c r="H9" s="112">
        <v>263562</v>
      </c>
      <c r="I9" s="112">
        <v>272941</v>
      </c>
      <c r="J9" s="112">
        <v>255321</v>
      </c>
    </row>
    <row r="10" spans="1:10">
      <c r="B10" s="113" t="s">
        <v>169</v>
      </c>
      <c r="C10" s="112">
        <v>358523</v>
      </c>
      <c r="D10" s="112">
        <v>358213.68</v>
      </c>
      <c r="E10" s="112">
        <v>604601.54</v>
      </c>
      <c r="F10" s="112">
        <v>171313.17</v>
      </c>
      <c r="G10" s="112">
        <v>309498.65000000002</v>
      </c>
      <c r="H10" s="112">
        <v>1278361</v>
      </c>
      <c r="I10" s="112">
        <v>272192</v>
      </c>
      <c r="J10" s="112">
        <v>116413</v>
      </c>
    </row>
    <row r="11" spans="1:10">
      <c r="B11" s="113" t="s">
        <v>128</v>
      </c>
      <c r="C11" s="112">
        <v>904925</v>
      </c>
      <c r="E11" s="112">
        <v>178002</v>
      </c>
      <c r="F11" s="112">
        <v>50000</v>
      </c>
      <c r="G11" s="112">
        <v>50000</v>
      </c>
      <c r="H11" s="112"/>
      <c r="I11" s="112"/>
      <c r="J11" s="112"/>
    </row>
    <row r="12" spans="1:10">
      <c r="A12" s="298" t="s">
        <v>166</v>
      </c>
      <c r="B12" s="298"/>
      <c r="C12" s="115">
        <f t="shared" ref="C12:J12" si="0">SUM(C3:C11)</f>
        <v>34975327</v>
      </c>
      <c r="D12" s="115">
        <f t="shared" si="0"/>
        <v>33136515.939999994</v>
      </c>
      <c r="E12" s="115">
        <f t="shared" si="0"/>
        <v>31304010.439999994</v>
      </c>
      <c r="F12" s="115">
        <f t="shared" si="0"/>
        <v>31983086.380000003</v>
      </c>
      <c r="G12" s="115">
        <f t="shared" si="0"/>
        <v>32964085.939999998</v>
      </c>
      <c r="H12" s="115">
        <f t="shared" si="0"/>
        <v>35340062.020000003</v>
      </c>
      <c r="I12" s="115">
        <f t="shared" ref="I12" si="1">SUM(I3:I11)</f>
        <v>32112866.420000002</v>
      </c>
      <c r="J12" s="115">
        <f t="shared" si="0"/>
        <v>28732202</v>
      </c>
    </row>
    <row r="13" spans="1:10">
      <c r="F13" s="112"/>
      <c r="G13" s="112"/>
      <c r="H13" s="112"/>
      <c r="I13" s="112"/>
      <c r="J13" s="112"/>
    </row>
    <row r="14" spans="1:10">
      <c r="A14" s="114" t="s">
        <v>115</v>
      </c>
      <c r="B14" s="113" t="s">
        <v>165</v>
      </c>
      <c r="C14" s="112">
        <v>10238326</v>
      </c>
      <c r="D14" s="112">
        <v>15805508.949999999</v>
      </c>
      <c r="E14" s="112">
        <v>13248074.52</v>
      </c>
      <c r="F14" s="112">
        <v>14244565.92</v>
      </c>
      <c r="G14" s="112">
        <v>14416087.09</v>
      </c>
      <c r="H14" s="112">
        <v>15246156</v>
      </c>
      <c r="I14" s="112">
        <v>14664698.560000001</v>
      </c>
      <c r="J14" s="112">
        <v>15400007</v>
      </c>
    </row>
    <row r="15" spans="1:10">
      <c r="B15" s="113" t="s">
        <v>164</v>
      </c>
      <c r="D15" s="112">
        <v>59516.38</v>
      </c>
      <c r="E15" s="112">
        <v>76366.52</v>
      </c>
      <c r="F15" s="112">
        <v>112610.87</v>
      </c>
      <c r="G15" s="112">
        <v>88522.53</v>
      </c>
      <c r="H15" s="112">
        <v>55535</v>
      </c>
      <c r="I15" s="112">
        <v>18413</v>
      </c>
      <c r="J15" s="112">
        <v>30354</v>
      </c>
    </row>
    <row r="16" spans="1:10">
      <c r="B16" s="113" t="s">
        <v>439</v>
      </c>
      <c r="F16" s="112"/>
      <c r="G16" s="112"/>
      <c r="H16" s="112"/>
      <c r="I16" s="112"/>
      <c r="J16" s="112">
        <v>20658</v>
      </c>
    </row>
    <row r="17" spans="1:10">
      <c r="B17" s="252" t="s">
        <v>163</v>
      </c>
      <c r="C17" s="253">
        <f t="shared" ref="C17:G17" si="2">SUM(C14:C16)</f>
        <v>10238326</v>
      </c>
      <c r="D17" s="253">
        <f t="shared" si="2"/>
        <v>15865025.33</v>
      </c>
      <c r="E17" s="253">
        <f t="shared" si="2"/>
        <v>13324441.039999999</v>
      </c>
      <c r="F17" s="253">
        <f t="shared" si="2"/>
        <v>14357176.789999999</v>
      </c>
      <c r="G17" s="253">
        <f t="shared" si="2"/>
        <v>14504609.619999999</v>
      </c>
      <c r="H17" s="253">
        <f>SUM(H14:H16)</f>
        <v>15301691</v>
      </c>
      <c r="I17" s="253">
        <f>SUM(I14:I16)</f>
        <v>14683111.560000001</v>
      </c>
      <c r="J17" s="253">
        <f>SUM(J14:J16)</f>
        <v>15451019</v>
      </c>
    </row>
    <row r="18" spans="1:10" ht="7.5" customHeight="1">
      <c r="F18" s="112"/>
      <c r="G18" s="112"/>
      <c r="H18" s="112"/>
      <c r="I18" s="112"/>
      <c r="J18" s="112"/>
    </row>
    <row r="19" spans="1:10">
      <c r="B19" s="113" t="s">
        <v>162</v>
      </c>
      <c r="C19" s="112">
        <v>10847630</v>
      </c>
      <c r="D19" s="112">
        <v>17836560.809999999</v>
      </c>
      <c r="E19" s="112">
        <v>18281035.739999998</v>
      </c>
      <c r="F19" s="112">
        <v>13726829.310000001</v>
      </c>
      <c r="G19" s="112">
        <v>15455053.789999999</v>
      </c>
      <c r="H19" s="112">
        <v>11875775</v>
      </c>
      <c r="I19" s="112">
        <v>12451687.119999999</v>
      </c>
      <c r="J19" s="112">
        <v>11779934</v>
      </c>
    </row>
    <row r="20" spans="1:10">
      <c r="B20" s="113" t="s">
        <v>161</v>
      </c>
      <c r="F20" s="112"/>
      <c r="G20" s="112"/>
      <c r="H20" s="112"/>
      <c r="I20" s="112"/>
      <c r="J20" s="112"/>
    </row>
    <row r="21" spans="1:10">
      <c r="B21" s="113" t="s">
        <v>160</v>
      </c>
      <c r="C21" s="112">
        <v>2551533</v>
      </c>
      <c r="D21" s="112">
        <v>2487432.84</v>
      </c>
      <c r="E21" s="112">
        <v>2905499.55</v>
      </c>
      <c r="F21" s="112">
        <v>1368456.31</v>
      </c>
      <c r="G21" s="112">
        <v>2742180.2</v>
      </c>
      <c r="H21" s="112">
        <v>3352210</v>
      </c>
      <c r="I21" s="112">
        <v>4013413.03</v>
      </c>
      <c r="J21" s="112">
        <v>4107184</v>
      </c>
    </row>
    <row r="22" spans="1:10">
      <c r="B22" s="252" t="s">
        <v>159</v>
      </c>
      <c r="C22" s="253">
        <f t="shared" ref="C22:G22" si="3">SUM(C19:C21)</f>
        <v>13399163</v>
      </c>
      <c r="D22" s="253">
        <f t="shared" si="3"/>
        <v>20323993.649999999</v>
      </c>
      <c r="E22" s="253">
        <f t="shared" si="3"/>
        <v>21186535.289999999</v>
      </c>
      <c r="F22" s="253">
        <f t="shared" si="3"/>
        <v>15095285.620000001</v>
      </c>
      <c r="G22" s="253">
        <f t="shared" si="3"/>
        <v>18197233.989999998</v>
      </c>
      <c r="H22" s="253">
        <f>SUM(H19:H21)</f>
        <v>15227985</v>
      </c>
      <c r="I22" s="253">
        <f>SUM(I19:I21)</f>
        <v>16465100.149999999</v>
      </c>
      <c r="J22" s="253">
        <f>SUM(J19:J21)</f>
        <v>15887118</v>
      </c>
    </row>
    <row r="23" spans="1:10" ht="6" customHeight="1">
      <c r="F23" s="112"/>
      <c r="G23" s="112"/>
      <c r="H23" s="112"/>
      <c r="I23" s="112"/>
      <c r="J23" s="112"/>
    </row>
    <row r="24" spans="1:10">
      <c r="B24" s="113" t="s">
        <v>158</v>
      </c>
      <c r="C24" s="112">
        <v>9148722</v>
      </c>
      <c r="D24" s="112">
        <v>11855753.15</v>
      </c>
      <c r="E24" s="112">
        <v>10691474.27</v>
      </c>
      <c r="F24" s="112">
        <v>12164790.199999999</v>
      </c>
      <c r="G24" s="112">
        <v>11894739.43</v>
      </c>
      <c r="H24" s="112">
        <v>12793663</v>
      </c>
      <c r="I24" s="112">
        <v>10976873.369999997</v>
      </c>
      <c r="J24" s="112">
        <v>11026037</v>
      </c>
    </row>
    <row r="25" spans="1:10">
      <c r="B25" s="113" t="s">
        <v>157</v>
      </c>
      <c r="C25" s="112">
        <v>43689</v>
      </c>
      <c r="F25" s="112"/>
      <c r="G25" s="112"/>
      <c r="H25" s="112"/>
      <c r="I25" s="112"/>
      <c r="J25" s="112"/>
    </row>
    <row r="26" spans="1:10">
      <c r="B26" s="252" t="s">
        <v>156</v>
      </c>
      <c r="C26" s="253">
        <f t="shared" ref="C26:J26" si="4">SUM(C24:C25)</f>
        <v>9192411</v>
      </c>
      <c r="D26" s="253">
        <f t="shared" si="4"/>
        <v>11855753.15</v>
      </c>
      <c r="E26" s="253">
        <f t="shared" si="4"/>
        <v>10691474.27</v>
      </c>
      <c r="F26" s="253">
        <f t="shared" si="4"/>
        <v>12164790.199999999</v>
      </c>
      <c r="G26" s="253">
        <f t="shared" si="4"/>
        <v>11894739.43</v>
      </c>
      <c r="H26" s="253">
        <f t="shared" si="4"/>
        <v>12793663</v>
      </c>
      <c r="I26" s="253">
        <f t="shared" ref="I26" si="5">SUM(I24:I25)</f>
        <v>10976873.369999997</v>
      </c>
      <c r="J26" s="253">
        <f t="shared" si="4"/>
        <v>11026037</v>
      </c>
    </row>
    <row r="27" spans="1:10" ht="6.75" customHeight="1">
      <c r="F27" s="112"/>
      <c r="G27" s="112"/>
      <c r="H27" s="112"/>
      <c r="I27" s="112"/>
      <c r="J27" s="112"/>
    </row>
    <row r="28" spans="1:10">
      <c r="B28" s="113" t="s">
        <v>155</v>
      </c>
      <c r="C28" s="112">
        <v>2414914</v>
      </c>
      <c r="D28" s="112">
        <v>2382531.36</v>
      </c>
      <c r="E28" s="112">
        <v>2777167.37</v>
      </c>
      <c r="F28" s="112">
        <v>3063650.19</v>
      </c>
      <c r="G28" s="112">
        <v>3051536.75</v>
      </c>
      <c r="H28" s="112">
        <v>3810995</v>
      </c>
      <c r="I28" s="112">
        <v>3076776</v>
      </c>
      <c r="J28" s="112">
        <v>3185901</v>
      </c>
    </row>
    <row r="29" spans="1:10">
      <c r="B29" s="252" t="s">
        <v>154</v>
      </c>
      <c r="C29" s="253">
        <f t="shared" ref="C29:J29" si="6">SUM(C28:C28)</f>
        <v>2414914</v>
      </c>
      <c r="D29" s="253">
        <f t="shared" si="6"/>
        <v>2382531.36</v>
      </c>
      <c r="E29" s="253">
        <f t="shared" si="6"/>
        <v>2777167.37</v>
      </c>
      <c r="F29" s="253">
        <f t="shared" si="6"/>
        <v>3063650.19</v>
      </c>
      <c r="G29" s="253">
        <f t="shared" si="6"/>
        <v>3051536.75</v>
      </c>
      <c r="H29" s="253">
        <f t="shared" si="6"/>
        <v>3810995</v>
      </c>
      <c r="I29" s="253">
        <f t="shared" ref="I29" si="7">SUM(I28:I28)</f>
        <v>3076776</v>
      </c>
      <c r="J29" s="253">
        <f t="shared" si="6"/>
        <v>3185901</v>
      </c>
    </row>
    <row r="30" spans="1:10" ht="18" customHeight="1">
      <c r="A30" s="299" t="s">
        <v>153</v>
      </c>
      <c r="B30" s="299"/>
      <c r="C30" s="115">
        <f t="shared" ref="C30:J30" si="8">SUM(C29,C26,C22,C17)</f>
        <v>35244814</v>
      </c>
      <c r="D30" s="115">
        <f t="shared" si="8"/>
        <v>50427303.489999995</v>
      </c>
      <c r="E30" s="115">
        <f t="shared" si="8"/>
        <v>47979617.969999999</v>
      </c>
      <c r="F30" s="115">
        <f t="shared" si="8"/>
        <v>44680902.799999997</v>
      </c>
      <c r="G30" s="115">
        <f t="shared" si="8"/>
        <v>47648119.789999999</v>
      </c>
      <c r="H30" s="115">
        <f t="shared" si="8"/>
        <v>47134334</v>
      </c>
      <c r="I30" s="115">
        <f t="shared" ref="I30" si="9">SUM(I29,I26,I22,I17)</f>
        <v>45201861.079999998</v>
      </c>
      <c r="J30" s="115">
        <f t="shared" si="8"/>
        <v>45550075</v>
      </c>
    </row>
    <row r="31" spans="1:10">
      <c r="B31" s="120"/>
      <c r="F31" s="112"/>
      <c r="G31" s="112"/>
      <c r="H31" s="112"/>
      <c r="I31" s="112"/>
      <c r="J31" s="112"/>
    </row>
    <row r="32" spans="1:10">
      <c r="A32" s="114" t="s">
        <v>152</v>
      </c>
      <c r="B32" s="113" t="s">
        <v>151</v>
      </c>
      <c r="C32" s="112">
        <v>658775</v>
      </c>
      <c r="D32" s="112">
        <v>831696.91</v>
      </c>
      <c r="E32" s="112">
        <v>610971.79</v>
      </c>
      <c r="F32" s="112">
        <v>761026.25</v>
      </c>
      <c r="G32" s="112">
        <v>1081654.73</v>
      </c>
      <c r="H32" s="112">
        <v>797849</v>
      </c>
      <c r="I32" s="112">
        <v>811009.52</v>
      </c>
      <c r="J32" s="112">
        <v>828953</v>
      </c>
    </row>
    <row r="33" spans="2:10">
      <c r="B33" s="113" t="s">
        <v>150</v>
      </c>
      <c r="C33" s="112">
        <v>2340704</v>
      </c>
      <c r="D33" s="112">
        <v>2668551.16</v>
      </c>
      <c r="E33" s="112">
        <v>2714055.36</v>
      </c>
      <c r="F33" s="112">
        <v>2606885.94</v>
      </c>
      <c r="G33" s="112">
        <v>2686195.65</v>
      </c>
      <c r="H33" s="112">
        <v>2722811</v>
      </c>
      <c r="I33" s="112">
        <v>2717874.71</v>
      </c>
      <c r="J33" s="112">
        <v>2726337</v>
      </c>
    </row>
    <row r="34" spans="2:10">
      <c r="B34" s="113" t="s">
        <v>149</v>
      </c>
      <c r="C34" s="112">
        <v>7660904</v>
      </c>
      <c r="D34" s="112">
        <v>8747388.2599999998</v>
      </c>
      <c r="E34" s="112">
        <v>7939587.2699999996</v>
      </c>
      <c r="F34" s="112">
        <v>8553076.3699999992</v>
      </c>
      <c r="G34" s="112">
        <v>9041925.8399999999</v>
      </c>
      <c r="H34" s="112">
        <v>9140737</v>
      </c>
      <c r="I34" s="112">
        <v>9740397.0799999982</v>
      </c>
      <c r="J34" s="112">
        <v>8413360</v>
      </c>
    </row>
    <row r="35" spans="2:10">
      <c r="B35" s="113" t="s">
        <v>148</v>
      </c>
      <c r="C35" s="112">
        <v>16189398</v>
      </c>
      <c r="D35" s="112">
        <v>21993515.789999999</v>
      </c>
      <c r="E35" s="112">
        <v>16872697.670000002</v>
      </c>
      <c r="F35" s="112">
        <v>15116518.9</v>
      </c>
      <c r="G35" s="112">
        <v>14293923.970000001</v>
      </c>
      <c r="H35" s="112">
        <v>15137000</v>
      </c>
      <c r="I35" s="112">
        <v>20566434.849999998</v>
      </c>
      <c r="J35" s="112">
        <v>16674160</v>
      </c>
    </row>
    <row r="36" spans="2:10">
      <c r="B36" s="113" t="s">
        <v>147</v>
      </c>
      <c r="C36" s="112">
        <v>124703</v>
      </c>
      <c r="D36" s="112">
        <v>158296.26999999999</v>
      </c>
      <c r="E36" s="112">
        <v>110571.35</v>
      </c>
      <c r="F36" s="112">
        <v>140397.85999999999</v>
      </c>
      <c r="G36" s="112">
        <v>134869.24</v>
      </c>
      <c r="H36" s="112">
        <v>163102</v>
      </c>
      <c r="I36" s="112">
        <v>234021</v>
      </c>
      <c r="J36" s="112">
        <v>138705</v>
      </c>
    </row>
    <row r="37" spans="2:10">
      <c r="B37" s="113" t="s">
        <v>146</v>
      </c>
      <c r="E37" s="112">
        <v>68133.8</v>
      </c>
      <c r="F37" s="112">
        <v>52779.89</v>
      </c>
      <c r="G37" s="112">
        <v>140868.88</v>
      </c>
      <c r="H37" s="112">
        <v>124210</v>
      </c>
      <c r="I37" s="112">
        <v>102394</v>
      </c>
      <c r="J37" s="112">
        <v>130034</v>
      </c>
    </row>
    <row r="38" spans="2:10">
      <c r="B38" s="113" t="s">
        <v>145</v>
      </c>
      <c r="C38" s="112">
        <v>6859314</v>
      </c>
      <c r="D38" s="112">
        <v>7223658.5800000001</v>
      </c>
      <c r="E38" s="112">
        <v>11203329.99</v>
      </c>
      <c r="F38" s="112">
        <v>5691055.3700000001</v>
      </c>
      <c r="G38" s="112">
        <v>12065436.449999999</v>
      </c>
      <c r="H38" s="112">
        <v>6615140</v>
      </c>
      <c r="I38" s="112">
        <v>8271585.4100000001</v>
      </c>
      <c r="J38" s="112">
        <v>8173784</v>
      </c>
    </row>
    <row r="39" spans="2:10">
      <c r="B39" s="113" t="s">
        <v>144</v>
      </c>
      <c r="C39" s="112">
        <v>34325</v>
      </c>
      <c r="D39" s="112">
        <v>118229.05</v>
      </c>
      <c r="E39" s="112">
        <v>364936.65</v>
      </c>
      <c r="F39" s="112">
        <v>453801.49</v>
      </c>
      <c r="G39" s="112">
        <v>633054.71999999997</v>
      </c>
      <c r="H39" s="112">
        <v>661308</v>
      </c>
      <c r="I39" s="112">
        <v>614064.73</v>
      </c>
      <c r="J39" s="112">
        <v>545674</v>
      </c>
    </row>
    <row r="40" spans="2:10">
      <c r="B40" s="113" t="s">
        <v>260</v>
      </c>
      <c r="F40" s="112"/>
      <c r="G40" s="112"/>
      <c r="H40" s="112">
        <v>4650</v>
      </c>
      <c r="I40" s="112">
        <v>-4650</v>
      </c>
      <c r="J40" s="112"/>
    </row>
    <row r="41" spans="2:10">
      <c r="B41" s="113" t="s">
        <v>143</v>
      </c>
      <c r="C41" s="112">
        <v>2066331</v>
      </c>
      <c r="D41" s="112">
        <v>2575344.41</v>
      </c>
      <c r="E41" s="112">
        <v>2709447.93</v>
      </c>
      <c r="F41" s="112">
        <v>2962457.34</v>
      </c>
      <c r="G41" s="112">
        <v>3133721.78</v>
      </c>
      <c r="H41" s="112">
        <v>3359054</v>
      </c>
      <c r="I41" s="112">
        <v>4505004.3800000008</v>
      </c>
      <c r="J41" s="112">
        <v>4568749</v>
      </c>
    </row>
    <row r="42" spans="2:10">
      <c r="B42" s="113" t="s">
        <v>142</v>
      </c>
      <c r="C42" s="112">
        <v>8537716</v>
      </c>
      <c r="D42" s="112">
        <v>12321474</v>
      </c>
      <c r="E42" s="112">
        <v>15094787.6</v>
      </c>
      <c r="F42" s="112">
        <v>21941730.670000002</v>
      </c>
      <c r="G42" s="112">
        <v>11586883.73</v>
      </c>
      <c r="H42" s="112">
        <v>15188307</v>
      </c>
      <c r="I42" s="112">
        <v>11041579.77</v>
      </c>
      <c r="J42" s="112">
        <v>12755152</v>
      </c>
    </row>
    <row r="43" spans="2:10">
      <c r="B43" s="113" t="s">
        <v>141</v>
      </c>
      <c r="C43" s="112">
        <v>15349520</v>
      </c>
      <c r="D43" s="112">
        <v>16073605.48</v>
      </c>
      <c r="E43" s="112">
        <v>15800876.02</v>
      </c>
      <c r="F43" s="112">
        <v>15294864.880000001</v>
      </c>
      <c r="G43" s="112">
        <v>16713068.199999999</v>
      </c>
      <c r="H43" s="112">
        <v>16526287</v>
      </c>
      <c r="I43" s="112">
        <v>18138282.009999998</v>
      </c>
      <c r="J43" s="112">
        <v>16731875</v>
      </c>
    </row>
    <row r="44" spans="2:10">
      <c r="B44" s="113" t="s">
        <v>140</v>
      </c>
      <c r="C44" s="112">
        <v>430107</v>
      </c>
      <c r="D44" s="112">
        <v>453174.96</v>
      </c>
      <c r="E44" s="112">
        <v>755838.51</v>
      </c>
      <c r="F44" s="112">
        <v>664291.94999999995</v>
      </c>
      <c r="G44" s="112">
        <v>684144.2</v>
      </c>
      <c r="H44" s="112">
        <v>632232</v>
      </c>
      <c r="I44" s="112">
        <v>613878.14000000013</v>
      </c>
      <c r="J44" s="112">
        <v>629823</v>
      </c>
    </row>
    <row r="45" spans="2:10">
      <c r="B45" s="113" t="s">
        <v>139</v>
      </c>
      <c r="C45" s="112">
        <v>2830660</v>
      </c>
      <c r="D45" s="112">
        <v>2837601.3</v>
      </c>
      <c r="E45" s="112">
        <v>4009231.03</v>
      </c>
      <c r="F45" s="112">
        <v>3551517.74</v>
      </c>
      <c r="G45" s="112">
        <v>3477187.41</v>
      </c>
      <c r="H45" s="112">
        <v>3422313</v>
      </c>
      <c r="I45" s="112">
        <v>3912663.8599999994</v>
      </c>
      <c r="J45" s="112">
        <v>3607056</v>
      </c>
    </row>
    <row r="46" spans="2:10">
      <c r="B46" s="113" t="s">
        <v>138</v>
      </c>
      <c r="C46" s="112">
        <v>841382</v>
      </c>
      <c r="D46" s="112">
        <v>1147875</v>
      </c>
      <c r="E46" s="112">
        <v>694692.43</v>
      </c>
      <c r="F46" s="112">
        <v>626509.31000000006</v>
      </c>
      <c r="G46" s="112">
        <v>1086909.6599999999</v>
      </c>
      <c r="H46" s="112">
        <v>936944</v>
      </c>
      <c r="I46" s="112">
        <v>1023666</v>
      </c>
      <c r="J46" s="112">
        <v>1028574</v>
      </c>
    </row>
    <row r="47" spans="2:10">
      <c r="B47" s="113" t="s">
        <v>137</v>
      </c>
      <c r="C47" s="112">
        <v>2803647</v>
      </c>
      <c r="D47" s="112">
        <v>2932795.66</v>
      </c>
      <c r="E47" s="112">
        <v>2709869.99</v>
      </c>
      <c r="F47" s="112">
        <v>3314938.77</v>
      </c>
      <c r="G47" s="112">
        <v>2989703.16</v>
      </c>
      <c r="H47" s="112">
        <v>3403933</v>
      </c>
      <c r="I47" s="112">
        <v>3673493.3099999996</v>
      </c>
      <c r="J47" s="112">
        <v>5267198</v>
      </c>
    </row>
    <row r="48" spans="2:10">
      <c r="B48" s="113" t="s">
        <v>136</v>
      </c>
      <c r="C48" s="112">
        <v>11365123</v>
      </c>
      <c r="D48" s="112">
        <v>9951477.0299999993</v>
      </c>
      <c r="E48" s="112">
        <v>12122356.76</v>
      </c>
      <c r="F48" s="112">
        <v>12088601.689999999</v>
      </c>
      <c r="G48" s="112">
        <v>11248947.369999999</v>
      </c>
      <c r="H48" s="112">
        <v>10584971</v>
      </c>
      <c r="I48" s="112">
        <v>11987367.720000001</v>
      </c>
      <c r="J48" s="112">
        <v>13963980</v>
      </c>
    </row>
    <row r="49" spans="1:10" ht="16.5" customHeight="1">
      <c r="B49" s="113" t="s">
        <v>135</v>
      </c>
      <c r="C49" s="112">
        <v>427731</v>
      </c>
      <c r="D49" s="112">
        <v>403540.21</v>
      </c>
      <c r="E49" s="112">
        <v>389914</v>
      </c>
      <c r="F49" s="112">
        <v>448433.02</v>
      </c>
      <c r="G49" s="112">
        <v>542524.98</v>
      </c>
      <c r="H49" s="112">
        <v>466896</v>
      </c>
      <c r="I49" s="112">
        <v>537684</v>
      </c>
      <c r="J49" s="112">
        <v>506008</v>
      </c>
    </row>
    <row r="50" spans="1:10" ht="16.5" customHeight="1">
      <c r="B50" s="113" t="s">
        <v>134</v>
      </c>
      <c r="C50" s="112">
        <v>148610</v>
      </c>
      <c r="D50" s="112">
        <v>162735.01</v>
      </c>
      <c r="E50" s="112">
        <v>206529.12</v>
      </c>
      <c r="F50" s="112">
        <v>340149.56</v>
      </c>
      <c r="G50" s="112">
        <v>393094.87</v>
      </c>
      <c r="H50" s="112">
        <v>381505</v>
      </c>
      <c r="I50" s="112">
        <v>316905</v>
      </c>
      <c r="J50" s="112">
        <v>396708</v>
      </c>
    </row>
    <row r="51" spans="1:10">
      <c r="B51" s="113" t="s">
        <v>133</v>
      </c>
      <c r="C51" s="112">
        <v>32944242</v>
      </c>
      <c r="D51" s="112">
        <v>25813515.890000001</v>
      </c>
      <c r="E51" s="112">
        <v>25447028.68</v>
      </c>
      <c r="F51" s="112">
        <v>23930423.989999998</v>
      </c>
      <c r="G51" s="112">
        <v>27481990.550000001</v>
      </c>
      <c r="H51" s="112">
        <v>27344154</v>
      </c>
      <c r="I51" s="112">
        <v>23095849.280000001</v>
      </c>
      <c r="J51" s="112">
        <v>30088177</v>
      </c>
    </row>
    <row r="52" spans="1:10">
      <c r="A52" s="299" t="s">
        <v>132</v>
      </c>
      <c r="B52" s="299"/>
      <c r="C52" s="115">
        <f t="shared" ref="C52:J52" si="10">SUM(C32:C51)</f>
        <v>111613192</v>
      </c>
      <c r="D52" s="115">
        <f t="shared" si="10"/>
        <v>116414474.96999998</v>
      </c>
      <c r="E52" s="115">
        <f t="shared" si="10"/>
        <v>119824855.95000002</v>
      </c>
      <c r="F52" s="115">
        <f t="shared" si="10"/>
        <v>118539460.98999998</v>
      </c>
      <c r="G52" s="115">
        <f t="shared" si="10"/>
        <v>119416105.39</v>
      </c>
      <c r="H52" s="115">
        <f t="shared" si="10"/>
        <v>117613403</v>
      </c>
      <c r="I52" s="115">
        <f t="shared" ref="I52" si="11">SUM(I32:I51)</f>
        <v>121899504.76999998</v>
      </c>
      <c r="J52" s="115">
        <f t="shared" si="10"/>
        <v>127174307</v>
      </c>
    </row>
    <row r="53" spans="1:10">
      <c r="B53" s="119"/>
      <c r="F53" s="112"/>
      <c r="G53" s="112"/>
      <c r="H53" s="112"/>
      <c r="I53" s="112"/>
      <c r="J53" s="112"/>
    </row>
    <row r="54" spans="1:10" ht="30">
      <c r="A54" s="218" t="s">
        <v>131</v>
      </c>
      <c r="B54" s="118" t="s">
        <v>130</v>
      </c>
      <c r="C54" s="115">
        <v>13908430</v>
      </c>
      <c r="D54" s="115">
        <v>14053990.26</v>
      </c>
      <c r="E54" s="115">
        <v>12711728.189999999</v>
      </c>
      <c r="F54" s="115">
        <v>13671164.91</v>
      </c>
      <c r="G54" s="115">
        <v>13923765.529999999</v>
      </c>
      <c r="H54" s="115">
        <v>13908920</v>
      </c>
      <c r="I54" s="115">
        <v>14114665.6</v>
      </c>
      <c r="J54" s="115">
        <v>13517548</v>
      </c>
    </row>
    <row r="55" spans="1:10">
      <c r="F55" s="112"/>
      <c r="G55" s="112"/>
      <c r="H55" s="112"/>
      <c r="I55" s="112"/>
      <c r="J55" s="112"/>
    </row>
    <row r="56" spans="1:10" ht="30">
      <c r="A56" s="219" t="s">
        <v>129</v>
      </c>
      <c r="B56" s="118" t="s">
        <v>261</v>
      </c>
      <c r="C56" s="115">
        <v>3662199</v>
      </c>
      <c r="D56" s="115">
        <v>3384748.36</v>
      </c>
      <c r="E56" s="115">
        <v>2800349.96</v>
      </c>
      <c r="F56" s="115">
        <v>3123239.52</v>
      </c>
      <c r="G56" s="115">
        <v>3143475.74</v>
      </c>
      <c r="H56" s="115">
        <v>3036343</v>
      </c>
      <c r="I56" s="115">
        <v>3102343.58</v>
      </c>
      <c r="J56" s="115">
        <v>3019916</v>
      </c>
    </row>
    <row r="57" spans="1:10">
      <c r="F57" s="112"/>
      <c r="G57" s="112"/>
      <c r="H57" s="112"/>
      <c r="I57" s="112"/>
      <c r="J57" s="112"/>
    </row>
    <row r="58" spans="1:10">
      <c r="A58" s="114" t="s">
        <v>128</v>
      </c>
      <c r="B58" s="113" t="s">
        <v>127</v>
      </c>
      <c r="C58" s="112">
        <v>51870632</v>
      </c>
      <c r="D58" s="112">
        <v>37603354.659999996</v>
      </c>
      <c r="E58" s="112">
        <v>36314947.420000002</v>
      </c>
      <c r="F58" s="112">
        <v>21464270.649999999</v>
      </c>
      <c r="G58" s="112">
        <v>24068856.09</v>
      </c>
      <c r="H58" s="112">
        <v>25183984.759999998</v>
      </c>
      <c r="I58" s="112">
        <v>24010159.039999999</v>
      </c>
      <c r="J58" s="112">
        <v>22142181</v>
      </c>
    </row>
    <row r="59" spans="1:10">
      <c r="B59" s="113" t="s">
        <v>126</v>
      </c>
      <c r="C59" s="117">
        <v>5933917</v>
      </c>
      <c r="D59" s="117">
        <v>8235814.3799999999</v>
      </c>
      <c r="E59" s="117">
        <v>7854727.4900000002</v>
      </c>
      <c r="F59" s="117">
        <v>8969539.379999999</v>
      </c>
      <c r="G59" s="117">
        <v>10995773.41</v>
      </c>
      <c r="H59" s="117">
        <v>7743398.8499999996</v>
      </c>
      <c r="I59" s="117">
        <v>4497166.07</v>
      </c>
      <c r="J59" s="117">
        <v>6471900</v>
      </c>
    </row>
    <row r="60" spans="1:10">
      <c r="B60" s="113" t="s">
        <v>125</v>
      </c>
      <c r="C60" s="112">
        <v>1748321</v>
      </c>
      <c r="D60" s="112">
        <v>1611165.69</v>
      </c>
      <c r="E60" s="112">
        <v>1231259.69</v>
      </c>
      <c r="F60" s="112">
        <v>544683.72</v>
      </c>
      <c r="G60" s="112">
        <v>-53709.74</v>
      </c>
      <c r="H60" s="112"/>
      <c r="I60" s="112"/>
      <c r="J60" s="112"/>
    </row>
    <row r="61" spans="1:10" ht="18">
      <c r="B61" s="113" t="s">
        <v>124</v>
      </c>
      <c r="C61" s="112">
        <v>52203712</v>
      </c>
      <c r="D61" s="112">
        <v>38048399.530000001</v>
      </c>
      <c r="E61" s="112">
        <v>23741722.07</v>
      </c>
      <c r="F61" s="112">
        <v>20104220.399999999</v>
      </c>
      <c r="G61" s="112">
        <v>22112085.41</v>
      </c>
      <c r="H61" s="112">
        <v>18204478</v>
      </c>
      <c r="I61" s="112">
        <v>8998595</v>
      </c>
      <c r="J61" s="112">
        <v>26702585</v>
      </c>
    </row>
    <row r="62" spans="1:10">
      <c r="B62" s="113" t="s">
        <v>123</v>
      </c>
      <c r="C62" s="112">
        <v>935038</v>
      </c>
      <c r="D62" s="112">
        <v>1802447.45</v>
      </c>
      <c r="E62" s="112">
        <v>1810123.48</v>
      </c>
      <c r="F62" s="112">
        <v>1862081.77</v>
      </c>
      <c r="G62" s="112">
        <v>2058244.58</v>
      </c>
      <c r="H62" s="112">
        <v>1989826</v>
      </c>
      <c r="I62" s="112">
        <v>2318310.46</v>
      </c>
      <c r="J62" s="112">
        <v>1690830</v>
      </c>
    </row>
    <row r="63" spans="1:10" ht="16.5" customHeight="1">
      <c r="B63" s="113" t="s">
        <v>122</v>
      </c>
      <c r="C63" s="112">
        <v>4778134</v>
      </c>
      <c r="D63" s="112">
        <v>4833194.43</v>
      </c>
      <c r="E63" s="112">
        <v>5528549.8099999996</v>
      </c>
      <c r="F63" s="112">
        <v>4191459.14</v>
      </c>
      <c r="G63" s="112">
        <v>5148896.25</v>
      </c>
      <c r="H63" s="112">
        <v>4792260</v>
      </c>
      <c r="I63" s="112">
        <v>4538278</v>
      </c>
      <c r="J63" s="112">
        <v>4643486</v>
      </c>
    </row>
    <row r="64" spans="1:10">
      <c r="B64" s="113" t="s">
        <v>121</v>
      </c>
      <c r="C64" s="112">
        <v>-5658821</v>
      </c>
      <c r="D64" s="112">
        <v>-3141637.28</v>
      </c>
      <c r="F64" s="112"/>
      <c r="G64" s="112">
        <v>-1875149.14</v>
      </c>
      <c r="H64" s="112">
        <v>-774836</v>
      </c>
      <c r="I64" s="112">
        <v>-836214</v>
      </c>
      <c r="J64" s="112">
        <v>-944940</v>
      </c>
    </row>
    <row r="65" spans="1:14">
      <c r="A65" s="300" t="s">
        <v>120</v>
      </c>
      <c r="B65" s="300"/>
      <c r="C65" s="115">
        <f t="shared" ref="C65:J65" si="12">SUM(C58:C64)</f>
        <v>111810933</v>
      </c>
      <c r="D65" s="115">
        <f t="shared" si="12"/>
        <v>88992738.859999985</v>
      </c>
      <c r="E65" s="115">
        <f t="shared" si="12"/>
        <v>76481329.960000008</v>
      </c>
      <c r="F65" s="115">
        <f t="shared" si="12"/>
        <v>57136255.059999995</v>
      </c>
      <c r="G65" s="115">
        <f t="shared" si="12"/>
        <v>62454996.859999999</v>
      </c>
      <c r="H65" s="115">
        <f t="shared" si="12"/>
        <v>57139111.609999999</v>
      </c>
      <c r="I65" s="115">
        <f t="shared" ref="I65" si="13">SUM(I58:I64)</f>
        <v>43526294.57</v>
      </c>
      <c r="J65" s="115">
        <f t="shared" si="12"/>
        <v>60706042</v>
      </c>
    </row>
    <row r="66" spans="1:14">
      <c r="B66" s="114"/>
      <c r="C66" s="253"/>
      <c r="D66" s="253"/>
      <c r="E66" s="253"/>
      <c r="F66" s="253"/>
      <c r="G66" s="253"/>
      <c r="H66" s="253"/>
      <c r="I66" s="253"/>
      <c r="J66" s="253"/>
    </row>
    <row r="67" spans="1:14">
      <c r="A67" s="254" t="s">
        <v>440</v>
      </c>
      <c r="B67" s="254"/>
      <c r="C67" s="255"/>
      <c r="D67" s="255"/>
      <c r="E67" s="255"/>
      <c r="F67" s="255"/>
      <c r="G67" s="255"/>
      <c r="H67" s="255"/>
      <c r="I67" s="255"/>
      <c r="J67" s="255">
        <v>10367580</v>
      </c>
      <c r="K67"/>
      <c r="L67"/>
      <c r="M67"/>
      <c r="N67"/>
    </row>
    <row r="68" spans="1:14">
      <c r="A68" s="116" t="s">
        <v>432</v>
      </c>
      <c r="B68" s="116"/>
      <c r="C68" s="256"/>
      <c r="D68" s="256"/>
      <c r="E68" s="256"/>
      <c r="F68" s="256"/>
      <c r="G68" s="256"/>
      <c r="H68" s="256"/>
      <c r="I68" s="256"/>
      <c r="J68" s="256">
        <v>304457</v>
      </c>
      <c r="K68"/>
      <c r="L68"/>
      <c r="M68"/>
      <c r="N68"/>
    </row>
    <row r="69" spans="1:14">
      <c r="A69" s="116"/>
      <c r="B69" s="116"/>
      <c r="F69" s="112"/>
      <c r="G69" s="112"/>
      <c r="H69" s="112"/>
      <c r="I69" s="112"/>
      <c r="J69" s="112"/>
    </row>
    <row r="70" spans="1:14">
      <c r="A70" s="299" t="s">
        <v>119</v>
      </c>
      <c r="B70" s="299"/>
      <c r="C70" s="115">
        <f>C12+C30+C52+C54+C56+C65+C67+C68</f>
        <v>311214895</v>
      </c>
      <c r="D70" s="115">
        <f t="shared" ref="D70:J70" si="14">D12+D30+D52+D54+D56+D65+D67+D68</f>
        <v>306409771.88</v>
      </c>
      <c r="E70" s="115">
        <f t="shared" si="14"/>
        <v>291101892.47000003</v>
      </c>
      <c r="F70" s="115">
        <f t="shared" si="14"/>
        <v>269134109.65999997</v>
      </c>
      <c r="G70" s="115">
        <f t="shared" si="14"/>
        <v>279550549.25</v>
      </c>
      <c r="H70" s="115">
        <f t="shared" si="14"/>
        <v>274172173.63</v>
      </c>
      <c r="I70" s="115">
        <f t="shared" si="14"/>
        <v>259957536.01999998</v>
      </c>
      <c r="J70" s="115">
        <f t="shared" si="14"/>
        <v>289372127</v>
      </c>
    </row>
    <row r="72" spans="1:14">
      <c r="A72" s="114" t="s">
        <v>118</v>
      </c>
    </row>
    <row r="73" spans="1:14" ht="16.5" customHeight="1">
      <c r="A73" s="217" t="s">
        <v>117</v>
      </c>
      <c r="B73" s="217"/>
      <c r="C73" s="217"/>
      <c r="D73" s="217"/>
      <c r="E73" s="217"/>
      <c r="F73" s="217"/>
      <c r="G73" s="217"/>
      <c r="H73" s="217"/>
      <c r="I73" s="217"/>
      <c r="J73" s="217"/>
    </row>
    <row r="74" spans="1:14">
      <c r="A74" s="217" t="s">
        <v>441</v>
      </c>
      <c r="B74" s="217"/>
      <c r="C74" s="217"/>
      <c r="D74" s="217"/>
      <c r="E74" s="217"/>
      <c r="F74" s="217"/>
      <c r="G74" s="217"/>
      <c r="H74" s="217"/>
      <c r="I74" s="217"/>
      <c r="J74" s="217"/>
    </row>
    <row r="75" spans="1:14">
      <c r="A75" s="217" t="s">
        <v>442</v>
      </c>
      <c r="B75" s="217"/>
      <c r="C75" s="217"/>
      <c r="D75" s="217"/>
      <c r="E75" s="217"/>
      <c r="F75" s="217"/>
      <c r="G75" s="217"/>
      <c r="H75" s="217"/>
      <c r="I75" s="217"/>
      <c r="J75" s="217"/>
    </row>
    <row r="76" spans="1:14" ht="35.25" customHeight="1">
      <c r="A76" s="190"/>
      <c r="B76" s="190"/>
      <c r="C76" s="190"/>
      <c r="D76" s="190"/>
      <c r="E76" s="190"/>
      <c r="F76" s="190"/>
      <c r="G76" s="190"/>
    </row>
    <row r="77" spans="1:14">
      <c r="G77" s="111" t="s">
        <v>280</v>
      </c>
      <c r="H77" s="111" t="str">
        <f>subtitle</f>
        <v>Total: $289.4 million includes $30.7 million in obligations to capital projects</v>
      </c>
    </row>
    <row r="78" spans="1:14" ht="44.25">
      <c r="A78" s="114" t="s">
        <v>177</v>
      </c>
      <c r="B78" s="258" t="s">
        <v>279</v>
      </c>
    </row>
    <row r="80" spans="1:14">
      <c r="A80" s="257" t="s">
        <v>178</v>
      </c>
      <c r="B80" s="124" t="s">
        <v>183</v>
      </c>
      <c r="C80" s="112">
        <v>15144232</v>
      </c>
      <c r="D80" s="124"/>
      <c r="E80" s="176"/>
      <c r="F80" s="112"/>
    </row>
    <row r="81" spans="1:6">
      <c r="A81" s="257" t="s">
        <v>178</v>
      </c>
      <c r="B81" s="124" t="s">
        <v>184</v>
      </c>
      <c r="C81" s="112">
        <v>7262514</v>
      </c>
      <c r="D81" s="124"/>
      <c r="E81" s="176"/>
      <c r="F81" s="112"/>
    </row>
    <row r="82" spans="1:6">
      <c r="A82" s="257" t="s">
        <v>178</v>
      </c>
      <c r="B82" s="124" t="s">
        <v>185</v>
      </c>
      <c r="C82" s="112">
        <v>2636188</v>
      </c>
      <c r="D82" s="124"/>
      <c r="E82" s="176"/>
      <c r="F82" s="112"/>
    </row>
    <row r="83" spans="1:6">
      <c r="A83" s="257" t="s">
        <v>178</v>
      </c>
      <c r="B83" s="124" t="s">
        <v>186</v>
      </c>
      <c r="C83" s="112">
        <v>1665717</v>
      </c>
      <c r="D83" s="124"/>
      <c r="E83" s="176"/>
      <c r="F83" s="112"/>
    </row>
    <row r="84" spans="1:6">
      <c r="A84" s="257" t="s">
        <v>178</v>
      </c>
      <c r="B84" s="124" t="s">
        <v>262</v>
      </c>
      <c r="C84" s="112">
        <v>915292</v>
      </c>
      <c r="D84" s="124"/>
      <c r="E84" s="176"/>
      <c r="F84" s="112"/>
    </row>
    <row r="85" spans="1:6">
      <c r="A85" s="257" t="s">
        <v>178</v>
      </c>
      <c r="B85" s="124" t="s">
        <v>443</v>
      </c>
      <c r="C85" s="112">
        <v>736525</v>
      </c>
      <c r="D85" s="124"/>
      <c r="E85" s="176"/>
      <c r="F85" s="112"/>
    </row>
    <row r="86" spans="1:6">
      <c r="A86" s="257" t="s">
        <v>178</v>
      </c>
      <c r="B86" s="124" t="s">
        <v>187</v>
      </c>
      <c r="C86" s="112">
        <v>371734</v>
      </c>
      <c r="D86" s="124"/>
      <c r="E86" s="176"/>
      <c r="F86" s="112"/>
    </row>
    <row r="87" spans="1:6">
      <c r="A87" s="257" t="s">
        <v>179</v>
      </c>
      <c r="B87" s="124" t="s">
        <v>188</v>
      </c>
      <c r="C87" s="112">
        <v>15400007</v>
      </c>
      <c r="D87" s="124"/>
      <c r="E87" s="176"/>
      <c r="F87" s="112"/>
    </row>
    <row r="88" spans="1:6">
      <c r="A88" s="257" t="s">
        <v>179</v>
      </c>
      <c r="B88" s="124" t="s">
        <v>189</v>
      </c>
      <c r="C88" s="112">
        <v>11779934</v>
      </c>
      <c r="D88" s="124"/>
      <c r="F88" s="112"/>
    </row>
    <row r="89" spans="1:6">
      <c r="A89" s="257" t="s">
        <v>179</v>
      </c>
      <c r="B89" s="124" t="s">
        <v>190</v>
      </c>
      <c r="C89" s="112">
        <v>11026037</v>
      </c>
      <c r="D89" s="124"/>
    </row>
    <row r="90" spans="1:6">
      <c r="A90" s="257" t="s">
        <v>179</v>
      </c>
      <c r="B90" s="124" t="s">
        <v>192</v>
      </c>
      <c r="C90" s="112">
        <v>4107184</v>
      </c>
    </row>
    <row r="91" spans="1:6">
      <c r="A91" s="257" t="s">
        <v>179</v>
      </c>
      <c r="B91" s="124" t="s">
        <v>191</v>
      </c>
      <c r="C91" s="112">
        <v>3185901</v>
      </c>
    </row>
    <row r="92" spans="1:6">
      <c r="A92" s="257" t="s">
        <v>180</v>
      </c>
      <c r="B92" s="124" t="s">
        <v>193</v>
      </c>
      <c r="C92" s="112">
        <v>30088177</v>
      </c>
      <c r="D92" s="176"/>
    </row>
    <row r="93" spans="1:6">
      <c r="A93" s="257" t="s">
        <v>180</v>
      </c>
      <c r="B93" s="124" t="s">
        <v>195</v>
      </c>
      <c r="C93" s="112">
        <v>16731875</v>
      </c>
      <c r="D93" s="176"/>
    </row>
    <row r="94" spans="1:6">
      <c r="A94" s="257" t="s">
        <v>180</v>
      </c>
      <c r="B94" s="124" t="s">
        <v>196</v>
      </c>
      <c r="C94" s="112">
        <v>16674160</v>
      </c>
      <c r="D94" s="176"/>
    </row>
    <row r="95" spans="1:6">
      <c r="A95" s="257" t="s">
        <v>180</v>
      </c>
      <c r="B95" s="124" t="s">
        <v>197</v>
      </c>
      <c r="C95" s="112">
        <v>13963980</v>
      </c>
      <c r="D95" s="176"/>
    </row>
    <row r="96" spans="1:6">
      <c r="A96" s="257" t="s">
        <v>180</v>
      </c>
      <c r="B96" s="124" t="s">
        <v>194</v>
      </c>
      <c r="C96" s="112">
        <v>12755152</v>
      </c>
      <c r="D96" s="176"/>
    </row>
    <row r="97" spans="1:4">
      <c r="A97" s="257" t="s">
        <v>180</v>
      </c>
      <c r="B97" s="124" t="s">
        <v>198</v>
      </c>
      <c r="C97" s="112">
        <v>8413360</v>
      </c>
      <c r="D97" s="176"/>
    </row>
    <row r="98" spans="1:4">
      <c r="A98" s="257" t="s">
        <v>180</v>
      </c>
      <c r="B98" s="124" t="s">
        <v>199</v>
      </c>
      <c r="C98" s="112">
        <v>8173784</v>
      </c>
      <c r="D98" s="176"/>
    </row>
    <row r="99" spans="1:4">
      <c r="A99" s="257" t="s">
        <v>180</v>
      </c>
      <c r="B99" s="124" t="s">
        <v>201</v>
      </c>
      <c r="C99" s="112">
        <v>5267198</v>
      </c>
      <c r="D99" s="176"/>
    </row>
    <row r="100" spans="1:4">
      <c r="A100" s="257" t="s">
        <v>180</v>
      </c>
      <c r="B100" s="124" t="s">
        <v>202</v>
      </c>
      <c r="C100" s="112">
        <v>4568749</v>
      </c>
      <c r="D100" s="176"/>
    </row>
    <row r="101" spans="1:4">
      <c r="A101" s="257" t="s">
        <v>180</v>
      </c>
      <c r="B101" s="124" t="s">
        <v>200</v>
      </c>
      <c r="C101" s="112">
        <v>3607056</v>
      </c>
      <c r="D101" s="176"/>
    </row>
    <row r="102" spans="1:4">
      <c r="A102" s="257" t="s">
        <v>180</v>
      </c>
      <c r="B102" s="124" t="s">
        <v>203</v>
      </c>
      <c r="C102" s="112">
        <v>2726337</v>
      </c>
      <c r="D102" s="176"/>
    </row>
    <row r="103" spans="1:4">
      <c r="A103" s="257" t="s">
        <v>180</v>
      </c>
      <c r="B103" s="124" t="s">
        <v>254</v>
      </c>
      <c r="C103" s="112">
        <v>1028574</v>
      </c>
      <c r="D103" s="176"/>
    </row>
    <row r="104" spans="1:4">
      <c r="A104" s="257" t="s">
        <v>180</v>
      </c>
      <c r="B104" s="124" t="s">
        <v>255</v>
      </c>
      <c r="C104" s="112">
        <v>828953</v>
      </c>
      <c r="D104" s="176"/>
    </row>
    <row r="105" spans="1:4" ht="18" customHeight="1">
      <c r="A105" s="257" t="s">
        <v>180</v>
      </c>
      <c r="B105" s="124" t="s">
        <v>204</v>
      </c>
      <c r="C105" s="112">
        <v>2346952</v>
      </c>
      <c r="D105" s="176"/>
    </row>
    <row r="106" spans="1:4">
      <c r="A106" s="257" t="s">
        <v>181</v>
      </c>
      <c r="B106" s="124" t="s">
        <v>205</v>
      </c>
      <c r="C106" s="112">
        <v>13517548</v>
      </c>
      <c r="D106" s="176"/>
    </row>
    <row r="107" spans="1:4">
      <c r="A107" s="257" t="s">
        <v>182</v>
      </c>
      <c r="B107" s="124" t="s">
        <v>182</v>
      </c>
      <c r="C107" s="112">
        <v>3019916</v>
      </c>
      <c r="D107" s="176"/>
    </row>
    <row r="108" spans="1:4">
      <c r="A108" s="257" t="s">
        <v>53</v>
      </c>
      <c r="B108" s="124" t="s">
        <v>207</v>
      </c>
      <c r="C108" s="112">
        <v>26702585</v>
      </c>
      <c r="D108" s="176"/>
    </row>
    <row r="109" spans="1:4">
      <c r="A109" s="257" t="s">
        <v>53</v>
      </c>
      <c r="B109" s="124" t="s">
        <v>206</v>
      </c>
      <c r="C109" s="112">
        <v>22142181</v>
      </c>
      <c r="D109" s="176"/>
    </row>
    <row r="110" spans="1:4">
      <c r="A110" s="257" t="s">
        <v>53</v>
      </c>
      <c r="B110" s="124" t="s">
        <v>208</v>
      </c>
      <c r="C110" s="112">
        <v>6471900</v>
      </c>
      <c r="D110" s="176"/>
    </row>
    <row r="111" spans="1:4">
      <c r="A111" s="257" t="s">
        <v>53</v>
      </c>
      <c r="B111" s="124" t="s">
        <v>209</v>
      </c>
      <c r="C111" s="117">
        <v>4643486</v>
      </c>
      <c r="D111" s="176"/>
    </row>
    <row r="112" spans="1:4">
      <c r="A112" s="257" t="s">
        <v>53</v>
      </c>
      <c r="B112" s="124" t="s">
        <v>263</v>
      </c>
      <c r="C112" s="112">
        <v>1690830</v>
      </c>
    </row>
    <row r="113" spans="2:3">
      <c r="B113" s="124"/>
    </row>
    <row r="114" spans="2:3">
      <c r="B114" s="124"/>
    </row>
    <row r="125" spans="2:3">
      <c r="B125" s="111"/>
      <c r="C125" s="111"/>
    </row>
    <row r="126" spans="2:3">
      <c r="B126" s="111"/>
      <c r="C126" s="111"/>
    </row>
    <row r="127" spans="2:3">
      <c r="B127" s="111"/>
      <c r="C127" s="111"/>
    </row>
    <row r="128" spans="2:3">
      <c r="B128" s="111"/>
      <c r="C128" s="111"/>
    </row>
  </sheetData>
  <mergeCells count="6">
    <mergeCell ref="A1:J1"/>
    <mergeCell ref="A12:B12"/>
    <mergeCell ref="A30:B30"/>
    <mergeCell ref="A52:B52"/>
    <mergeCell ref="A70:B70"/>
    <mergeCell ref="A65:B65"/>
  </mergeCells>
  <pageMargins left="0.25" right="0.25" top="0.75" bottom="0.75" header="0.3" footer="0.3"/>
  <pageSetup scale="85"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78"/>
  <sheetViews>
    <sheetView topLeftCell="A34" zoomScale="85" zoomScaleNormal="85" workbookViewId="0">
      <selection activeCell="A58" sqref="A58"/>
    </sheetView>
  </sheetViews>
  <sheetFormatPr defaultRowHeight="12.75"/>
  <cols>
    <col min="1" max="1" width="58" customWidth="1"/>
    <col min="2" max="9" width="15.5703125" customWidth="1"/>
  </cols>
  <sheetData>
    <row r="1" spans="1:9" ht="18">
      <c r="A1" s="129" t="str">
        <f>"Table/Figure 11: Direct Program Costs of Land Purchases for Fish and Wildlife Habitat, FY"&amp;B3&amp;"-"&amp;I3</f>
        <v>Table/Figure 11: Direct Program Costs of Land Purchases for Fish and Wildlife Habitat, FY2011-2018</v>
      </c>
    </row>
    <row r="3" spans="1:9" ht="14.25">
      <c r="A3" s="125" t="s">
        <v>54</v>
      </c>
      <c r="B3" s="126">
        <v>2011</v>
      </c>
      <c r="C3" s="126">
        <v>2012</v>
      </c>
      <c r="D3" s="126">
        <v>2013</v>
      </c>
      <c r="E3" s="126">
        <v>2014</v>
      </c>
      <c r="F3" s="126">
        <v>2015</v>
      </c>
      <c r="G3" s="126">
        <v>2016</v>
      </c>
      <c r="H3" s="126">
        <v>2017</v>
      </c>
      <c r="I3" s="126">
        <v>2018</v>
      </c>
    </row>
    <row r="4" spans="1:9" ht="16.5" customHeight="1">
      <c r="A4" s="127" t="s">
        <v>210</v>
      </c>
      <c r="B4" s="105">
        <v>9750112</v>
      </c>
      <c r="C4" s="105">
        <v>1349403</v>
      </c>
      <c r="D4" s="105">
        <v>642763</v>
      </c>
      <c r="E4" s="105">
        <v>1610425</v>
      </c>
      <c r="F4" s="105">
        <v>154274</v>
      </c>
      <c r="G4" s="105"/>
      <c r="H4" s="105"/>
      <c r="I4" s="105">
        <v>10733065</v>
      </c>
    </row>
    <row r="5" spans="1:9" ht="16.5">
      <c r="A5" s="127" t="s">
        <v>60</v>
      </c>
      <c r="B5" s="105">
        <v>1750665</v>
      </c>
      <c r="C5" s="105">
        <v>5384783</v>
      </c>
      <c r="D5" s="105"/>
      <c r="E5" s="105">
        <v>14000000</v>
      </c>
      <c r="F5" s="105"/>
      <c r="G5" s="105">
        <v>1877580.5</v>
      </c>
      <c r="H5" s="105"/>
      <c r="I5" s="105">
        <v>7369712</v>
      </c>
    </row>
    <row r="6" spans="1:9" ht="16.5">
      <c r="A6" s="127" t="s">
        <v>211</v>
      </c>
      <c r="B6" s="105">
        <v>9716071</v>
      </c>
      <c r="C6" s="105"/>
      <c r="D6" s="105">
        <v>4595329</v>
      </c>
      <c r="E6" s="105"/>
      <c r="F6" s="105">
        <v>1082452</v>
      </c>
      <c r="G6" s="105">
        <v>10868814</v>
      </c>
      <c r="H6" s="105">
        <v>5038680</v>
      </c>
      <c r="I6" s="105">
        <v>6978254</v>
      </c>
    </row>
    <row r="7" spans="1:9" ht="16.5">
      <c r="A7" s="127" t="s">
        <v>70</v>
      </c>
      <c r="B7" s="105">
        <v>4068146</v>
      </c>
      <c r="C7" s="105">
        <v>6370225.5</v>
      </c>
      <c r="D7" s="105">
        <v>1596594</v>
      </c>
      <c r="E7" s="105">
        <v>2196196.7799999998</v>
      </c>
      <c r="F7" s="105">
        <v>490964.5</v>
      </c>
      <c r="G7" s="105">
        <v>1815933.75</v>
      </c>
      <c r="H7" s="105">
        <v>476466</v>
      </c>
      <c r="I7" s="105">
        <v>524163</v>
      </c>
    </row>
    <row r="8" spans="1:9" ht="16.5">
      <c r="A8" s="127" t="s">
        <v>73</v>
      </c>
      <c r="B8" s="105"/>
      <c r="C8" s="105">
        <v>15381.84</v>
      </c>
      <c r="D8" s="105"/>
      <c r="E8" s="105"/>
      <c r="F8" s="105">
        <v>771010</v>
      </c>
      <c r="G8" s="105">
        <v>1783866</v>
      </c>
      <c r="H8" s="105"/>
      <c r="I8" s="105">
        <v>491757</v>
      </c>
    </row>
    <row r="9" spans="1:9" ht="16.5">
      <c r="A9" s="127" t="s">
        <v>76</v>
      </c>
      <c r="B9" s="105">
        <v>3344161</v>
      </c>
      <c r="C9" s="105">
        <v>4437146.2</v>
      </c>
      <c r="D9" s="105">
        <v>333123.40000000002</v>
      </c>
      <c r="E9" s="105"/>
      <c r="F9" s="105"/>
      <c r="G9" s="105">
        <v>260540</v>
      </c>
      <c r="H9" s="105">
        <v>866530</v>
      </c>
      <c r="I9" s="105">
        <v>225545</v>
      </c>
    </row>
    <row r="10" spans="1:9" ht="16.5">
      <c r="A10" s="127" t="s">
        <v>436</v>
      </c>
      <c r="B10" s="105"/>
      <c r="C10" s="105">
        <v>928718</v>
      </c>
      <c r="D10" s="105">
        <v>348570</v>
      </c>
      <c r="E10" s="105"/>
      <c r="F10" s="105"/>
      <c r="G10" s="105">
        <v>85217</v>
      </c>
      <c r="H10" s="105">
        <v>72676</v>
      </c>
      <c r="I10" s="105">
        <v>203432</v>
      </c>
    </row>
    <row r="11" spans="1:9" ht="16.5">
      <c r="A11" s="127" t="s">
        <v>56</v>
      </c>
      <c r="B11" s="105"/>
      <c r="C11" s="105">
        <v>5306043</v>
      </c>
      <c r="D11" s="105">
        <v>1711234.64</v>
      </c>
      <c r="E11" s="105">
        <v>693095.5</v>
      </c>
      <c r="F11" s="105">
        <v>2051603.16</v>
      </c>
      <c r="G11" s="105">
        <v>40307.800000000003</v>
      </c>
      <c r="H11" s="105">
        <v>99543</v>
      </c>
      <c r="I11" s="105">
        <v>170178</v>
      </c>
    </row>
    <row r="12" spans="1:9" ht="16.5">
      <c r="A12" s="127" t="s">
        <v>67</v>
      </c>
      <c r="B12" s="105">
        <v>5788</v>
      </c>
      <c r="C12" s="105">
        <v>820.08</v>
      </c>
      <c r="D12" s="105">
        <v>5000</v>
      </c>
      <c r="E12" s="105">
        <v>5000</v>
      </c>
      <c r="F12" s="105">
        <v>5729</v>
      </c>
      <c r="G12" s="105">
        <v>5899.13</v>
      </c>
      <c r="H12" s="105">
        <v>5980</v>
      </c>
      <c r="I12" s="105">
        <v>5980</v>
      </c>
    </row>
    <row r="13" spans="1:9" ht="16.5">
      <c r="A13" s="127" t="s">
        <v>63</v>
      </c>
      <c r="B13" s="105"/>
      <c r="C13" s="105">
        <v>946738.51</v>
      </c>
      <c r="D13" s="105"/>
      <c r="E13" s="105"/>
      <c r="F13" s="105"/>
      <c r="G13" s="105"/>
      <c r="H13" s="105">
        <v>500</v>
      </c>
      <c r="I13" s="105">
        <v>500</v>
      </c>
    </row>
    <row r="14" spans="1:9" ht="16.5">
      <c r="A14" s="127" t="s">
        <v>252</v>
      </c>
      <c r="B14" s="105"/>
      <c r="C14" s="105"/>
      <c r="D14" s="105"/>
      <c r="E14" s="105"/>
      <c r="F14" s="105">
        <v>562383</v>
      </c>
      <c r="G14" s="105"/>
      <c r="H14" s="105"/>
      <c r="I14" s="105"/>
    </row>
    <row r="15" spans="1:9" ht="16.5">
      <c r="A15" s="127" t="s">
        <v>55</v>
      </c>
      <c r="B15" s="105"/>
      <c r="C15" s="105">
        <v>1075000</v>
      </c>
      <c r="D15" s="105"/>
      <c r="E15" s="105"/>
      <c r="F15" s="105"/>
      <c r="G15" s="105"/>
      <c r="H15" s="105"/>
      <c r="I15" s="105"/>
    </row>
    <row r="16" spans="1:9" ht="16.5">
      <c r="A16" s="127" t="s">
        <v>79</v>
      </c>
      <c r="B16" s="105"/>
      <c r="C16" s="105"/>
      <c r="D16" s="105">
        <v>1212330</v>
      </c>
      <c r="E16" s="105"/>
      <c r="F16" s="105"/>
      <c r="G16" s="105"/>
      <c r="H16" s="105"/>
      <c r="I16" s="105"/>
    </row>
    <row r="17" spans="1:9" ht="16.5">
      <c r="A17" s="127" t="s">
        <v>435</v>
      </c>
      <c r="B17" s="105"/>
      <c r="C17" s="105"/>
      <c r="D17" s="105"/>
      <c r="E17" s="105"/>
      <c r="F17" s="105"/>
      <c r="G17" s="105"/>
      <c r="H17" s="105"/>
      <c r="I17" s="105"/>
    </row>
    <row r="18" spans="1:9" ht="16.5">
      <c r="A18" s="127" t="s">
        <v>57</v>
      </c>
      <c r="B18" s="105">
        <v>720811</v>
      </c>
      <c r="C18" s="105">
        <v>1743906.48</v>
      </c>
      <c r="D18" s="105">
        <v>1611629.5</v>
      </c>
      <c r="E18" s="105">
        <v>283048.12</v>
      </c>
      <c r="F18" s="105"/>
      <c r="G18" s="105"/>
      <c r="H18" s="105"/>
      <c r="I18" s="105"/>
    </row>
    <row r="19" spans="1:9" ht="16.5">
      <c r="A19" s="127" t="s">
        <v>58</v>
      </c>
      <c r="B19" s="105"/>
      <c r="C19" s="105">
        <v>54304.5</v>
      </c>
      <c r="D19" s="105">
        <v>3596391</v>
      </c>
      <c r="E19" s="105">
        <v>12500</v>
      </c>
      <c r="F19" s="105">
        <v>1741196.75</v>
      </c>
      <c r="G19" s="105"/>
      <c r="H19" s="105"/>
      <c r="I19" s="105"/>
    </row>
    <row r="20" spans="1:9" ht="16.5">
      <c r="A20" s="127" t="s">
        <v>251</v>
      </c>
      <c r="B20" s="105"/>
      <c r="C20" s="105"/>
      <c r="D20" s="105"/>
      <c r="E20" s="105"/>
      <c r="F20" s="105">
        <v>3632833</v>
      </c>
      <c r="G20" s="105"/>
      <c r="H20" s="105"/>
      <c r="I20" s="105"/>
    </row>
    <row r="21" spans="1:9" ht="16.5">
      <c r="A21" s="127" t="s">
        <v>78</v>
      </c>
      <c r="B21" s="105"/>
      <c r="C21" s="105"/>
      <c r="D21" s="105">
        <v>520081</v>
      </c>
      <c r="E21" s="105"/>
      <c r="F21" s="105"/>
      <c r="G21" s="105"/>
      <c r="H21" s="105"/>
      <c r="I21" s="105"/>
    </row>
    <row r="22" spans="1:9" ht="16.5">
      <c r="A22" s="127" t="s">
        <v>250</v>
      </c>
      <c r="B22" s="105"/>
      <c r="C22" s="105"/>
      <c r="D22" s="105"/>
      <c r="E22" s="105"/>
      <c r="F22" s="105">
        <v>423162</v>
      </c>
      <c r="G22" s="105"/>
      <c r="H22" s="105"/>
      <c r="I22" s="105"/>
    </row>
    <row r="23" spans="1:9" ht="16.5">
      <c r="A23" s="127" t="s">
        <v>59</v>
      </c>
      <c r="B23" s="105"/>
      <c r="C23" s="105">
        <v>772500</v>
      </c>
      <c r="D23" s="105">
        <v>1500000</v>
      </c>
      <c r="E23" s="105">
        <v>244082</v>
      </c>
      <c r="F23" s="105">
        <v>947500</v>
      </c>
      <c r="G23" s="105"/>
      <c r="H23" s="105"/>
      <c r="I23" s="105"/>
    </row>
    <row r="24" spans="1:9" ht="16.5">
      <c r="A24" s="127" t="s">
        <v>61</v>
      </c>
      <c r="B24" s="105"/>
      <c r="C24" s="105"/>
      <c r="D24" s="105"/>
      <c r="E24" s="105"/>
      <c r="F24" s="105">
        <v>7980000</v>
      </c>
      <c r="G24" s="105">
        <v>680000</v>
      </c>
      <c r="H24" s="105">
        <v>2438220</v>
      </c>
      <c r="I24" s="105"/>
    </row>
    <row r="25" spans="1:9" ht="16.5">
      <c r="A25" s="127" t="s">
        <v>62</v>
      </c>
      <c r="B25" s="105"/>
      <c r="C25" s="105"/>
      <c r="D25" s="105"/>
      <c r="E25" s="105"/>
      <c r="F25" s="105"/>
      <c r="G25" s="105"/>
      <c r="H25" s="105"/>
      <c r="I25" s="105"/>
    </row>
    <row r="26" spans="1:9" ht="16.5">
      <c r="A26" s="127" t="s">
        <v>437</v>
      </c>
      <c r="B26" s="105"/>
      <c r="C26" s="105">
        <v>420929</v>
      </c>
      <c r="D26" s="105"/>
      <c r="E26" s="105"/>
      <c r="F26" s="105"/>
      <c r="G26" s="105"/>
      <c r="H26" s="105"/>
      <c r="I26" s="105"/>
    </row>
    <row r="27" spans="1:9" ht="16.5">
      <c r="A27" s="127" t="s">
        <v>80</v>
      </c>
      <c r="B27" s="105"/>
      <c r="C27" s="105">
        <v>52986</v>
      </c>
      <c r="D27" s="105"/>
      <c r="E27" s="105">
        <v>318372</v>
      </c>
      <c r="F27" s="105"/>
      <c r="G27" s="105"/>
      <c r="H27" s="105"/>
      <c r="I27" s="105"/>
    </row>
    <row r="28" spans="1:9" ht="16.5">
      <c r="A28" s="127" t="s">
        <v>64</v>
      </c>
      <c r="B28" s="105"/>
      <c r="C28" s="105"/>
      <c r="D28" s="105"/>
      <c r="E28" s="105"/>
      <c r="F28" s="105"/>
      <c r="G28" s="105"/>
      <c r="H28" s="105"/>
      <c r="I28" s="105"/>
    </row>
    <row r="29" spans="1:9" ht="16.5">
      <c r="A29" s="127" t="s">
        <v>65</v>
      </c>
      <c r="B29" s="105"/>
      <c r="C29" s="105"/>
      <c r="D29" s="105"/>
      <c r="E29" s="105"/>
      <c r="F29" s="105"/>
      <c r="G29" s="105"/>
      <c r="H29" s="105"/>
      <c r="I29" s="105"/>
    </row>
    <row r="30" spans="1:9" ht="16.5">
      <c r="A30" s="127" t="s">
        <v>66</v>
      </c>
      <c r="B30" s="105">
        <v>20851010</v>
      </c>
      <c r="C30" s="105"/>
      <c r="D30" s="105">
        <v>3412000</v>
      </c>
      <c r="E30" s="105"/>
      <c r="F30" s="105">
        <v>2268978</v>
      </c>
      <c r="G30" s="105"/>
      <c r="H30" s="105"/>
      <c r="I30" s="105"/>
    </row>
    <row r="31" spans="1:9" ht="16.5">
      <c r="A31" s="127" t="s">
        <v>68</v>
      </c>
      <c r="B31" s="105"/>
      <c r="C31" s="105"/>
      <c r="D31" s="105">
        <v>600000</v>
      </c>
      <c r="E31" s="105"/>
      <c r="F31" s="105"/>
      <c r="G31" s="105"/>
      <c r="H31" s="105"/>
      <c r="I31" s="105"/>
    </row>
    <row r="32" spans="1:9" ht="33">
      <c r="A32" s="127" t="s">
        <v>69</v>
      </c>
      <c r="B32" s="105"/>
      <c r="C32" s="105"/>
      <c r="D32" s="105"/>
      <c r="E32" s="105"/>
      <c r="F32" s="105"/>
      <c r="G32" s="105"/>
      <c r="H32" s="105"/>
      <c r="I32" s="105"/>
    </row>
    <row r="33" spans="1:12" ht="16.5">
      <c r="A33" s="127" t="s">
        <v>71</v>
      </c>
      <c r="B33" s="105">
        <v>1996948</v>
      </c>
      <c r="C33" s="105">
        <v>3666163</v>
      </c>
      <c r="D33" s="105"/>
      <c r="E33" s="105"/>
      <c r="F33" s="105"/>
      <c r="G33" s="105">
        <v>786320</v>
      </c>
      <c r="H33" s="105"/>
      <c r="I33" s="105"/>
    </row>
    <row r="34" spans="1:12" ht="16.5">
      <c r="A34" s="127" t="s">
        <v>72</v>
      </c>
      <c r="B34" s="105"/>
      <c r="C34" s="105">
        <v>3156008</v>
      </c>
      <c r="D34" s="105"/>
      <c r="E34" s="105"/>
      <c r="F34" s="105"/>
      <c r="G34" s="105"/>
      <c r="H34" s="105"/>
      <c r="I34" s="105"/>
    </row>
    <row r="35" spans="1:12" ht="16.5">
      <c r="A35" s="127" t="s">
        <v>74</v>
      </c>
      <c r="B35" s="105"/>
      <c r="C35" s="105"/>
      <c r="D35" s="105"/>
      <c r="E35" s="105"/>
      <c r="F35" s="105"/>
      <c r="G35" s="105"/>
      <c r="H35" s="105"/>
      <c r="I35" s="105"/>
    </row>
    <row r="36" spans="1:12" ht="16.5">
      <c r="A36" s="127" t="s">
        <v>212</v>
      </c>
      <c r="B36" s="105"/>
      <c r="C36" s="105">
        <v>2365285.0499999998</v>
      </c>
      <c r="D36" s="105">
        <v>572468.53</v>
      </c>
      <c r="E36" s="105"/>
      <c r="F36" s="105"/>
      <c r="G36" s="105"/>
      <c r="H36" s="105"/>
      <c r="I36" s="105"/>
    </row>
    <row r="37" spans="1:12" ht="16.5">
      <c r="A37" s="127" t="s">
        <v>75</v>
      </c>
      <c r="B37" s="105"/>
      <c r="C37" s="105"/>
      <c r="D37" s="105">
        <v>500509</v>
      </c>
      <c r="E37" s="105">
        <v>741501</v>
      </c>
      <c r="F37" s="105"/>
      <c r="G37" s="105"/>
      <c r="H37" s="105"/>
      <c r="I37" s="105"/>
    </row>
    <row r="38" spans="1:12" ht="16.5">
      <c r="A38" s="127" t="s">
        <v>77</v>
      </c>
      <c r="B38" s="105"/>
      <c r="C38" s="105"/>
      <c r="D38" s="105">
        <v>983699</v>
      </c>
      <c r="E38" s="105"/>
      <c r="F38" s="105"/>
      <c r="G38" s="105"/>
      <c r="H38" s="105"/>
      <c r="I38" s="105"/>
    </row>
    <row r="39" spans="1:12" ht="14.25" customHeight="1">
      <c r="A39" s="128" t="s">
        <v>106</v>
      </c>
      <c r="B39" s="74">
        <f t="shared" ref="B39:I39" si="0">SUM(B4:B38)</f>
        <v>52203712</v>
      </c>
      <c r="C39" s="74">
        <f t="shared" si="0"/>
        <v>38046341.159999996</v>
      </c>
      <c r="D39" s="74">
        <f t="shared" si="0"/>
        <v>23741722.07</v>
      </c>
      <c r="E39" s="74">
        <f t="shared" si="0"/>
        <v>20104220.400000002</v>
      </c>
      <c r="F39" s="74">
        <f t="shared" si="0"/>
        <v>22112085.41</v>
      </c>
      <c r="G39" s="74">
        <f t="shared" si="0"/>
        <v>18204478.18</v>
      </c>
      <c r="H39" s="74">
        <f t="shared" si="0"/>
        <v>8998595</v>
      </c>
      <c r="I39" s="74">
        <f t="shared" si="0"/>
        <v>26702586</v>
      </c>
    </row>
    <row r="41" spans="1:12" ht="14.25">
      <c r="A41" s="130" t="s">
        <v>214</v>
      </c>
    </row>
    <row r="42" spans="1:12" ht="16.5">
      <c r="A42" s="221" t="s">
        <v>213</v>
      </c>
      <c r="B42" s="221"/>
      <c r="C42" s="221"/>
      <c r="D42" s="221"/>
      <c r="E42" s="221"/>
      <c r="F42" s="221"/>
      <c r="G42" s="221"/>
      <c r="H42" s="221"/>
      <c r="I42" s="221"/>
      <c r="J42" s="221"/>
      <c r="K42" s="221"/>
      <c r="L42" s="221"/>
    </row>
    <row r="43" spans="1:12" ht="16.5">
      <c r="A43" s="221" t="s">
        <v>281</v>
      </c>
      <c r="B43" s="221"/>
      <c r="C43" s="221"/>
      <c r="D43" s="221"/>
      <c r="E43" s="221"/>
      <c r="F43" s="221"/>
      <c r="G43" s="221"/>
      <c r="H43" s="221"/>
      <c r="I43" s="221"/>
      <c r="J43" s="221"/>
      <c r="K43" s="221"/>
      <c r="L43" s="221"/>
    </row>
    <row r="44" spans="1:12" ht="16.5">
      <c r="A44" s="301" t="s">
        <v>438</v>
      </c>
      <c r="B44" s="301"/>
      <c r="C44" s="301"/>
      <c r="D44" s="301"/>
      <c r="E44" s="301"/>
      <c r="F44" s="301"/>
      <c r="G44" s="301"/>
      <c r="H44" s="301"/>
      <c r="I44" s="301"/>
      <c r="J44" s="301"/>
      <c r="K44" s="301"/>
      <c r="L44" s="220"/>
    </row>
    <row r="47" spans="1:12" ht="14.25">
      <c r="A47" s="130" t="s">
        <v>215</v>
      </c>
    </row>
    <row r="48" spans="1:12" ht="16.5">
      <c r="A48" s="127" t="s">
        <v>210</v>
      </c>
      <c r="B48" s="105">
        <v>10733065</v>
      </c>
    </row>
    <row r="49" spans="1:2" ht="16.5">
      <c r="A49" s="127" t="s">
        <v>60</v>
      </c>
      <c r="B49" s="105">
        <v>7369712</v>
      </c>
    </row>
    <row r="50" spans="1:2" ht="16.5">
      <c r="A50" s="127" t="s">
        <v>211</v>
      </c>
      <c r="B50" s="105">
        <v>6978254</v>
      </c>
    </row>
    <row r="51" spans="1:2" ht="16.5">
      <c r="A51" s="127" t="s">
        <v>70</v>
      </c>
      <c r="B51" s="105">
        <v>524163</v>
      </c>
    </row>
    <row r="52" spans="1:2" ht="16.5">
      <c r="A52" s="127" t="s">
        <v>73</v>
      </c>
      <c r="B52" s="105">
        <v>491757</v>
      </c>
    </row>
    <row r="53" spans="1:2" ht="16.5">
      <c r="A53" s="127" t="s">
        <v>76</v>
      </c>
      <c r="B53" s="105">
        <v>225545</v>
      </c>
    </row>
    <row r="54" spans="1:2" ht="16.5">
      <c r="A54" s="127" t="s">
        <v>436</v>
      </c>
      <c r="B54" s="105">
        <v>203432</v>
      </c>
    </row>
    <row r="55" spans="1:2" ht="16.5">
      <c r="A55" s="127" t="s">
        <v>56</v>
      </c>
      <c r="B55" s="105">
        <v>170178</v>
      </c>
    </row>
    <row r="56" spans="1:2" ht="16.5">
      <c r="A56" s="127"/>
      <c r="B56" s="105"/>
    </row>
    <row r="57" spans="1:2" ht="16.5">
      <c r="A57" s="127" t="s">
        <v>280</v>
      </c>
      <c r="B57" s="105"/>
    </row>
    <row r="58" spans="1:2">
      <c r="A58" t="str">
        <f>"Total: $" &amp; TEXT(I39,"#0.0,,") &amp; " million"</f>
        <v>Total: $26.7 million</v>
      </c>
    </row>
    <row r="60" spans="1:2" ht="16.5">
      <c r="A60" s="127"/>
      <c r="B60" s="105"/>
    </row>
    <row r="61" spans="1:2" ht="16.5">
      <c r="A61" s="127"/>
      <c r="B61" s="105"/>
    </row>
    <row r="62" spans="1:2" ht="16.5">
      <c r="A62" s="127"/>
      <c r="B62" s="105"/>
    </row>
    <row r="63" spans="1:2" ht="16.5">
      <c r="A63" s="127"/>
      <c r="B63" s="105"/>
    </row>
    <row r="64" spans="1:2" ht="16.5">
      <c r="A64" s="127"/>
      <c r="B64" s="105"/>
    </row>
    <row r="65" spans="1:2" ht="16.5">
      <c r="A65" s="127"/>
      <c r="B65" s="105"/>
    </row>
    <row r="66" spans="1:2" ht="16.5">
      <c r="A66" s="127"/>
      <c r="B66" s="105"/>
    </row>
    <row r="67" spans="1:2" ht="16.5">
      <c r="A67" s="127"/>
      <c r="B67" s="105"/>
    </row>
    <row r="68" spans="1:2" ht="16.5">
      <c r="A68" s="127"/>
      <c r="B68" s="105"/>
    </row>
    <row r="69" spans="1:2" ht="16.5">
      <c r="A69" s="127"/>
      <c r="B69" s="105"/>
    </row>
    <row r="70" spans="1:2" ht="16.5">
      <c r="A70" s="127"/>
      <c r="B70" s="105"/>
    </row>
    <row r="71" spans="1:2" ht="16.5">
      <c r="A71" s="127"/>
      <c r="B71" s="105"/>
    </row>
    <row r="72" spans="1:2" ht="16.5">
      <c r="A72" s="127"/>
      <c r="B72" s="105"/>
    </row>
    <row r="73" spans="1:2" ht="16.5">
      <c r="A73" s="127"/>
      <c r="B73" s="105"/>
    </row>
    <row r="74" spans="1:2" ht="16.5">
      <c r="A74" s="127"/>
      <c r="B74" s="105"/>
    </row>
    <row r="75" spans="1:2" ht="16.5">
      <c r="A75" s="127"/>
      <c r="B75" s="105"/>
    </row>
    <row r="76" spans="1:2" ht="16.5">
      <c r="A76" s="127"/>
      <c r="B76" s="105"/>
    </row>
    <row r="77" spans="1:2" ht="16.5">
      <c r="A77" s="127"/>
      <c r="B77" s="105"/>
    </row>
    <row r="78" spans="1:2" ht="16.5">
      <c r="A78" s="127"/>
      <c r="B78" s="105"/>
    </row>
  </sheetData>
  <sortState xmlns:xlrd2="http://schemas.microsoft.com/office/spreadsheetml/2017/richdata2" ref="A4:I38">
    <sortCondition descending="1" ref="I4:I38"/>
  </sortState>
  <mergeCells count="1">
    <mergeCell ref="A44:K44"/>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S52"/>
  <sheetViews>
    <sheetView zoomScale="115" zoomScaleNormal="115" workbookViewId="0">
      <pane xSplit="1" ySplit="3" topLeftCell="AE16" activePane="bottomRight" state="frozen"/>
      <selection pane="topRight" activeCell="B1" sqref="B1"/>
      <selection pane="bottomLeft" activeCell="A2" sqref="A2"/>
      <selection pane="bottomRight" activeCell="A22" sqref="A22"/>
    </sheetView>
  </sheetViews>
  <sheetFormatPr defaultRowHeight="12.75"/>
  <cols>
    <col min="1" max="1" width="28.42578125" style="44" customWidth="1"/>
    <col min="2" max="29" width="9.28515625" style="44" customWidth="1"/>
    <col min="30" max="30" width="10.28515625" style="44" customWidth="1"/>
    <col min="31" max="31" width="11.5703125" style="44" customWidth="1"/>
    <col min="32" max="36" width="10.28515625" style="44" bestFit="1" customWidth="1"/>
    <col min="37" max="37" width="10.28515625" style="44" customWidth="1"/>
    <col min="38" max="38" width="9.140625" style="44"/>
    <col min="39" max="40" width="9.42578125" style="44" bestFit="1" customWidth="1"/>
    <col min="41" max="16384" width="9.140625" style="44"/>
  </cols>
  <sheetData>
    <row r="1" spans="1:42" s="142" customFormat="1" ht="15">
      <c r="A1" s="21" t="s">
        <v>429</v>
      </c>
    </row>
    <row r="2" spans="1:42" s="142" customFormat="1" ht="13.5"/>
    <row r="3" spans="1:42" s="142" customFormat="1" ht="13.5">
      <c r="B3" s="145" t="s">
        <v>86</v>
      </c>
      <c r="C3" s="145">
        <v>1981</v>
      </c>
      <c r="D3" s="145">
        <v>1982</v>
      </c>
      <c r="E3" s="145">
        <v>1983</v>
      </c>
      <c r="F3" s="145">
        <v>1984</v>
      </c>
      <c r="G3" s="145">
        <v>1985</v>
      </c>
      <c r="H3" s="145">
        <v>1986</v>
      </c>
      <c r="I3" s="145">
        <v>1987</v>
      </c>
      <c r="J3" s="145">
        <v>1988</v>
      </c>
      <c r="K3" s="145">
        <v>1989</v>
      </c>
      <c r="L3" s="145">
        <v>1990</v>
      </c>
      <c r="M3" s="145">
        <v>1991</v>
      </c>
      <c r="N3" s="145">
        <v>1992</v>
      </c>
      <c r="O3" s="145">
        <v>1993</v>
      </c>
      <c r="P3" s="145">
        <v>1994</v>
      </c>
      <c r="Q3" s="145">
        <v>1995</v>
      </c>
      <c r="R3" s="145">
        <v>1996</v>
      </c>
      <c r="S3" s="145">
        <v>1997</v>
      </c>
      <c r="T3" s="145">
        <v>1998</v>
      </c>
      <c r="U3" s="145">
        <v>1999</v>
      </c>
      <c r="V3" s="145">
        <v>2000</v>
      </c>
      <c r="W3" s="145">
        <v>2001</v>
      </c>
      <c r="X3" s="145">
        <v>2002</v>
      </c>
      <c r="Y3" s="145">
        <v>2003</v>
      </c>
      <c r="Z3" s="145">
        <v>2004</v>
      </c>
      <c r="AA3" s="145">
        <v>2005</v>
      </c>
      <c r="AB3" s="145">
        <v>2006</v>
      </c>
      <c r="AC3" s="145">
        <v>2007</v>
      </c>
      <c r="AD3" s="145">
        <v>2008</v>
      </c>
      <c r="AE3" s="145">
        <v>2009</v>
      </c>
      <c r="AF3" s="145">
        <v>2010</v>
      </c>
      <c r="AG3" s="145">
        <v>2011</v>
      </c>
      <c r="AH3" s="145">
        <v>2012</v>
      </c>
      <c r="AI3" s="145">
        <v>2013</v>
      </c>
      <c r="AJ3" s="145">
        <v>2014</v>
      </c>
      <c r="AK3" s="145">
        <v>2015</v>
      </c>
      <c r="AL3" s="145">
        <v>2016</v>
      </c>
      <c r="AM3" s="145">
        <v>2017</v>
      </c>
      <c r="AN3" s="144">
        <v>2018</v>
      </c>
      <c r="AO3" s="142" t="s">
        <v>446</v>
      </c>
    </row>
    <row r="4" spans="1:42" s="142" customFormat="1" ht="13.5">
      <c r="A4" s="142" t="s">
        <v>85</v>
      </c>
      <c r="B4" s="143">
        <f>B16</f>
        <v>0</v>
      </c>
      <c r="C4" s="143">
        <f t="shared" ref="C4:AN4" si="0">B4+C16</f>
        <v>0</v>
      </c>
      <c r="D4" s="143">
        <f t="shared" si="0"/>
        <v>0</v>
      </c>
      <c r="E4" s="143">
        <f t="shared" si="0"/>
        <v>0</v>
      </c>
      <c r="F4" s="143">
        <f t="shared" si="0"/>
        <v>12</v>
      </c>
      <c r="G4" s="143">
        <f t="shared" si="0"/>
        <v>29</v>
      </c>
      <c r="H4" s="143">
        <f t="shared" si="0"/>
        <v>103</v>
      </c>
      <c r="I4" s="143">
        <f t="shared" si="0"/>
        <v>114</v>
      </c>
      <c r="J4" s="143">
        <f t="shared" si="0"/>
        <v>154</v>
      </c>
      <c r="K4" s="143">
        <f t="shared" si="0"/>
        <v>194</v>
      </c>
      <c r="L4" s="143">
        <f t="shared" si="0"/>
        <v>234</v>
      </c>
      <c r="M4" s="143">
        <f t="shared" si="0"/>
        <v>274</v>
      </c>
      <c r="N4" s="143">
        <f t="shared" si="0"/>
        <v>333</v>
      </c>
      <c r="O4" s="143">
        <f t="shared" si="0"/>
        <v>437</v>
      </c>
      <c r="P4" s="143">
        <f t="shared" si="0"/>
        <v>548.70000000000005</v>
      </c>
      <c r="Q4" s="143">
        <f t="shared" si="0"/>
        <v>612.20000000000005</v>
      </c>
      <c r="R4" s="143">
        <f t="shared" si="0"/>
        <v>612.20000000000005</v>
      </c>
      <c r="S4" s="143">
        <f t="shared" si="0"/>
        <v>612.20000000000005</v>
      </c>
      <c r="T4" s="143">
        <f t="shared" si="0"/>
        <v>617.6</v>
      </c>
      <c r="U4" s="143">
        <f t="shared" si="0"/>
        <v>665.2</v>
      </c>
      <c r="V4" s="143">
        <f t="shared" si="0"/>
        <v>730</v>
      </c>
      <c r="W4" s="143">
        <f t="shared" si="0"/>
        <v>2119.6</v>
      </c>
      <c r="X4" s="143">
        <f t="shared" si="0"/>
        <v>2267.4</v>
      </c>
      <c r="Y4" s="143">
        <f t="shared" si="0"/>
        <v>2438.5</v>
      </c>
      <c r="Z4" s="143">
        <f t="shared" si="0"/>
        <v>2629.5</v>
      </c>
      <c r="AA4" s="143">
        <f t="shared" si="0"/>
        <v>2740.3</v>
      </c>
      <c r="AB4" s="143">
        <f t="shared" si="0"/>
        <v>2908.4776403128003</v>
      </c>
      <c r="AC4" s="143">
        <f t="shared" si="0"/>
        <v>3029.1676403128004</v>
      </c>
      <c r="AD4" s="143">
        <f t="shared" si="0"/>
        <v>3304.1151715013721</v>
      </c>
      <c r="AE4" s="143">
        <f t="shared" si="0"/>
        <v>3544.4265926055655</v>
      </c>
      <c r="AF4" s="143">
        <f t="shared" si="0"/>
        <v>3854.4929987687915</v>
      </c>
      <c r="AG4" s="143">
        <f t="shared" si="0"/>
        <v>3925.1834749287914</v>
      </c>
      <c r="AH4" s="143">
        <f t="shared" si="0"/>
        <v>3963.6334749287912</v>
      </c>
      <c r="AI4" s="143">
        <f t="shared" si="0"/>
        <v>4049.4374749287913</v>
      </c>
      <c r="AJ4" s="143">
        <f t="shared" si="0"/>
        <v>4245.589253548791</v>
      </c>
      <c r="AK4" s="143">
        <f t="shared" si="0"/>
        <v>4313.070576635243</v>
      </c>
      <c r="AL4" s="143">
        <f t="shared" si="0"/>
        <v>4363.3616128404046</v>
      </c>
      <c r="AM4" s="143">
        <f t="shared" si="0"/>
        <v>4342.8256128404046</v>
      </c>
      <c r="AN4" s="143">
        <f t="shared" si="0"/>
        <v>4367.086273836534</v>
      </c>
      <c r="AO4" s="142" t="s">
        <v>445</v>
      </c>
    </row>
    <row r="5" spans="1:42" s="142" customFormat="1" ht="13.5">
      <c r="A5" s="142" t="s">
        <v>84</v>
      </c>
      <c r="B5" s="143">
        <f t="shared" ref="B5:B8" si="1">B17</f>
        <v>0</v>
      </c>
      <c r="C5" s="143">
        <f t="shared" ref="C5:AN5" si="2">B5+C17</f>
        <v>3</v>
      </c>
      <c r="D5" s="143">
        <f t="shared" si="2"/>
        <v>17</v>
      </c>
      <c r="E5" s="143">
        <f t="shared" si="2"/>
        <v>18</v>
      </c>
      <c r="F5" s="143">
        <f t="shared" si="2"/>
        <v>26</v>
      </c>
      <c r="G5" s="143">
        <f t="shared" si="2"/>
        <v>53</v>
      </c>
      <c r="H5" s="143">
        <f t="shared" si="2"/>
        <v>72</v>
      </c>
      <c r="I5" s="143">
        <f t="shared" si="2"/>
        <v>81</v>
      </c>
      <c r="J5" s="143">
        <f t="shared" si="2"/>
        <v>91</v>
      </c>
      <c r="K5" s="143">
        <f t="shared" si="2"/>
        <v>106</v>
      </c>
      <c r="L5" s="143">
        <f t="shared" si="2"/>
        <v>121</v>
      </c>
      <c r="M5" s="143">
        <f t="shared" si="2"/>
        <v>136</v>
      </c>
      <c r="N5" s="143">
        <f t="shared" si="2"/>
        <v>159</v>
      </c>
      <c r="O5" s="143">
        <f t="shared" si="2"/>
        <v>204</v>
      </c>
      <c r="P5" s="143">
        <f t="shared" si="2"/>
        <v>266</v>
      </c>
      <c r="Q5" s="143">
        <f t="shared" si="2"/>
        <v>273.10000000000002</v>
      </c>
      <c r="R5" s="143">
        <f t="shared" si="2"/>
        <v>354.8</v>
      </c>
      <c r="S5" s="143">
        <f t="shared" si="2"/>
        <v>462.6</v>
      </c>
      <c r="T5" s="143">
        <f t="shared" si="2"/>
        <v>579.1</v>
      </c>
      <c r="U5" s="143">
        <f t="shared" si="2"/>
        <v>776.90000000000009</v>
      </c>
      <c r="V5" s="143">
        <f t="shared" si="2"/>
        <v>970.00000000000011</v>
      </c>
      <c r="W5" s="143">
        <f t="shared" si="2"/>
        <v>1085.9000000000001</v>
      </c>
      <c r="X5" s="143">
        <f t="shared" si="2"/>
        <v>1098.5</v>
      </c>
      <c r="Y5" s="143">
        <f t="shared" si="2"/>
        <v>1177.7</v>
      </c>
      <c r="Z5" s="143">
        <f t="shared" si="2"/>
        <v>1199.4000000000001</v>
      </c>
      <c r="AA5" s="143">
        <f t="shared" si="2"/>
        <v>1381.5</v>
      </c>
      <c r="AB5" s="143">
        <f t="shared" si="2"/>
        <v>1778.9380996800001</v>
      </c>
      <c r="AC5" s="143">
        <f t="shared" si="2"/>
        <v>2061.5630996800001</v>
      </c>
      <c r="AD5" s="143">
        <f t="shared" si="2"/>
        <v>2335.0825265371427</v>
      </c>
      <c r="AE5" s="143">
        <f t="shared" si="2"/>
        <v>2477.8965265371426</v>
      </c>
      <c r="AF5" s="143">
        <f t="shared" si="2"/>
        <v>2577.3274901139166</v>
      </c>
      <c r="AG5" s="143">
        <f t="shared" si="2"/>
        <v>2734.0094936139167</v>
      </c>
      <c r="AH5" s="143">
        <f t="shared" si="2"/>
        <v>2886.2094936139165</v>
      </c>
      <c r="AI5" s="143">
        <f t="shared" si="2"/>
        <v>3021.7174936139163</v>
      </c>
      <c r="AJ5" s="143">
        <f t="shared" si="2"/>
        <v>3144.4618380929487</v>
      </c>
      <c r="AK5" s="143">
        <f t="shared" si="2"/>
        <v>3340.2572852013359</v>
      </c>
      <c r="AL5" s="143">
        <f t="shared" si="2"/>
        <v>3416.8991706426264</v>
      </c>
      <c r="AM5" s="143">
        <f t="shared" si="2"/>
        <v>3426.4991706426263</v>
      </c>
      <c r="AN5" s="143">
        <f t="shared" si="2"/>
        <v>3429.3991706426264</v>
      </c>
      <c r="AO5" s="142" t="s">
        <v>445</v>
      </c>
    </row>
    <row r="6" spans="1:42" s="142" customFormat="1" ht="13.5">
      <c r="A6" s="142" t="s">
        <v>83</v>
      </c>
      <c r="B6" s="143">
        <f t="shared" si="1"/>
        <v>15</v>
      </c>
      <c r="C6" s="143">
        <f t="shared" ref="C6:AN6" si="3">B6+C18</f>
        <v>21.1</v>
      </c>
      <c r="D6" s="143">
        <f t="shared" si="3"/>
        <v>32.6</v>
      </c>
      <c r="E6" s="143">
        <f t="shared" si="3"/>
        <v>46.8</v>
      </c>
      <c r="F6" s="143">
        <f t="shared" si="3"/>
        <v>62.8</v>
      </c>
      <c r="G6" s="143">
        <f t="shared" si="3"/>
        <v>82.699999999999989</v>
      </c>
      <c r="H6" s="143">
        <f t="shared" si="3"/>
        <v>106.39999999999999</v>
      </c>
      <c r="I6" s="143">
        <f t="shared" si="3"/>
        <v>136.1</v>
      </c>
      <c r="J6" s="143">
        <f t="shared" si="3"/>
        <v>155.1</v>
      </c>
      <c r="K6" s="143">
        <f t="shared" si="3"/>
        <v>178.7</v>
      </c>
      <c r="L6" s="143">
        <f t="shared" si="3"/>
        <v>202.1</v>
      </c>
      <c r="M6" s="143">
        <f t="shared" si="3"/>
        <v>226.4</v>
      </c>
      <c r="N6" s="143">
        <f t="shared" si="3"/>
        <v>254.8</v>
      </c>
      <c r="O6" s="143">
        <f t="shared" si="3"/>
        <v>285.3</v>
      </c>
      <c r="P6" s="143">
        <f t="shared" si="3"/>
        <v>320.2</v>
      </c>
      <c r="Q6" s="143">
        <f t="shared" si="3"/>
        <v>356.3</v>
      </c>
      <c r="R6" s="143">
        <f t="shared" si="3"/>
        <v>391.7</v>
      </c>
      <c r="S6" s="143">
        <f t="shared" si="3"/>
        <v>427.6</v>
      </c>
      <c r="T6" s="143">
        <f t="shared" si="3"/>
        <v>463.98</v>
      </c>
      <c r="U6" s="143">
        <f t="shared" si="3"/>
        <v>502.88</v>
      </c>
      <c r="V6" s="143">
        <f t="shared" si="3"/>
        <v>540.48</v>
      </c>
      <c r="W6" s="143">
        <f t="shared" si="3"/>
        <v>582.98</v>
      </c>
      <c r="X6" s="143">
        <f t="shared" si="3"/>
        <v>633.89</v>
      </c>
      <c r="Y6" s="143">
        <f t="shared" si="3"/>
        <v>686.44499999999994</v>
      </c>
      <c r="Z6" s="143">
        <f t="shared" si="3"/>
        <v>743.64499999999998</v>
      </c>
      <c r="AA6" s="143">
        <f t="shared" si="3"/>
        <v>801.56499999999994</v>
      </c>
      <c r="AB6" s="143">
        <f t="shared" si="3"/>
        <v>862.21499999999992</v>
      </c>
      <c r="AC6" s="143">
        <f t="shared" si="3"/>
        <v>922.4799999999999</v>
      </c>
      <c r="AD6" s="143">
        <f t="shared" si="3"/>
        <v>984.70249999999987</v>
      </c>
      <c r="AE6" s="143">
        <f t="shared" si="3"/>
        <v>1048.9724999999999</v>
      </c>
      <c r="AF6" s="143">
        <f t="shared" si="3"/>
        <v>1118.6734873599999</v>
      </c>
      <c r="AG6" s="143">
        <f t="shared" si="3"/>
        <v>1192.9385881399999</v>
      </c>
      <c r="AH6" s="143">
        <f t="shared" si="3"/>
        <v>1265.9485881399999</v>
      </c>
      <c r="AI6" s="143">
        <f t="shared" si="3"/>
        <v>1344.4485881399999</v>
      </c>
      <c r="AJ6" s="143">
        <f t="shared" si="3"/>
        <v>1434.7485881399998</v>
      </c>
      <c r="AK6" s="143">
        <f t="shared" si="3"/>
        <v>1519.6140736399998</v>
      </c>
      <c r="AL6" s="143">
        <f t="shared" si="3"/>
        <v>1607.7994219599998</v>
      </c>
      <c r="AM6" s="143">
        <f t="shared" si="3"/>
        <v>1693.0222221549998</v>
      </c>
      <c r="AN6" s="143">
        <f t="shared" si="3"/>
        <v>1782.8988112399998</v>
      </c>
      <c r="AO6" s="142" t="s">
        <v>445</v>
      </c>
    </row>
    <row r="7" spans="1:42" s="142" customFormat="1" ht="13.5">
      <c r="A7" s="142" t="s">
        <v>82</v>
      </c>
      <c r="B7" s="143">
        <f t="shared" si="1"/>
        <v>2.2999999999999998</v>
      </c>
      <c r="C7" s="143">
        <f t="shared" ref="C7:AN7" si="4">B7+C19</f>
        <v>4.5999999999999996</v>
      </c>
      <c r="D7" s="143">
        <f t="shared" si="4"/>
        <v>9.1999999999999993</v>
      </c>
      <c r="E7" s="143">
        <f t="shared" si="4"/>
        <v>18.299999999999997</v>
      </c>
      <c r="F7" s="143">
        <f t="shared" si="4"/>
        <v>37.9</v>
      </c>
      <c r="G7" s="143">
        <f t="shared" si="4"/>
        <v>53.8</v>
      </c>
      <c r="H7" s="143">
        <f t="shared" si="4"/>
        <v>73.400000000000006</v>
      </c>
      <c r="I7" s="143">
        <f t="shared" si="4"/>
        <v>95.600000000000009</v>
      </c>
      <c r="J7" s="143">
        <f t="shared" si="4"/>
        <v>114.4</v>
      </c>
      <c r="K7" s="143">
        <f t="shared" si="4"/>
        <v>137.4</v>
      </c>
      <c r="L7" s="143">
        <f t="shared" si="4"/>
        <v>170.2</v>
      </c>
      <c r="M7" s="143">
        <f t="shared" si="4"/>
        <v>203.2</v>
      </c>
      <c r="N7" s="143">
        <f t="shared" si="4"/>
        <v>270.2</v>
      </c>
      <c r="O7" s="143">
        <f t="shared" si="4"/>
        <v>319.8</v>
      </c>
      <c r="P7" s="143">
        <f t="shared" si="4"/>
        <v>375.7</v>
      </c>
      <c r="Q7" s="143">
        <f t="shared" si="4"/>
        <v>447.1</v>
      </c>
      <c r="R7" s="143">
        <f t="shared" si="4"/>
        <v>515.6</v>
      </c>
      <c r="S7" s="143">
        <f t="shared" si="4"/>
        <v>597.80000000000007</v>
      </c>
      <c r="T7" s="143">
        <f t="shared" si="4"/>
        <v>702.7</v>
      </c>
      <c r="U7" s="143">
        <f t="shared" si="4"/>
        <v>810.90000000000009</v>
      </c>
      <c r="V7" s="143">
        <f t="shared" si="4"/>
        <v>919.10000000000014</v>
      </c>
      <c r="W7" s="143">
        <f t="shared" si="4"/>
        <v>1020.2000000000002</v>
      </c>
      <c r="X7" s="143">
        <f t="shared" si="4"/>
        <v>1157.3000000000002</v>
      </c>
      <c r="Y7" s="143">
        <f t="shared" si="4"/>
        <v>1298.0000000000002</v>
      </c>
      <c r="Z7" s="143">
        <f t="shared" si="4"/>
        <v>1435.9000000000003</v>
      </c>
      <c r="AA7" s="143">
        <f t="shared" si="4"/>
        <v>1571.7000000000003</v>
      </c>
      <c r="AB7" s="143">
        <f t="shared" si="4"/>
        <v>1709.6000000000004</v>
      </c>
      <c r="AC7" s="143">
        <f t="shared" si="4"/>
        <v>1849.0820000000003</v>
      </c>
      <c r="AD7" s="143">
        <f t="shared" si="4"/>
        <v>1997.9794339400003</v>
      </c>
      <c r="AE7" s="143">
        <f t="shared" si="4"/>
        <v>2175.8388767700003</v>
      </c>
      <c r="AF7" s="143">
        <f t="shared" si="4"/>
        <v>2375.4210898000001</v>
      </c>
      <c r="AG7" s="143">
        <f t="shared" si="4"/>
        <v>2596.47471404</v>
      </c>
      <c r="AH7" s="143">
        <f t="shared" si="4"/>
        <v>2845.4047140399998</v>
      </c>
      <c r="AI7" s="143">
        <f t="shared" si="4"/>
        <v>3084.4047140399998</v>
      </c>
      <c r="AJ7" s="143">
        <f t="shared" si="4"/>
        <v>3316.2061960399997</v>
      </c>
      <c r="AK7" s="143">
        <f t="shared" si="4"/>
        <v>3574.3834078699997</v>
      </c>
      <c r="AL7" s="143">
        <f t="shared" si="4"/>
        <v>3832.5255977999996</v>
      </c>
      <c r="AM7" s="143">
        <f t="shared" si="4"/>
        <v>4087.2298052899996</v>
      </c>
      <c r="AN7" s="143">
        <f t="shared" si="4"/>
        <v>4345.9344566299997</v>
      </c>
      <c r="AO7" s="142" t="s">
        <v>445</v>
      </c>
    </row>
    <row r="8" spans="1:42" s="142" customFormat="1" ht="13.5">
      <c r="A8" s="142" t="s">
        <v>81</v>
      </c>
      <c r="B8" s="143">
        <f t="shared" si="1"/>
        <v>24</v>
      </c>
      <c r="C8" s="143">
        <f t="shared" ref="C8:AN8" si="5">B8+C20</f>
        <v>32.799999999999997</v>
      </c>
      <c r="D8" s="143">
        <f t="shared" si="5"/>
        <v>45.199999999999996</v>
      </c>
      <c r="E8" s="143">
        <f t="shared" si="5"/>
        <v>61.099999999999994</v>
      </c>
      <c r="F8" s="143">
        <f t="shared" si="5"/>
        <v>77.699999999999989</v>
      </c>
      <c r="G8" s="143">
        <f t="shared" si="5"/>
        <v>97.399999999999991</v>
      </c>
      <c r="H8" s="143">
        <f t="shared" si="5"/>
        <v>119.5</v>
      </c>
      <c r="I8" s="143">
        <f t="shared" si="5"/>
        <v>148</v>
      </c>
      <c r="J8" s="143">
        <f t="shared" si="5"/>
        <v>179</v>
      </c>
      <c r="K8" s="143">
        <f t="shared" si="5"/>
        <v>210.9</v>
      </c>
      <c r="L8" s="143">
        <f t="shared" si="5"/>
        <v>245.2</v>
      </c>
      <c r="M8" s="143">
        <f t="shared" si="5"/>
        <v>283.39999999999998</v>
      </c>
      <c r="N8" s="143">
        <f t="shared" si="5"/>
        <v>325.29999999999995</v>
      </c>
      <c r="O8" s="143">
        <f t="shared" si="5"/>
        <v>378.9</v>
      </c>
      <c r="P8" s="143">
        <f t="shared" si="5"/>
        <v>440.2</v>
      </c>
      <c r="Q8" s="143">
        <f t="shared" si="5"/>
        <v>503.79999999999995</v>
      </c>
      <c r="R8" s="143">
        <f t="shared" si="5"/>
        <v>576.9</v>
      </c>
      <c r="S8" s="143">
        <f t="shared" si="5"/>
        <v>653.19999999999993</v>
      </c>
      <c r="T8" s="143">
        <f t="shared" si="5"/>
        <v>727.3</v>
      </c>
      <c r="U8" s="143">
        <f t="shared" si="5"/>
        <v>803.4</v>
      </c>
      <c r="V8" s="143">
        <f t="shared" si="5"/>
        <v>879.69999999999993</v>
      </c>
      <c r="W8" s="143">
        <f t="shared" si="5"/>
        <v>957.9</v>
      </c>
      <c r="X8" s="143">
        <f t="shared" si="5"/>
        <v>1036.0999999999999</v>
      </c>
      <c r="Y8" s="143">
        <f t="shared" si="5"/>
        <v>1116.5999999999999</v>
      </c>
      <c r="Z8" s="143">
        <f t="shared" si="5"/>
        <v>1202</v>
      </c>
      <c r="AA8" s="143">
        <f t="shared" si="5"/>
        <v>1291.7</v>
      </c>
      <c r="AB8" s="143">
        <f t="shared" si="5"/>
        <v>1379.2</v>
      </c>
      <c r="AC8" s="143">
        <f t="shared" si="5"/>
        <v>1492.1100000000001</v>
      </c>
      <c r="AD8" s="143">
        <f t="shared" si="5"/>
        <v>1608.3100000000002</v>
      </c>
      <c r="AE8" s="143">
        <f t="shared" si="5"/>
        <v>1728.3100000000002</v>
      </c>
      <c r="AF8" s="143">
        <f t="shared" si="5"/>
        <v>1851.8261102145098</v>
      </c>
      <c r="AG8" s="143">
        <f t="shared" si="5"/>
        <v>1978.9986920591759</v>
      </c>
      <c r="AH8" s="143">
        <f t="shared" si="5"/>
        <v>2110.4986920591759</v>
      </c>
      <c r="AI8" s="143">
        <f t="shared" si="5"/>
        <v>2253.898692059176</v>
      </c>
      <c r="AJ8" s="143">
        <f t="shared" si="5"/>
        <v>2395.1986920591762</v>
      </c>
      <c r="AK8" s="143">
        <f t="shared" si="5"/>
        <v>2545.7774713522472</v>
      </c>
      <c r="AL8" s="143">
        <f t="shared" si="5"/>
        <v>2693.99445848705</v>
      </c>
      <c r="AM8" s="143">
        <f t="shared" si="5"/>
        <v>2815.371941085838</v>
      </c>
      <c r="AN8" s="143">
        <f t="shared" si="5"/>
        <v>2920.4450397831351</v>
      </c>
      <c r="AO8" s="142" t="s">
        <v>445</v>
      </c>
    </row>
    <row r="9" spans="1:42" s="142" customFormat="1" ht="13.5">
      <c r="A9" s="144" t="s">
        <v>253</v>
      </c>
      <c r="B9" s="143">
        <f>SUM(B4:B8)</f>
        <v>41.3</v>
      </c>
      <c r="C9" s="143">
        <v>76.599999999999994</v>
      </c>
      <c r="D9" s="143">
        <v>168.4</v>
      </c>
      <c r="E9" s="143">
        <v>247.8</v>
      </c>
      <c r="F9" s="143">
        <v>312.39999999999998</v>
      </c>
      <c r="G9" s="143">
        <v>448.8</v>
      </c>
      <c r="H9" s="143">
        <v>602.20000000000005</v>
      </c>
      <c r="I9" s="143">
        <v>757.4</v>
      </c>
      <c r="J9" s="143">
        <v>860.5</v>
      </c>
      <c r="K9" s="143">
        <v>975.7</v>
      </c>
      <c r="L9" s="143">
        <v>1107.5999999999999</v>
      </c>
      <c r="M9" s="143">
        <v>1241.5999999999999</v>
      </c>
      <c r="N9" s="143">
        <v>1431.1</v>
      </c>
      <c r="O9" s="143">
        <v>1763.3</v>
      </c>
      <c r="P9" s="143">
        <v>2087.6999999999998</v>
      </c>
      <c r="Q9" s="143">
        <v>2337.4</v>
      </c>
      <c r="R9" s="143">
        <v>2594.1</v>
      </c>
      <c r="S9" s="143">
        <v>2805.5</v>
      </c>
      <c r="T9" s="143">
        <v>3090.7</v>
      </c>
      <c r="U9" s="143">
        <v>3512</v>
      </c>
      <c r="V9" s="143">
        <v>3992</v>
      </c>
      <c r="W9" s="143">
        <v>5719.3</v>
      </c>
      <c r="X9" s="143">
        <v>6146.1</v>
      </c>
      <c r="Y9" s="143">
        <v>6670.2</v>
      </c>
      <c r="Z9" s="143">
        <v>7163.4</v>
      </c>
      <c r="AA9" s="143">
        <v>7738.7</v>
      </c>
      <c r="AB9" s="143">
        <v>8590.4</v>
      </c>
      <c r="AC9" s="143">
        <v>9306.4</v>
      </c>
      <c r="AD9" s="143">
        <v>10182.1</v>
      </c>
      <c r="AE9" s="143">
        <v>10927.4</v>
      </c>
      <c r="AF9" s="143">
        <v>11729.7</v>
      </c>
      <c r="AG9" s="143">
        <v>12435.3</v>
      </c>
      <c r="AH9" s="143">
        <f t="shared" ref="AH9:AN9" si="6">SUM(AH4:AH8)</f>
        <v>13071.694962781883</v>
      </c>
      <c r="AI9" s="143">
        <f t="shared" si="6"/>
        <v>13753.906962781883</v>
      </c>
      <c r="AJ9" s="143">
        <f t="shared" si="6"/>
        <v>14536.204567880915</v>
      </c>
      <c r="AK9" s="143">
        <f t="shared" si="6"/>
        <v>15293.102814698825</v>
      </c>
      <c r="AL9" s="143">
        <f t="shared" si="6"/>
        <v>15914.58026173008</v>
      </c>
      <c r="AM9" s="143">
        <f t="shared" si="6"/>
        <v>16364.948752013866</v>
      </c>
      <c r="AN9" s="143">
        <f t="shared" si="6"/>
        <v>16845.763752132294</v>
      </c>
      <c r="AP9" s="142">
        <v>16845.763752132294</v>
      </c>
    </row>
    <row r="10" spans="1:42" s="142" customFormat="1" ht="13.5">
      <c r="A10" s="14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row>
    <row r="11" spans="1:42" s="142" customFormat="1" ht="13.5">
      <c r="A11" s="142" t="s">
        <v>447</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row>
    <row r="12" spans="1:42" s="142" customFormat="1" ht="13.5">
      <c r="A12" s="259" t="s">
        <v>448</v>
      </c>
      <c r="B12" s="143">
        <f>B22</f>
        <v>30</v>
      </c>
      <c r="C12" s="143">
        <f>B12+C22</f>
        <v>47.9</v>
      </c>
      <c r="D12" s="143">
        <f t="shared" ref="D12:AN12" si="7">C12+D22</f>
        <v>109.6</v>
      </c>
      <c r="E12" s="143">
        <f t="shared" si="7"/>
        <v>164.7</v>
      </c>
      <c r="F12" s="143">
        <f t="shared" si="7"/>
        <v>173.7</v>
      </c>
      <c r="G12" s="143">
        <f t="shared" si="7"/>
        <v>230.29999999999998</v>
      </c>
      <c r="H12" s="143">
        <f t="shared" si="7"/>
        <v>247.39999999999998</v>
      </c>
      <c r="I12" s="143">
        <f t="shared" si="7"/>
        <v>330.7</v>
      </c>
      <c r="J12" s="143">
        <f t="shared" si="7"/>
        <v>346</v>
      </c>
      <c r="K12" s="143">
        <f t="shared" si="7"/>
        <v>359.6</v>
      </c>
      <c r="L12" s="143">
        <f t="shared" si="7"/>
        <v>380.3</v>
      </c>
      <c r="M12" s="143">
        <f t="shared" si="7"/>
        <v>402</v>
      </c>
      <c r="N12" s="143">
        <f t="shared" si="7"/>
        <v>414.1</v>
      </c>
      <c r="O12" s="143">
        <f t="shared" si="7"/>
        <v>517.20000000000005</v>
      </c>
      <c r="P12" s="143">
        <f t="shared" si="7"/>
        <v>577.1</v>
      </c>
      <c r="Q12" s="143">
        <f t="shared" si="7"/>
        <v>648.9</v>
      </c>
      <c r="R12" s="143">
        <f t="shared" si="7"/>
        <v>720</v>
      </c>
      <c r="S12" s="143">
        <f t="shared" si="7"/>
        <v>705.5</v>
      </c>
      <c r="T12" s="143">
        <f t="shared" si="7"/>
        <v>727.5</v>
      </c>
      <c r="U12" s="143">
        <f t="shared" si="7"/>
        <v>756.3</v>
      </c>
      <c r="V12" s="143">
        <f t="shared" si="7"/>
        <v>817.19999999999993</v>
      </c>
      <c r="W12" s="143">
        <f t="shared" si="7"/>
        <v>839.9</v>
      </c>
      <c r="X12" s="143">
        <f t="shared" si="7"/>
        <v>854.8</v>
      </c>
      <c r="Y12" s="143">
        <f t="shared" si="7"/>
        <v>934.8</v>
      </c>
      <c r="Z12" s="143">
        <f t="shared" si="7"/>
        <v>1019.1999999999999</v>
      </c>
      <c r="AA12" s="143">
        <f t="shared" si="7"/>
        <v>1085.1999999999998</v>
      </c>
      <c r="AB12" s="143">
        <f t="shared" si="7"/>
        <v>1481.4999999999998</v>
      </c>
      <c r="AC12" s="143">
        <f t="shared" si="7"/>
        <v>1578.1059999999998</v>
      </c>
      <c r="AD12" s="143">
        <f t="shared" si="7"/>
        <v>1642.2773130699998</v>
      </c>
      <c r="AE12" s="143">
        <f t="shared" si="7"/>
        <v>1805.9887742999997</v>
      </c>
      <c r="AF12" s="143">
        <f t="shared" si="7"/>
        <v>1903.6048668099997</v>
      </c>
      <c r="AG12" s="143">
        <f t="shared" si="7"/>
        <v>2097.5427319999999</v>
      </c>
      <c r="AH12" s="143">
        <f t="shared" si="7"/>
        <v>2269.8730289999999</v>
      </c>
      <c r="AI12" s="143">
        <f t="shared" si="7"/>
        <v>2425.5630289999999</v>
      </c>
      <c r="AJ12" s="143">
        <f t="shared" si="7"/>
        <v>2564.71637732</v>
      </c>
      <c r="AK12" s="143">
        <f t="shared" si="7"/>
        <v>2668.8422863199999</v>
      </c>
      <c r="AL12" s="143">
        <f t="shared" si="7"/>
        <v>2720.2148798200001</v>
      </c>
      <c r="AM12" s="143">
        <f t="shared" si="7"/>
        <v>2785.8487883600001</v>
      </c>
      <c r="AN12" s="143">
        <f t="shared" si="7"/>
        <v>2869.0654863600002</v>
      </c>
    </row>
    <row r="13" spans="1:42" s="142" customFormat="1" ht="13.5">
      <c r="A13" s="142" t="s">
        <v>449</v>
      </c>
      <c r="B13" s="143">
        <f>B23</f>
        <v>0</v>
      </c>
      <c r="C13" s="143">
        <f>B13+C23</f>
        <v>0</v>
      </c>
      <c r="D13" s="143">
        <f t="shared" ref="D13:AN13" si="8">C13+D23</f>
        <v>0</v>
      </c>
      <c r="E13" s="143">
        <f t="shared" si="8"/>
        <v>0</v>
      </c>
      <c r="F13" s="143">
        <f t="shared" si="8"/>
        <v>0</v>
      </c>
      <c r="G13" s="143">
        <f t="shared" si="8"/>
        <v>0</v>
      </c>
      <c r="H13" s="143">
        <f t="shared" si="8"/>
        <v>0</v>
      </c>
      <c r="I13" s="143">
        <f t="shared" si="8"/>
        <v>0</v>
      </c>
      <c r="J13" s="143">
        <f t="shared" si="8"/>
        <v>0</v>
      </c>
      <c r="K13" s="143">
        <f t="shared" si="8"/>
        <v>0</v>
      </c>
      <c r="L13" s="143">
        <f t="shared" si="8"/>
        <v>0</v>
      </c>
      <c r="M13" s="143">
        <f t="shared" si="8"/>
        <v>0</v>
      </c>
      <c r="N13" s="143">
        <f t="shared" si="8"/>
        <v>0</v>
      </c>
      <c r="O13" s="143">
        <f t="shared" si="8"/>
        <v>0</v>
      </c>
      <c r="P13" s="143">
        <f t="shared" si="8"/>
        <v>0</v>
      </c>
      <c r="Q13" s="143">
        <f t="shared" si="8"/>
        <v>-45.2</v>
      </c>
      <c r="R13" s="143">
        <f t="shared" si="8"/>
        <v>-70.7</v>
      </c>
      <c r="S13" s="143">
        <f t="shared" si="8"/>
        <v>-100.4</v>
      </c>
      <c r="T13" s="143">
        <f t="shared" si="8"/>
        <v>-136.10000000000002</v>
      </c>
      <c r="U13" s="143">
        <f t="shared" si="8"/>
        <v>-182.10000000000002</v>
      </c>
      <c r="V13" s="143">
        <f t="shared" si="8"/>
        <v>-232.50000000000003</v>
      </c>
      <c r="W13" s="143">
        <f t="shared" si="8"/>
        <v>-815.6</v>
      </c>
      <c r="X13" s="143">
        <f t="shared" si="8"/>
        <v>-882</v>
      </c>
      <c r="Y13" s="143">
        <f t="shared" si="8"/>
        <v>-1034.3</v>
      </c>
      <c r="Z13" s="143">
        <f t="shared" si="8"/>
        <v>-1111.3</v>
      </c>
      <c r="AA13" s="143">
        <f t="shared" si="8"/>
        <v>-1169</v>
      </c>
      <c r="AB13" s="143">
        <f t="shared" si="8"/>
        <v>-1245.3528333016243</v>
      </c>
      <c r="AC13" s="143">
        <f t="shared" si="8"/>
        <v>-1311.4528333016242</v>
      </c>
      <c r="AD13" s="143">
        <f t="shared" si="8"/>
        <v>-1411.9625633399057</v>
      </c>
      <c r="AE13" s="143">
        <f t="shared" si="8"/>
        <v>-1511.461221851521</v>
      </c>
      <c r="AF13" s="143">
        <f t="shared" si="8"/>
        <v>-1634.3040526929101</v>
      </c>
      <c r="AG13" s="143">
        <f t="shared" si="8"/>
        <v>-1719.6532810194801</v>
      </c>
      <c r="AH13" s="143">
        <f t="shared" si="8"/>
        <v>-1796.6351772504802</v>
      </c>
      <c r="AI13" s="143">
        <f t="shared" si="8"/>
        <v>-1880.7293692504802</v>
      </c>
      <c r="AJ13" s="143">
        <f t="shared" si="8"/>
        <v>-1984.5819430441002</v>
      </c>
      <c r="AK13" s="143">
        <f t="shared" si="8"/>
        <v>-2062.300201343689</v>
      </c>
      <c r="AL13" s="143">
        <f t="shared" si="8"/>
        <v>-2134.9278487874799</v>
      </c>
      <c r="AM13" s="143">
        <f t="shared" si="8"/>
        <v>-2188.65618192584</v>
      </c>
      <c r="AN13" s="143">
        <f t="shared" si="8"/>
        <v>-2258.7561819258399</v>
      </c>
    </row>
    <row r="14" spans="1:42" s="142" customFormat="1" ht="13.5">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row>
    <row r="15" spans="1:42" s="142" customFormat="1" ht="13.5">
      <c r="A15" s="222" t="s">
        <v>416</v>
      </c>
      <c r="B15" s="223"/>
      <c r="C15" s="223"/>
      <c r="D15" s="223"/>
      <c r="E15" s="223"/>
      <c r="F15" s="22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row>
    <row r="16" spans="1:42" s="142" customFormat="1" ht="13.5">
      <c r="A16" s="142" t="s">
        <v>397</v>
      </c>
      <c r="B16" s="143">
        <v>0</v>
      </c>
      <c r="C16" s="143">
        <v>0</v>
      </c>
      <c r="D16" s="143">
        <v>0</v>
      </c>
      <c r="E16" s="143">
        <v>0</v>
      </c>
      <c r="F16" s="143">
        <v>12</v>
      </c>
      <c r="G16" s="143">
        <v>17</v>
      </c>
      <c r="H16" s="143">
        <v>74</v>
      </c>
      <c r="I16" s="143">
        <v>11</v>
      </c>
      <c r="J16" s="143">
        <v>40</v>
      </c>
      <c r="K16" s="143">
        <v>40</v>
      </c>
      <c r="L16" s="143">
        <v>40</v>
      </c>
      <c r="M16" s="143">
        <v>40</v>
      </c>
      <c r="N16" s="143">
        <v>59</v>
      </c>
      <c r="O16" s="143">
        <v>104</v>
      </c>
      <c r="P16" s="143">
        <v>111.7</v>
      </c>
      <c r="Q16" s="143">
        <v>63.5</v>
      </c>
      <c r="R16" s="143">
        <v>0</v>
      </c>
      <c r="S16" s="143">
        <v>0</v>
      </c>
      <c r="T16" s="143">
        <v>5.4</v>
      </c>
      <c r="U16" s="143">
        <v>47.6</v>
      </c>
      <c r="V16" s="143">
        <v>64.8</v>
      </c>
      <c r="W16" s="143">
        <v>1389.6</v>
      </c>
      <c r="X16" s="143">
        <v>147.80000000000001</v>
      </c>
      <c r="Y16" s="143">
        <v>171.1</v>
      </c>
      <c r="Z16" s="143">
        <v>191</v>
      </c>
      <c r="AA16" s="143">
        <v>110.8</v>
      </c>
      <c r="AB16" s="143">
        <v>168.17764031279995</v>
      </c>
      <c r="AC16" s="143">
        <v>120.69</v>
      </c>
      <c r="AD16" s="143">
        <v>274.94753118857147</v>
      </c>
      <c r="AE16" s="143">
        <v>240.31142110419358</v>
      </c>
      <c r="AF16" s="143">
        <v>310.06640616322585</v>
      </c>
      <c r="AG16" s="143">
        <v>70.690476160000003</v>
      </c>
      <c r="AH16" s="143">
        <v>38.450000000000003</v>
      </c>
      <c r="AI16" s="143">
        <v>85.804000000000002</v>
      </c>
      <c r="AJ16" s="143">
        <v>196.15177862000002</v>
      </c>
      <c r="AK16" s="143">
        <v>67.48132308645161</v>
      </c>
      <c r="AL16" s="143">
        <v>50.291036205161291</v>
      </c>
      <c r="AM16" s="143">
        <v>-20.536000000000001</v>
      </c>
      <c r="AN16" s="148">
        <v>24.260660996129033</v>
      </c>
      <c r="AO16" s="142" t="s">
        <v>445</v>
      </c>
    </row>
    <row r="17" spans="1:45" s="142" customFormat="1" ht="13.5">
      <c r="A17" s="142" t="s">
        <v>398</v>
      </c>
      <c r="B17" s="143">
        <v>0</v>
      </c>
      <c r="C17" s="143">
        <v>3</v>
      </c>
      <c r="D17" s="143">
        <v>14</v>
      </c>
      <c r="E17" s="143">
        <v>1</v>
      </c>
      <c r="F17" s="143">
        <v>8</v>
      </c>
      <c r="G17" s="143">
        <v>27</v>
      </c>
      <c r="H17" s="143">
        <v>19</v>
      </c>
      <c r="I17" s="143">
        <v>9</v>
      </c>
      <c r="J17" s="143">
        <v>10</v>
      </c>
      <c r="K17" s="143">
        <v>15</v>
      </c>
      <c r="L17" s="143">
        <v>15</v>
      </c>
      <c r="M17" s="143">
        <v>15</v>
      </c>
      <c r="N17" s="143">
        <v>23</v>
      </c>
      <c r="O17" s="143">
        <v>45</v>
      </c>
      <c r="P17" s="143">
        <v>62</v>
      </c>
      <c r="Q17" s="143">
        <v>7.1</v>
      </c>
      <c r="R17" s="143">
        <v>81.7</v>
      </c>
      <c r="S17" s="143">
        <v>107.8</v>
      </c>
      <c r="T17" s="143">
        <v>116.5</v>
      </c>
      <c r="U17" s="143">
        <v>197.8</v>
      </c>
      <c r="V17" s="143">
        <v>193.1</v>
      </c>
      <c r="W17" s="143">
        <v>115.9</v>
      </c>
      <c r="X17" s="143">
        <v>12.6</v>
      </c>
      <c r="Y17" s="143">
        <v>79.2</v>
      </c>
      <c r="Z17" s="143">
        <v>21.7</v>
      </c>
      <c r="AA17" s="143">
        <v>182.1</v>
      </c>
      <c r="AB17" s="143">
        <v>397.43809968000011</v>
      </c>
      <c r="AC17" s="143">
        <v>282.625</v>
      </c>
      <c r="AD17" s="143">
        <v>273.51942685714278</v>
      </c>
      <c r="AE17" s="143">
        <v>142.81399999999999</v>
      </c>
      <c r="AF17" s="143">
        <v>99.430963576774104</v>
      </c>
      <c r="AG17" s="143">
        <v>156.68200350000001</v>
      </c>
      <c r="AH17" s="143">
        <v>152.19999999999999</v>
      </c>
      <c r="AI17" s="143">
        <v>135.50800000000001</v>
      </c>
      <c r="AJ17" s="143">
        <v>122.74434447903229</v>
      </c>
      <c r="AK17" s="143">
        <v>195.79544710838707</v>
      </c>
      <c r="AL17" s="143">
        <v>76.641885441290313</v>
      </c>
      <c r="AM17" s="143">
        <v>9.6</v>
      </c>
      <c r="AN17" s="148">
        <v>2.9</v>
      </c>
      <c r="AO17" s="142" t="s">
        <v>445</v>
      </c>
    </row>
    <row r="18" spans="1:45" s="142" customFormat="1" ht="13.5">
      <c r="A18" s="142" t="s">
        <v>399</v>
      </c>
      <c r="B18" s="143">
        <v>15</v>
      </c>
      <c r="C18" s="143">
        <v>6.1</v>
      </c>
      <c r="D18" s="143">
        <v>11.5</v>
      </c>
      <c r="E18" s="143">
        <v>14.2</v>
      </c>
      <c r="F18" s="143">
        <v>16</v>
      </c>
      <c r="G18" s="143">
        <v>19.899999999999999</v>
      </c>
      <c r="H18" s="143">
        <v>23.7</v>
      </c>
      <c r="I18" s="143">
        <v>29.7</v>
      </c>
      <c r="J18" s="143">
        <v>19</v>
      </c>
      <c r="K18" s="143">
        <v>23.6</v>
      </c>
      <c r="L18" s="143">
        <v>23.4</v>
      </c>
      <c r="M18" s="143">
        <v>24.3</v>
      </c>
      <c r="N18" s="143">
        <v>28.4</v>
      </c>
      <c r="O18" s="143">
        <v>30.5</v>
      </c>
      <c r="P18" s="143">
        <v>34.9</v>
      </c>
      <c r="Q18" s="143">
        <v>36.1</v>
      </c>
      <c r="R18" s="143">
        <v>35.4</v>
      </c>
      <c r="S18" s="143">
        <v>35.900000000000006</v>
      </c>
      <c r="T18" s="143">
        <v>36.380000000000003</v>
      </c>
      <c r="U18" s="143">
        <v>38.9</v>
      </c>
      <c r="V18" s="143">
        <v>37.6</v>
      </c>
      <c r="W18" s="143">
        <v>42.5</v>
      </c>
      <c r="X18" s="143">
        <v>50.910000000000004</v>
      </c>
      <c r="Y18" s="143">
        <v>52.555</v>
      </c>
      <c r="Z18" s="143">
        <v>57.199999999999996</v>
      </c>
      <c r="AA18" s="143">
        <v>57.92</v>
      </c>
      <c r="AB18" s="143">
        <v>60.650000000000006</v>
      </c>
      <c r="AC18" s="143">
        <v>60.265000000000001</v>
      </c>
      <c r="AD18" s="143">
        <v>62.222499999999997</v>
      </c>
      <c r="AE18" s="143">
        <v>64.27</v>
      </c>
      <c r="AF18" s="143">
        <v>69.700987359999999</v>
      </c>
      <c r="AG18" s="143">
        <v>74.265100779999997</v>
      </c>
      <c r="AH18" s="143">
        <v>73.010000000000005</v>
      </c>
      <c r="AI18" s="143">
        <v>78.5</v>
      </c>
      <c r="AJ18" s="143">
        <v>90.3</v>
      </c>
      <c r="AK18" s="143">
        <v>84.865485499999991</v>
      </c>
      <c r="AL18" s="143">
        <v>88.185348320000003</v>
      </c>
      <c r="AM18" s="143">
        <v>85.222800195000005</v>
      </c>
      <c r="AN18" s="148">
        <v>89.876589085000006</v>
      </c>
      <c r="AO18" s="142" t="s">
        <v>445</v>
      </c>
    </row>
    <row r="19" spans="1:45" s="142" customFormat="1" ht="13.5">
      <c r="A19" s="142" t="s">
        <v>400</v>
      </c>
      <c r="B19" s="143">
        <v>2.2999999999999998</v>
      </c>
      <c r="C19" s="148">
        <v>2.2999999999999998</v>
      </c>
      <c r="D19" s="148">
        <v>4.5999999999999996</v>
      </c>
      <c r="E19" s="148">
        <v>9.1</v>
      </c>
      <c r="F19" s="148">
        <v>19.600000000000001</v>
      </c>
      <c r="G19" s="148">
        <v>15.9</v>
      </c>
      <c r="H19" s="148">
        <v>19.600000000000001</v>
      </c>
      <c r="I19" s="148">
        <v>22.2</v>
      </c>
      <c r="J19" s="148">
        <v>18.8</v>
      </c>
      <c r="K19" s="148">
        <v>23</v>
      </c>
      <c r="L19" s="148">
        <v>32.799999999999997</v>
      </c>
      <c r="M19" s="148">
        <v>33</v>
      </c>
      <c r="N19" s="148">
        <v>67</v>
      </c>
      <c r="O19" s="148">
        <v>49.6</v>
      </c>
      <c r="P19" s="148">
        <v>55.9</v>
      </c>
      <c r="Q19" s="148">
        <v>71.400000000000006</v>
      </c>
      <c r="R19" s="148">
        <v>68.5</v>
      </c>
      <c r="S19" s="148">
        <v>82.2</v>
      </c>
      <c r="T19" s="148">
        <v>104.9</v>
      </c>
      <c r="U19" s="148">
        <v>108.2</v>
      </c>
      <c r="V19" s="148">
        <v>108.2</v>
      </c>
      <c r="W19" s="148">
        <v>101.1</v>
      </c>
      <c r="X19" s="148">
        <v>137.1</v>
      </c>
      <c r="Y19" s="148">
        <v>140.69999999999999</v>
      </c>
      <c r="Z19" s="148">
        <v>137.9</v>
      </c>
      <c r="AA19" s="148">
        <v>135.80000000000001</v>
      </c>
      <c r="AB19" s="148">
        <v>137.9</v>
      </c>
      <c r="AC19" s="148">
        <v>139.482</v>
      </c>
      <c r="AD19" s="148">
        <v>148.89743393999996</v>
      </c>
      <c r="AE19" s="148">
        <v>177.85944282999998</v>
      </c>
      <c r="AF19" s="148">
        <v>199.58221303000002</v>
      </c>
      <c r="AG19" s="148">
        <v>221.05362423999992</v>
      </c>
      <c r="AH19" s="148">
        <v>248.93</v>
      </c>
      <c r="AI19" s="148">
        <v>239</v>
      </c>
      <c r="AJ19" s="148">
        <v>231.80148199999996</v>
      </c>
      <c r="AK19" s="148">
        <v>258.17721182999998</v>
      </c>
      <c r="AL19" s="148">
        <v>258.14218992999997</v>
      </c>
      <c r="AM19" s="148">
        <v>254.70420748999999</v>
      </c>
      <c r="AN19" s="148">
        <v>258.70465134000005</v>
      </c>
      <c r="AO19" s="142" t="s">
        <v>445</v>
      </c>
    </row>
    <row r="20" spans="1:45" s="142" customFormat="1" ht="13.5">
      <c r="A20" s="142" t="s">
        <v>401</v>
      </c>
      <c r="B20" s="148">
        <v>24</v>
      </c>
      <c r="C20" s="148">
        <v>8.8000000000000007</v>
      </c>
      <c r="D20" s="148">
        <v>12.399999999999999</v>
      </c>
      <c r="E20" s="148">
        <v>15.899999999999999</v>
      </c>
      <c r="F20" s="148">
        <v>16.599999999999998</v>
      </c>
      <c r="G20" s="148">
        <v>19.7</v>
      </c>
      <c r="H20" s="148">
        <v>22.1</v>
      </c>
      <c r="I20" s="148">
        <v>28.5</v>
      </c>
      <c r="J20" s="148">
        <v>31</v>
      </c>
      <c r="K20" s="148">
        <v>31.9</v>
      </c>
      <c r="L20" s="148">
        <v>34.299999999999997</v>
      </c>
      <c r="M20" s="148">
        <v>38.199999999999996</v>
      </c>
      <c r="N20" s="148">
        <v>41.9</v>
      </c>
      <c r="O20" s="148">
        <v>53.6</v>
      </c>
      <c r="P20" s="148">
        <v>61.3</v>
      </c>
      <c r="Q20" s="148">
        <v>63.599999999999994</v>
      </c>
      <c r="R20" s="148">
        <v>73.100000000000009</v>
      </c>
      <c r="S20" s="148">
        <v>76.3</v>
      </c>
      <c r="T20" s="148">
        <v>74.099999999999994</v>
      </c>
      <c r="U20" s="148">
        <v>76.100000000000009</v>
      </c>
      <c r="V20" s="148">
        <v>76.3</v>
      </c>
      <c r="W20" s="148">
        <v>78.2</v>
      </c>
      <c r="X20" s="148">
        <v>78.2</v>
      </c>
      <c r="Y20" s="148">
        <v>80.5</v>
      </c>
      <c r="Z20" s="148">
        <v>85.399999999999991</v>
      </c>
      <c r="AA20" s="148">
        <v>89.7</v>
      </c>
      <c r="AB20" s="148">
        <v>87.5</v>
      </c>
      <c r="AC20" s="148">
        <v>112.91000000000001</v>
      </c>
      <c r="AD20" s="148">
        <v>116.20000000000002</v>
      </c>
      <c r="AE20" s="148">
        <v>120.00000000000001</v>
      </c>
      <c r="AF20" s="148">
        <v>123.51611021450958</v>
      </c>
      <c r="AG20" s="148">
        <v>127.17258184466625</v>
      </c>
      <c r="AH20" s="148">
        <v>131.5</v>
      </c>
      <c r="AI20" s="148">
        <v>143.4</v>
      </c>
      <c r="AJ20" s="148">
        <v>141.30000000000001</v>
      </c>
      <c r="AK20" s="148">
        <v>150.57877929307099</v>
      </c>
      <c r="AL20" s="148">
        <v>148.21698713480282</v>
      </c>
      <c r="AM20" s="148">
        <v>121.37748259878786</v>
      </c>
      <c r="AN20" s="148">
        <v>105.07309869729694</v>
      </c>
      <c r="AO20" s="142" t="s">
        <v>445</v>
      </c>
    </row>
    <row r="21" spans="1:45" s="142" customFormat="1" ht="13.5">
      <c r="A21" s="142" t="s">
        <v>447</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row>
    <row r="22" spans="1:45" s="142" customFormat="1" ht="13.5">
      <c r="A22" s="259" t="s">
        <v>448</v>
      </c>
      <c r="B22" s="143">
        <v>30</v>
      </c>
      <c r="C22" s="143">
        <v>17.899999999999999</v>
      </c>
      <c r="D22" s="143">
        <v>61.7</v>
      </c>
      <c r="E22" s="143">
        <v>55.1</v>
      </c>
      <c r="F22" s="143">
        <v>9</v>
      </c>
      <c r="G22" s="143">
        <v>56.599999999999994</v>
      </c>
      <c r="H22" s="143">
        <v>17.100000000000001</v>
      </c>
      <c r="I22" s="143">
        <v>83.3</v>
      </c>
      <c r="J22" s="143">
        <v>15.3</v>
      </c>
      <c r="K22" s="143">
        <v>13.600000000000001</v>
      </c>
      <c r="L22" s="143">
        <v>20.7</v>
      </c>
      <c r="M22" s="143">
        <v>21.7</v>
      </c>
      <c r="N22" s="143">
        <v>12.1</v>
      </c>
      <c r="O22" s="143">
        <v>103.1</v>
      </c>
      <c r="P22" s="143">
        <v>59.9</v>
      </c>
      <c r="Q22" s="143">
        <v>71.8</v>
      </c>
      <c r="R22" s="143">
        <v>71.099999999999994</v>
      </c>
      <c r="S22" s="143">
        <v>-14.5</v>
      </c>
      <c r="T22" s="143">
        <v>22</v>
      </c>
      <c r="U22" s="143">
        <v>28.799999999999997</v>
      </c>
      <c r="V22" s="143">
        <v>60.9</v>
      </c>
      <c r="W22" s="143">
        <v>22.7</v>
      </c>
      <c r="X22" s="143">
        <v>14.9</v>
      </c>
      <c r="Y22" s="143">
        <v>80</v>
      </c>
      <c r="Z22" s="143">
        <v>84.4</v>
      </c>
      <c r="AA22" s="143">
        <v>66</v>
      </c>
      <c r="AB22" s="143">
        <v>396.3</v>
      </c>
      <c r="AC22" s="143">
        <v>96.605999999999995</v>
      </c>
      <c r="AD22" s="143">
        <v>64.171313069999997</v>
      </c>
      <c r="AE22" s="143">
        <v>163.71146123</v>
      </c>
      <c r="AF22" s="143">
        <v>97.616092509999987</v>
      </c>
      <c r="AG22" s="143">
        <v>193.93786518999997</v>
      </c>
      <c r="AH22" s="143">
        <v>172.330297</v>
      </c>
      <c r="AI22" s="143">
        <v>155.69</v>
      </c>
      <c r="AJ22" s="143">
        <v>139.15334831999999</v>
      </c>
      <c r="AK22" s="143">
        <v>104.12590900000001</v>
      </c>
      <c r="AL22" s="143">
        <v>51.372593500000008</v>
      </c>
      <c r="AM22" s="143">
        <v>65.633908539999993</v>
      </c>
      <c r="AN22" s="143">
        <v>83.216698000000008</v>
      </c>
    </row>
    <row r="23" spans="1:45" s="142" customFormat="1" ht="13.5">
      <c r="A23" s="142" t="s">
        <v>449</v>
      </c>
      <c r="B23" s="148">
        <v>0</v>
      </c>
      <c r="C23" s="148">
        <v>0</v>
      </c>
      <c r="D23" s="148">
        <v>0</v>
      </c>
      <c r="E23" s="148">
        <v>0</v>
      </c>
      <c r="F23" s="148">
        <v>0</v>
      </c>
      <c r="G23" s="148">
        <v>0</v>
      </c>
      <c r="H23" s="148">
        <v>0</v>
      </c>
      <c r="I23" s="148">
        <v>0</v>
      </c>
      <c r="J23" s="148">
        <v>0</v>
      </c>
      <c r="K23" s="148">
        <v>0</v>
      </c>
      <c r="L23" s="148">
        <v>0</v>
      </c>
      <c r="M23" s="148">
        <v>0</v>
      </c>
      <c r="N23" s="148">
        <v>0</v>
      </c>
      <c r="O23" s="148">
        <v>0</v>
      </c>
      <c r="P23" s="148">
        <v>0</v>
      </c>
      <c r="Q23" s="148">
        <v>-45.2</v>
      </c>
      <c r="R23" s="148">
        <v>-25.5</v>
      </c>
      <c r="S23" s="148">
        <v>-29.7</v>
      </c>
      <c r="T23" s="148">
        <v>-35.700000000000003</v>
      </c>
      <c r="U23" s="148">
        <v>-46</v>
      </c>
      <c r="V23" s="148">
        <v>-50.4</v>
      </c>
      <c r="W23" s="148">
        <v>-583.1</v>
      </c>
      <c r="X23" s="148">
        <v>-66.400000000000006</v>
      </c>
      <c r="Y23" s="148">
        <v>-152.30000000000001</v>
      </c>
      <c r="Z23" s="148">
        <v>-77</v>
      </c>
      <c r="AA23" s="148">
        <v>-57.7</v>
      </c>
      <c r="AB23" s="148">
        <v>-76.352833301624401</v>
      </c>
      <c r="AC23" s="148">
        <v>-66.099999999999994</v>
      </c>
      <c r="AD23" s="148">
        <v>-100.50973003828143</v>
      </c>
      <c r="AE23" s="148">
        <v>-99.498658511615204</v>
      </c>
      <c r="AF23" s="148">
        <v>-122.842830841389</v>
      </c>
      <c r="AG23" s="148">
        <v>-85.34922832657</v>
      </c>
      <c r="AH23" s="148">
        <v>-76.981896231000007</v>
      </c>
      <c r="AI23" s="148">
        <v>-84.094192000000007</v>
      </c>
      <c r="AJ23" s="148">
        <v>-103.85257379362</v>
      </c>
      <c r="AK23" s="148">
        <v>-77.718258299588697</v>
      </c>
      <c r="AL23" s="148">
        <v>-72.627647443790963</v>
      </c>
      <c r="AM23" s="148">
        <v>-53.72833313836</v>
      </c>
      <c r="AN23" s="148">
        <v>-70.099999999999994</v>
      </c>
    </row>
    <row r="24" spans="1:45" s="142" customFormat="1" ht="13.5">
      <c r="AJ24" s="147"/>
      <c r="AK24" s="147"/>
    </row>
    <row r="25" spans="1:45">
      <c r="AG25" s="226" t="s">
        <v>403</v>
      </c>
    </row>
    <row r="26" spans="1:45">
      <c r="AG26" s="144" t="str">
        <f>"Total: "&amp;TEXT(AN9,"$#,0.0,")&amp;" billion does not reflect $"&amp;TEXT(AN12,"#0.00,")&amp;" billion in obligations to capital projects or $"&amp;TEXT(ABS(AN13),"#0.00,")&amp;" billion in credits"</f>
        <v>Total: $16.8 billion does not reflect $2.87 billion in obligations to capital projects or $2.26 billion in credits</v>
      </c>
      <c r="AS26" s="144" t="s">
        <v>402</v>
      </c>
    </row>
    <row r="32" spans="1:45" ht="15">
      <c r="AQ32" s="232" t="s">
        <v>406</v>
      </c>
    </row>
    <row r="33" spans="43:43" ht="15">
      <c r="AQ33" s="232" t="s">
        <v>404</v>
      </c>
    </row>
    <row r="34" spans="43:43" ht="15">
      <c r="AQ34" s="232" t="s">
        <v>405</v>
      </c>
    </row>
    <row r="52" spans="33:33" ht="15">
      <c r="AG52" s="233" t="s">
        <v>396</v>
      </c>
    </row>
  </sheetData>
  <pageMargins left="0.75" right="0.75" top="1" bottom="1"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7"/>
  <sheetViews>
    <sheetView topLeftCell="A19" zoomScale="115" zoomScaleNormal="115" workbookViewId="0">
      <selection activeCell="A34" sqref="A34:L34"/>
    </sheetView>
  </sheetViews>
  <sheetFormatPr defaultRowHeight="11.25"/>
  <cols>
    <col min="1" max="1" width="22.140625" style="2" customWidth="1"/>
    <col min="2" max="9" width="15.42578125" style="1" customWidth="1"/>
    <col min="10" max="10" width="15.85546875" style="1" customWidth="1"/>
    <col min="11" max="11" width="11.5703125" style="1" bestFit="1" customWidth="1"/>
    <col min="12" max="16384" width="9.140625" style="1"/>
  </cols>
  <sheetData>
    <row r="1" spans="1:13" ht="33" customHeight="1">
      <c r="A1" s="284" t="s">
        <v>227</v>
      </c>
      <c r="B1" s="284"/>
      <c r="C1" s="284"/>
      <c r="D1" s="284"/>
      <c r="E1" s="284"/>
      <c r="F1" s="284"/>
      <c r="G1" s="284"/>
      <c r="H1" s="284"/>
      <c r="I1" s="284"/>
      <c r="J1" s="284"/>
    </row>
    <row r="2" spans="1:13" ht="20.25" customHeight="1">
      <c r="A2" s="236" t="s">
        <v>418</v>
      </c>
      <c r="B2" s="211"/>
      <c r="C2" s="211"/>
      <c r="D2" s="211"/>
      <c r="E2" s="211"/>
      <c r="F2" s="211"/>
      <c r="G2" s="211"/>
      <c r="H2" s="211"/>
      <c r="I2" s="211"/>
      <c r="J2" s="211"/>
    </row>
    <row r="3" spans="1:13" ht="24" customHeight="1">
      <c r="A3" s="13" t="s">
        <v>11</v>
      </c>
      <c r="B3" s="45">
        <v>2011</v>
      </c>
      <c r="C3" s="45">
        <v>2012</v>
      </c>
      <c r="D3" s="45">
        <v>2013</v>
      </c>
      <c r="E3" s="45">
        <v>2014</v>
      </c>
      <c r="F3" s="45">
        <v>2015</v>
      </c>
      <c r="G3" s="45" t="s">
        <v>272</v>
      </c>
      <c r="H3" s="45">
        <v>2017</v>
      </c>
      <c r="I3" s="45">
        <v>2018</v>
      </c>
      <c r="J3" s="234" t="s">
        <v>422</v>
      </c>
      <c r="K3" s="12"/>
      <c r="L3" s="12"/>
      <c r="M3" s="11"/>
    </row>
    <row r="4" spans="1:13" ht="17.25">
      <c r="A4" s="9" t="s">
        <v>10</v>
      </c>
      <c r="B4" s="46"/>
      <c r="C4" s="46"/>
      <c r="D4" s="46"/>
      <c r="E4" s="46"/>
      <c r="F4" s="46"/>
      <c r="G4" s="46"/>
      <c r="H4" s="46"/>
      <c r="I4" s="46"/>
      <c r="J4" s="6"/>
      <c r="K4" s="6"/>
      <c r="L4" s="6"/>
    </row>
    <row r="5" spans="1:13" ht="17.25">
      <c r="A5" s="10" t="s">
        <v>8</v>
      </c>
      <c r="B5" s="151">
        <v>152268151.75</v>
      </c>
      <c r="C5" s="151">
        <v>172625716.75</v>
      </c>
      <c r="D5" s="151">
        <v>162598812.96000001</v>
      </c>
      <c r="E5" s="152">
        <v>160287940</v>
      </c>
      <c r="F5" s="151">
        <v>181979402</v>
      </c>
      <c r="G5" s="152">
        <v>187114842</v>
      </c>
      <c r="H5" s="152">
        <v>175006231</v>
      </c>
      <c r="I5" s="152">
        <v>170903378</v>
      </c>
      <c r="J5" s="6"/>
      <c r="K5" s="6"/>
      <c r="L5" s="6"/>
    </row>
    <row r="6" spans="1:13" ht="17.25">
      <c r="A6" s="10" t="s">
        <v>7</v>
      </c>
      <c r="B6" s="151">
        <v>38469679.740000002</v>
      </c>
      <c r="C6" s="151">
        <v>41986003.759999998</v>
      </c>
      <c r="D6" s="151">
        <v>39747604.240000002</v>
      </c>
      <c r="E6" s="152">
        <v>34671529</v>
      </c>
      <c r="F6" s="151">
        <v>36131999</v>
      </c>
      <c r="G6" s="152">
        <v>43312217</v>
      </c>
      <c r="H6" s="152">
        <v>41693701</v>
      </c>
      <c r="I6" s="152">
        <v>41448068</v>
      </c>
      <c r="J6" s="6"/>
      <c r="K6" s="6"/>
      <c r="L6" s="6"/>
    </row>
    <row r="7" spans="1:13" ht="17.25">
      <c r="A7" s="10" t="s">
        <v>6</v>
      </c>
      <c r="B7" s="151">
        <v>12032226</v>
      </c>
      <c r="C7" s="151">
        <v>13214569.75</v>
      </c>
      <c r="D7" s="151">
        <v>11401470.98</v>
      </c>
      <c r="E7" s="152">
        <v>11970486</v>
      </c>
      <c r="F7" s="151">
        <v>16630031</v>
      </c>
      <c r="G7" s="152">
        <v>14095153</v>
      </c>
      <c r="H7" s="152">
        <v>12472078</v>
      </c>
      <c r="I7" s="152">
        <v>12630675</v>
      </c>
      <c r="J7" s="6"/>
      <c r="K7" s="6"/>
      <c r="L7" s="6"/>
    </row>
    <row r="8" spans="1:13" ht="17.25">
      <c r="A8" s="10" t="s">
        <v>5</v>
      </c>
      <c r="B8" s="151">
        <v>18278218</v>
      </c>
      <c r="C8" s="151">
        <v>21130595.140000001</v>
      </c>
      <c r="D8" s="151">
        <v>25235638.289999999</v>
      </c>
      <c r="E8" s="152">
        <v>24850807</v>
      </c>
      <c r="F8" s="151">
        <v>23435779.190000001</v>
      </c>
      <c r="G8" s="152">
        <v>13619977.65</v>
      </c>
      <c r="H8" s="152">
        <v>25383607</v>
      </c>
      <c r="I8" s="152">
        <v>23049232</v>
      </c>
      <c r="J8" s="6"/>
      <c r="K8" s="6"/>
      <c r="L8" s="6"/>
    </row>
    <row r="9" spans="1:13" ht="17.25">
      <c r="A9" s="10" t="s">
        <v>431</v>
      </c>
      <c r="B9" s="151"/>
      <c r="C9" s="151"/>
      <c r="D9" s="151"/>
      <c r="E9" s="152"/>
      <c r="F9" s="151"/>
      <c r="G9" s="152"/>
      <c r="H9" s="152"/>
      <c r="I9" s="152">
        <v>10367580</v>
      </c>
      <c r="J9" s="6"/>
      <c r="K9" s="6"/>
      <c r="L9" s="6"/>
    </row>
    <row r="10" spans="1:13" ht="17.25">
      <c r="A10" s="10" t="s">
        <v>432</v>
      </c>
      <c r="B10" s="151"/>
      <c r="C10" s="151"/>
      <c r="D10" s="151"/>
      <c r="E10" s="152"/>
      <c r="F10" s="151"/>
      <c r="G10" s="152"/>
      <c r="H10" s="152"/>
      <c r="I10" s="152">
        <v>304457</v>
      </c>
      <c r="J10" s="6"/>
      <c r="K10" s="6"/>
      <c r="L10" s="6"/>
    </row>
    <row r="11" spans="1:13" ht="17.25">
      <c r="A11" s="9" t="s">
        <v>9</v>
      </c>
      <c r="B11" s="46"/>
      <c r="C11" s="46"/>
      <c r="D11" s="46"/>
      <c r="E11" s="46"/>
      <c r="F11" s="46"/>
      <c r="G11" s="46"/>
      <c r="H11" s="46"/>
      <c r="I11" s="46"/>
      <c r="J11" s="6"/>
      <c r="K11" s="6"/>
      <c r="L11" s="6"/>
    </row>
    <row r="12" spans="1:13" ht="17.25">
      <c r="A12" s="8" t="s">
        <v>8</v>
      </c>
      <c r="B12" s="151">
        <v>56777878.75</v>
      </c>
      <c r="C12" s="151">
        <v>33006552</v>
      </c>
      <c r="D12" s="151">
        <v>32488550.530000001</v>
      </c>
      <c r="E12" s="152">
        <v>6079913</v>
      </c>
      <c r="F12" s="151">
        <v>10173686</v>
      </c>
      <c r="G12" s="152">
        <v>4896855</v>
      </c>
      <c r="H12" s="152">
        <v>122159</v>
      </c>
      <c r="I12" s="152">
        <v>5368928</v>
      </c>
      <c r="J12" s="6"/>
      <c r="K12" s="6"/>
      <c r="L12" s="6"/>
    </row>
    <row r="13" spans="1:13" ht="17.25">
      <c r="A13" s="8" t="s">
        <v>7</v>
      </c>
      <c r="B13" s="151">
        <v>20472137.739999998</v>
      </c>
      <c r="C13" s="151">
        <v>11692569</v>
      </c>
      <c r="D13" s="151">
        <v>8440507.1400000006</v>
      </c>
      <c r="E13" s="152">
        <v>16958535</v>
      </c>
      <c r="F13" s="151">
        <v>2603188</v>
      </c>
      <c r="G13" s="152">
        <v>2164485</v>
      </c>
      <c r="H13" s="152">
        <v>241080</v>
      </c>
      <c r="I13" s="152">
        <v>13564447</v>
      </c>
      <c r="J13" s="6"/>
      <c r="K13" s="6"/>
      <c r="L13" s="6"/>
    </row>
    <row r="14" spans="1:13" ht="17.25">
      <c r="A14" s="8" t="s">
        <v>6</v>
      </c>
      <c r="B14" s="151">
        <v>18676436.75</v>
      </c>
      <c r="C14" s="151">
        <v>15853187</v>
      </c>
      <c r="D14" s="151">
        <v>10813833.08</v>
      </c>
      <c r="E14" s="152">
        <v>14438818</v>
      </c>
      <c r="F14" s="151">
        <v>9789350</v>
      </c>
      <c r="G14" s="152">
        <v>8973342</v>
      </c>
      <c r="H14" s="152">
        <v>5038680</v>
      </c>
      <c r="I14" s="152">
        <v>11735362</v>
      </c>
      <c r="K14" s="6"/>
      <c r="L14" s="6"/>
    </row>
    <row r="15" spans="1:13" ht="17.25" customHeight="1">
      <c r="A15" s="8" t="s">
        <v>224</v>
      </c>
      <c r="B15" s="151">
        <v>-101012.25</v>
      </c>
      <c r="C15" s="151">
        <v>42215.48</v>
      </c>
      <c r="D15" s="151">
        <v>375475.23</v>
      </c>
      <c r="E15" s="152">
        <v>-123917.97</v>
      </c>
      <c r="F15" s="152">
        <v>-1192886.3999999999</v>
      </c>
      <c r="G15" s="152">
        <v>-4698.03</v>
      </c>
      <c r="H15" s="152">
        <v>0</v>
      </c>
      <c r="I15" s="152">
        <v>0</v>
      </c>
      <c r="J15" s="242" t="s">
        <v>421</v>
      </c>
      <c r="K15" s="6"/>
      <c r="L15" s="6"/>
    </row>
    <row r="16" spans="1:13" ht="17.25">
      <c r="A16" s="8" t="s">
        <v>4</v>
      </c>
      <c r="B16" s="151">
        <v>-5658821</v>
      </c>
      <c r="C16" s="151">
        <v>-3141637</v>
      </c>
      <c r="D16" s="151"/>
      <c r="E16" s="151"/>
      <c r="F16" s="152"/>
      <c r="G16" s="151"/>
      <c r="H16" s="151"/>
      <c r="I16" s="151"/>
      <c r="J16" s="243">
        <f>SUM(I12:I16)</f>
        <v>30668737</v>
      </c>
      <c r="K16" s="6"/>
      <c r="L16" s="6"/>
    </row>
    <row r="17" spans="1:13" ht="15">
      <c r="A17" s="5" t="s">
        <v>3</v>
      </c>
      <c r="B17" s="48">
        <f t="shared" ref="B17:I17" si="0">SUM(B4:B16)</f>
        <v>311214895.48000002</v>
      </c>
      <c r="C17" s="48">
        <f t="shared" si="0"/>
        <v>306409771.88</v>
      </c>
      <c r="D17" s="48">
        <f t="shared" si="0"/>
        <v>291101892.44999999</v>
      </c>
      <c r="E17" s="48">
        <f t="shared" si="0"/>
        <v>269134110.02999997</v>
      </c>
      <c r="F17" s="48">
        <f t="shared" si="0"/>
        <v>279550548.79000002</v>
      </c>
      <c r="G17" s="48">
        <f t="shared" si="0"/>
        <v>274172173.62</v>
      </c>
      <c r="H17" s="48">
        <f t="shared" si="0"/>
        <v>259957536</v>
      </c>
      <c r="I17" s="48">
        <f t="shared" si="0"/>
        <v>289372127</v>
      </c>
      <c r="J17" s="6"/>
      <c r="K17" s="6"/>
      <c r="L17" s="6"/>
    </row>
    <row r="18" spans="1:13" ht="17.25">
      <c r="A18" s="4"/>
      <c r="B18" s="3"/>
      <c r="C18" s="3"/>
      <c r="D18" s="3"/>
      <c r="E18" s="3"/>
      <c r="F18" s="3"/>
      <c r="G18" s="3"/>
    </row>
    <row r="19" spans="1:13" ht="17.25">
      <c r="A19" s="235" t="s">
        <v>417</v>
      </c>
      <c r="B19" s="3"/>
      <c r="C19" s="3"/>
      <c r="D19" s="3"/>
      <c r="E19" s="3"/>
      <c r="F19" s="3"/>
      <c r="G19" s="3"/>
    </row>
    <row r="20" spans="1:13" ht="15">
      <c r="A20" s="13" t="s">
        <v>11</v>
      </c>
      <c r="B20" s="45">
        <f t="shared" ref="B20:I20" si="1">B3</f>
        <v>2011</v>
      </c>
      <c r="C20" s="45">
        <f t="shared" si="1"/>
        <v>2012</v>
      </c>
      <c r="D20" s="45">
        <f t="shared" si="1"/>
        <v>2013</v>
      </c>
      <c r="E20" s="45">
        <f t="shared" si="1"/>
        <v>2014</v>
      </c>
      <c r="F20" s="45">
        <f t="shared" si="1"/>
        <v>2015</v>
      </c>
      <c r="G20" s="45" t="str">
        <f t="shared" si="1"/>
        <v>2016 3</v>
      </c>
      <c r="H20" s="45">
        <f t="shared" si="1"/>
        <v>2017</v>
      </c>
      <c r="I20" s="45">
        <f t="shared" si="1"/>
        <v>2018</v>
      </c>
    </row>
    <row r="21" spans="1:13" ht="17.25">
      <c r="A21" s="8" t="s">
        <v>8</v>
      </c>
      <c r="B21" s="7">
        <f t="shared" ref="B21:I22" si="2">B5+B12</f>
        <v>209046030.5</v>
      </c>
      <c r="C21" s="7">
        <f t="shared" si="2"/>
        <v>205632268.75</v>
      </c>
      <c r="D21" s="7">
        <f t="shared" si="2"/>
        <v>195087363.49000001</v>
      </c>
      <c r="E21" s="7">
        <f t="shared" si="2"/>
        <v>166367853</v>
      </c>
      <c r="F21" s="7">
        <f t="shared" si="2"/>
        <v>192153088</v>
      </c>
      <c r="G21" s="7">
        <f t="shared" si="2"/>
        <v>192011697</v>
      </c>
      <c r="H21" s="7">
        <f t="shared" si="2"/>
        <v>175128390</v>
      </c>
      <c r="I21" s="7">
        <f t="shared" si="2"/>
        <v>176272306</v>
      </c>
    </row>
    <row r="22" spans="1:13" ht="17.25">
      <c r="A22" s="8" t="s">
        <v>7</v>
      </c>
      <c r="B22" s="7">
        <f t="shared" si="2"/>
        <v>58941817.480000004</v>
      </c>
      <c r="C22" s="7">
        <f t="shared" si="2"/>
        <v>53678572.759999998</v>
      </c>
      <c r="D22" s="7">
        <f t="shared" si="2"/>
        <v>48188111.380000003</v>
      </c>
      <c r="E22" s="7">
        <f t="shared" si="2"/>
        <v>51630064</v>
      </c>
      <c r="F22" s="7">
        <f t="shared" si="2"/>
        <v>38735187</v>
      </c>
      <c r="G22" s="7">
        <f t="shared" si="2"/>
        <v>45476702</v>
      </c>
      <c r="H22" s="7">
        <f t="shared" si="2"/>
        <v>41934781</v>
      </c>
      <c r="I22" s="7">
        <f t="shared" si="2"/>
        <v>55012515</v>
      </c>
    </row>
    <row r="23" spans="1:13" ht="17.25">
      <c r="A23" s="8" t="s">
        <v>6</v>
      </c>
      <c r="B23" s="7">
        <f t="shared" ref="B23:I23" si="3">B7+B14</f>
        <v>30708662.75</v>
      </c>
      <c r="C23" s="7">
        <f t="shared" si="3"/>
        <v>29067756.75</v>
      </c>
      <c r="D23" s="7">
        <f t="shared" si="3"/>
        <v>22215304.060000002</v>
      </c>
      <c r="E23" s="7">
        <f t="shared" si="3"/>
        <v>26409304</v>
      </c>
      <c r="F23" s="7">
        <f t="shared" si="3"/>
        <v>26419381</v>
      </c>
      <c r="G23" s="7">
        <f t="shared" si="3"/>
        <v>23068495</v>
      </c>
      <c r="H23" s="7">
        <f t="shared" ref="H23" si="4">H7+H14</f>
        <v>17510758</v>
      </c>
      <c r="I23" s="7">
        <f t="shared" si="3"/>
        <v>24366037</v>
      </c>
    </row>
    <row r="24" spans="1:13" ht="19.5">
      <c r="A24" s="8" t="s">
        <v>87</v>
      </c>
      <c r="B24" s="7">
        <f t="shared" ref="B24:I24" si="5">B8+B15</f>
        <v>18177205.75</v>
      </c>
      <c r="C24" s="7">
        <f t="shared" si="5"/>
        <v>21172810.620000001</v>
      </c>
      <c r="D24" s="7">
        <f t="shared" si="5"/>
        <v>25611113.52</v>
      </c>
      <c r="E24" s="7">
        <f t="shared" si="5"/>
        <v>24726889.030000001</v>
      </c>
      <c r="F24" s="7">
        <f t="shared" si="5"/>
        <v>22242892.790000003</v>
      </c>
      <c r="G24" s="7">
        <f t="shared" si="5"/>
        <v>13615279.620000001</v>
      </c>
      <c r="H24" s="7">
        <f t="shared" ref="H24" si="6">H8+H15</f>
        <v>25383607</v>
      </c>
      <c r="I24" s="7">
        <f t="shared" si="5"/>
        <v>23049232</v>
      </c>
    </row>
    <row r="25" spans="1:13" ht="17.25">
      <c r="A25" s="8" t="s">
        <v>4</v>
      </c>
      <c r="B25" s="7">
        <f t="shared" ref="B25:I25" si="7">B16</f>
        <v>-5658821</v>
      </c>
      <c r="C25" s="7">
        <f t="shared" si="7"/>
        <v>-3141637</v>
      </c>
      <c r="D25" s="7">
        <f t="shared" si="7"/>
        <v>0</v>
      </c>
      <c r="E25" s="7">
        <f t="shared" si="7"/>
        <v>0</v>
      </c>
      <c r="F25" s="7">
        <f t="shared" si="7"/>
        <v>0</v>
      </c>
      <c r="G25" s="7">
        <f t="shared" si="7"/>
        <v>0</v>
      </c>
      <c r="H25" s="7">
        <f t="shared" ref="H25" si="8">H16</f>
        <v>0</v>
      </c>
      <c r="I25" s="7">
        <f t="shared" si="7"/>
        <v>0</v>
      </c>
    </row>
    <row r="26" spans="1:13" ht="17.25">
      <c r="A26" s="8" t="s">
        <v>444</v>
      </c>
      <c r="B26" s="7"/>
      <c r="C26" s="7"/>
      <c r="D26" s="7"/>
      <c r="E26" s="7"/>
      <c r="F26" s="7"/>
      <c r="G26" s="7"/>
      <c r="H26" s="7"/>
      <c r="I26" s="7">
        <f>I9+I10</f>
        <v>10672037</v>
      </c>
    </row>
    <row r="27" spans="1:13" ht="15">
      <c r="A27" s="5" t="s">
        <v>3</v>
      </c>
      <c r="B27" s="48">
        <f t="shared" ref="B27:I27" si="9">B17</f>
        <v>311214895.48000002</v>
      </c>
      <c r="C27" s="48">
        <f t="shared" si="9"/>
        <v>306409771.88</v>
      </c>
      <c r="D27" s="48">
        <f t="shared" si="9"/>
        <v>291101892.44999999</v>
      </c>
      <c r="E27" s="48">
        <f t="shared" si="9"/>
        <v>269134110.02999997</v>
      </c>
      <c r="F27" s="48">
        <f t="shared" si="9"/>
        <v>279550548.79000002</v>
      </c>
      <c r="G27" s="48">
        <f t="shared" si="9"/>
        <v>274172173.62</v>
      </c>
      <c r="H27" s="48">
        <f t="shared" ref="H27" si="10">H17</f>
        <v>259957536</v>
      </c>
      <c r="I27" s="48">
        <f t="shared" si="9"/>
        <v>289372127</v>
      </c>
    </row>
    <row r="28" spans="1:13" ht="17.25">
      <c r="A28" s="4"/>
      <c r="B28" s="3"/>
      <c r="C28" s="3"/>
      <c r="D28" s="3"/>
      <c r="E28" s="3"/>
      <c r="F28" s="3"/>
      <c r="G28" s="3"/>
      <c r="H28" s="3"/>
      <c r="I28" s="3"/>
    </row>
    <row r="29" spans="1:13" ht="17.25">
      <c r="A29" s="236" t="s">
        <v>420</v>
      </c>
      <c r="B29" s="3"/>
      <c r="C29" s="3"/>
      <c r="D29" s="3"/>
      <c r="E29" s="3"/>
      <c r="F29" s="3"/>
      <c r="G29" s="3"/>
      <c r="H29" s="3"/>
      <c r="I29" s="3"/>
    </row>
    <row r="30" spans="1:13" ht="17.25">
      <c r="A30" s="49" t="s">
        <v>2</v>
      </c>
      <c r="B30" s="50"/>
      <c r="C30" s="50"/>
      <c r="D30" s="50"/>
      <c r="E30" s="50"/>
      <c r="F30" s="50"/>
      <c r="G30" s="50"/>
      <c r="H30" s="50"/>
      <c r="I30" s="50"/>
      <c r="J30" s="51"/>
      <c r="K30" s="51"/>
    </row>
    <row r="31" spans="1:13" ht="19.5" customHeight="1">
      <c r="A31" s="237" t="s">
        <v>1</v>
      </c>
      <c r="B31" s="237"/>
      <c r="C31" s="237"/>
      <c r="D31" s="237"/>
      <c r="E31" s="237"/>
      <c r="F31" s="237"/>
      <c r="G31" s="237"/>
      <c r="H31" s="237"/>
      <c r="I31" s="237"/>
      <c r="J31" s="237"/>
      <c r="K31" s="237"/>
      <c r="L31" s="237"/>
      <c r="M31" s="237"/>
    </row>
    <row r="32" spans="1:13" ht="19.5" customHeight="1">
      <c r="A32" s="237" t="s">
        <v>0</v>
      </c>
      <c r="B32" s="237"/>
      <c r="C32" s="237"/>
      <c r="D32" s="237"/>
      <c r="E32" s="237"/>
      <c r="F32" s="237"/>
      <c r="G32" s="237"/>
      <c r="H32" s="237"/>
      <c r="I32" s="237"/>
      <c r="J32" s="237"/>
      <c r="K32" s="237"/>
      <c r="L32" s="237"/>
      <c r="M32" s="237"/>
    </row>
    <row r="33" spans="1:13" ht="19.5" customHeight="1">
      <c r="A33" s="237" t="s">
        <v>419</v>
      </c>
      <c r="B33" s="237"/>
      <c r="C33" s="237"/>
      <c r="D33" s="237"/>
      <c r="E33" s="237"/>
      <c r="F33" s="237"/>
      <c r="G33" s="237"/>
      <c r="H33" s="237"/>
      <c r="I33" s="237"/>
      <c r="J33" s="237"/>
      <c r="K33" s="237"/>
      <c r="L33" s="237"/>
      <c r="M33" s="237"/>
    </row>
    <row r="34" spans="1:13" ht="19.5" customHeight="1">
      <c r="A34" s="286" t="s">
        <v>523</v>
      </c>
      <c r="B34" s="286"/>
      <c r="C34" s="286"/>
      <c r="D34" s="286"/>
      <c r="E34" s="286"/>
      <c r="F34" s="286"/>
      <c r="G34" s="286"/>
      <c r="H34" s="286"/>
      <c r="I34" s="286"/>
      <c r="J34" s="286"/>
      <c r="K34" s="286"/>
      <c r="L34" s="286"/>
      <c r="M34" s="237"/>
    </row>
    <row r="35" spans="1:13">
      <c r="B35" s="238"/>
      <c r="C35" s="238"/>
      <c r="D35" s="238"/>
      <c r="E35" s="238"/>
      <c r="F35" s="238"/>
      <c r="G35" s="238"/>
      <c r="H35" s="238"/>
      <c r="I35" s="238"/>
      <c r="J35" s="238"/>
      <c r="K35" s="238"/>
      <c r="L35" s="238"/>
      <c r="M35" s="238"/>
    </row>
    <row r="36" spans="1:13" ht="17.25">
      <c r="A36" s="282"/>
      <c r="B36" s="285"/>
      <c r="C36" s="285"/>
      <c r="D36" s="285"/>
      <c r="E36" s="285"/>
      <c r="F36" s="285"/>
      <c r="G36" s="285"/>
      <c r="H36" s="285"/>
      <c r="I36" s="285"/>
    </row>
    <row r="37" spans="1:13" ht="17.25">
      <c r="A37" s="52"/>
      <c r="B37" s="53" t="str">
        <f>TEXT(I20,0)&amp;" exp+capital"</f>
        <v>2018 exp+capital</v>
      </c>
      <c r="D37" s="241" t="s">
        <v>228</v>
      </c>
    </row>
    <row r="38" spans="1:13" ht="17.25">
      <c r="A38" s="52" t="s">
        <v>8</v>
      </c>
      <c r="B38" s="54">
        <f>I21</f>
        <v>176272306</v>
      </c>
    </row>
    <row r="39" spans="1:13" ht="17.25">
      <c r="A39" s="52" t="s">
        <v>7</v>
      </c>
      <c r="B39" s="54">
        <f t="shared" ref="B39:B41" si="11">I22</f>
        <v>55012515</v>
      </c>
      <c r="D39" s="280" t="s">
        <v>99</v>
      </c>
      <c r="E39" s="281"/>
      <c r="F39" s="281"/>
      <c r="G39" s="281"/>
      <c r="H39" s="281"/>
      <c r="I39" s="281"/>
      <c r="J39" s="281"/>
      <c r="K39" s="281"/>
      <c r="L39" s="281"/>
    </row>
    <row r="40" spans="1:13" ht="17.25">
      <c r="A40" s="52" t="s">
        <v>6</v>
      </c>
      <c r="B40" s="54">
        <f t="shared" si="11"/>
        <v>24366037</v>
      </c>
      <c r="D40" s="282" t="str">
        <f>"Total: $" &amp; TEXT(I27,"#0.0,,") &amp; " million includes $" &amp; TEXT(J16,"#0.0,,") &amp; " million in obligations to capital projects"</f>
        <v>Total: $289.4 million includes $30.7 million in obligations to capital projects</v>
      </c>
      <c r="E40" s="283"/>
      <c r="F40" s="283"/>
      <c r="G40" s="283"/>
      <c r="H40" s="283"/>
      <c r="I40" s="283"/>
      <c r="J40" s="283"/>
      <c r="K40" s="283"/>
      <c r="L40" s="283"/>
    </row>
    <row r="41" spans="1:13" ht="17.25">
      <c r="A41" s="52" t="s">
        <v>5</v>
      </c>
      <c r="B41" s="54">
        <f t="shared" si="11"/>
        <v>23049232</v>
      </c>
    </row>
    <row r="42" spans="1:13" ht="17.25">
      <c r="A42" s="52"/>
      <c r="B42" s="54"/>
    </row>
    <row r="43" spans="1:13" ht="17.25">
      <c r="A43" s="52"/>
      <c r="B43" s="52"/>
    </row>
    <row r="44" spans="1:13" ht="17.25">
      <c r="A44" s="52"/>
      <c r="B44" s="52"/>
    </row>
    <row r="45" spans="1:13" ht="17.25">
      <c r="A45" s="52"/>
      <c r="B45" s="52"/>
    </row>
    <row r="46" spans="1:13" ht="17.25">
      <c r="A46" s="52"/>
      <c r="B46" s="52"/>
    </row>
    <row r="47" spans="1:13" ht="17.25">
      <c r="A47" s="1"/>
      <c r="B47" s="52"/>
    </row>
  </sheetData>
  <mergeCells count="5">
    <mergeCell ref="D39:L39"/>
    <mergeCell ref="D40:L40"/>
    <mergeCell ref="A1:J1"/>
    <mergeCell ref="A36:I36"/>
    <mergeCell ref="A34:L34"/>
  </mergeCells>
  <pageMargins left="0.36" right="0.35" top="0.82" bottom="0.28000000000000003" header="0.21" footer="0.16"/>
  <pageSetup scale="4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4"/>
  <sheetViews>
    <sheetView topLeftCell="A10" zoomScaleNormal="100" workbookViewId="0">
      <selection activeCell="A10" sqref="A10:A12"/>
    </sheetView>
  </sheetViews>
  <sheetFormatPr defaultRowHeight="17.25"/>
  <cols>
    <col min="1" max="5" width="16.28515625" style="15" customWidth="1"/>
    <col min="6" max="10" width="15.42578125" style="15" bestFit="1" customWidth="1"/>
    <col min="11" max="13" width="15.42578125" style="14" customWidth="1"/>
    <col min="14" max="14" width="15.5703125" style="14" customWidth="1"/>
    <col min="15" max="16384" width="9.140625" style="14"/>
  </cols>
  <sheetData>
    <row r="1" spans="1:15" ht="30.75" customHeight="1">
      <c r="A1" s="21" t="s">
        <v>225</v>
      </c>
      <c r="B1" s="21"/>
      <c r="C1" s="21"/>
      <c r="D1" s="21"/>
      <c r="E1" s="21"/>
    </row>
    <row r="2" spans="1:15" ht="21.75" customHeight="1">
      <c r="A2" s="55" t="s">
        <v>14</v>
      </c>
      <c r="B2" s="56">
        <v>2006</v>
      </c>
      <c r="C2" s="56">
        <v>2007</v>
      </c>
      <c r="D2" s="56">
        <v>2008</v>
      </c>
      <c r="E2" s="56">
        <v>2009</v>
      </c>
      <c r="F2" s="56">
        <v>2010</v>
      </c>
      <c r="G2" s="56">
        <v>2011</v>
      </c>
      <c r="H2" s="56">
        <v>2012</v>
      </c>
      <c r="I2" s="56">
        <v>2013</v>
      </c>
      <c r="J2" s="56">
        <v>2014</v>
      </c>
      <c r="K2" s="56">
        <v>2015</v>
      </c>
      <c r="L2" s="56" t="s">
        <v>271</v>
      </c>
      <c r="M2" s="153">
        <v>2017</v>
      </c>
      <c r="N2" s="153">
        <v>2018</v>
      </c>
    </row>
    <row r="3" spans="1:15">
      <c r="A3" s="57" t="s">
        <v>13</v>
      </c>
      <c r="B3" s="47">
        <v>74024959.329999998</v>
      </c>
      <c r="C3" s="47">
        <v>78219265.00000003</v>
      </c>
      <c r="D3" s="47">
        <v>91806508</v>
      </c>
      <c r="E3" s="47">
        <v>113900603</v>
      </c>
      <c r="F3" s="47">
        <v>129758323</v>
      </c>
      <c r="G3" s="47">
        <v>143477289</v>
      </c>
      <c r="H3" s="47">
        <v>162060445</v>
      </c>
      <c r="I3" s="47">
        <v>151177409</v>
      </c>
      <c r="J3" s="47">
        <v>143128947.90000001</v>
      </c>
      <c r="K3" s="47">
        <v>165362220.78999999</v>
      </c>
      <c r="L3" s="154">
        <v>159987743.56999999</v>
      </c>
      <c r="M3" s="154">
        <v>156828472.72999999</v>
      </c>
      <c r="N3" s="154">
        <v>153679667</v>
      </c>
    </row>
    <row r="4" spans="1:15">
      <c r="A4" s="57" t="s">
        <v>12</v>
      </c>
      <c r="B4" s="47">
        <v>5086155.01</v>
      </c>
      <c r="C4" s="47">
        <v>8839587.0300000012</v>
      </c>
      <c r="D4" s="47">
        <v>9869097</v>
      </c>
      <c r="E4" s="47">
        <v>11668863</v>
      </c>
      <c r="F4" s="47">
        <v>21761323</v>
      </c>
      <c r="G4" s="47">
        <v>31297548</v>
      </c>
      <c r="H4" s="47">
        <v>29240867</v>
      </c>
      <c r="I4" s="47">
        <v>29683425</v>
      </c>
      <c r="J4" s="47">
        <v>5925196.1100000003</v>
      </c>
      <c r="K4" s="47">
        <v>7703153.2699999996</v>
      </c>
      <c r="L4" s="154">
        <v>1249955.1399999999</v>
      </c>
      <c r="M4" s="154">
        <v>-396792.47</v>
      </c>
      <c r="N4" s="154">
        <v>25343</v>
      </c>
    </row>
    <row r="5" spans="1:15" s="17" customFormat="1" ht="15">
      <c r="A5" s="20" t="s">
        <v>3</v>
      </c>
      <c r="B5" s="19">
        <f t="shared" ref="B5:E5" si="0">SUM(B3:B4)</f>
        <v>79111114.340000004</v>
      </c>
      <c r="C5" s="19">
        <f t="shared" si="0"/>
        <v>87058852.030000031</v>
      </c>
      <c r="D5" s="19">
        <f t="shared" si="0"/>
        <v>101675605</v>
      </c>
      <c r="E5" s="19">
        <f t="shared" si="0"/>
        <v>125569466</v>
      </c>
      <c r="F5" s="19">
        <f t="shared" ref="F5:N5" si="1">SUM(F3:F4)</f>
        <v>151519646</v>
      </c>
      <c r="G5" s="19">
        <f t="shared" si="1"/>
        <v>174774837</v>
      </c>
      <c r="H5" s="19">
        <f t="shared" si="1"/>
        <v>191301312</v>
      </c>
      <c r="I5" s="19">
        <f t="shared" si="1"/>
        <v>180860834</v>
      </c>
      <c r="J5" s="18">
        <f t="shared" si="1"/>
        <v>149054144.01000002</v>
      </c>
      <c r="K5" s="18">
        <f t="shared" si="1"/>
        <v>173065374.06</v>
      </c>
      <c r="L5" s="18">
        <f t="shared" si="1"/>
        <v>161237698.70999998</v>
      </c>
      <c r="M5" s="18">
        <f t="shared" ref="M5" si="2">SUM(M3:M4)</f>
        <v>156431680.25999999</v>
      </c>
      <c r="N5" s="18">
        <f t="shared" si="1"/>
        <v>153705010</v>
      </c>
    </row>
    <row r="6" spans="1:15" s="17" customFormat="1" ht="15">
      <c r="A6" s="16"/>
      <c r="B6" s="16"/>
      <c r="C6" s="16"/>
      <c r="D6" s="16"/>
      <c r="E6" s="16"/>
      <c r="F6" s="58"/>
      <c r="G6" s="58"/>
      <c r="H6" s="58"/>
      <c r="I6" s="58"/>
      <c r="J6" s="58"/>
      <c r="K6" s="58"/>
      <c r="L6" s="58"/>
      <c r="M6" s="58"/>
      <c r="N6" s="58"/>
    </row>
    <row r="7" spans="1:15" s="17" customFormat="1" ht="15">
      <c r="A7" s="16" t="s">
        <v>88</v>
      </c>
      <c r="B7" s="16"/>
      <c r="C7" s="16"/>
      <c r="D7" s="16"/>
      <c r="E7" s="16"/>
      <c r="F7" s="58"/>
      <c r="G7" s="58"/>
      <c r="H7" s="58"/>
      <c r="I7" s="58"/>
      <c r="J7" s="58"/>
      <c r="K7" s="58"/>
      <c r="L7" s="58"/>
      <c r="M7" s="58"/>
      <c r="N7" s="58"/>
    </row>
    <row r="8" spans="1:15">
      <c r="B8" s="15" t="str">
        <f t="shared" ref="B8:E8" si="3">LEFT(B2,4)</f>
        <v>2006</v>
      </c>
      <c r="C8" s="15" t="str">
        <f t="shared" si="3"/>
        <v>2007</v>
      </c>
      <c r="D8" s="15" t="str">
        <f t="shared" si="3"/>
        <v>2008</v>
      </c>
      <c r="E8" s="15" t="str">
        <f t="shared" si="3"/>
        <v>2009</v>
      </c>
      <c r="F8" s="15" t="str">
        <f>LEFT(F2,4)</f>
        <v>2010</v>
      </c>
      <c r="G8" s="15" t="str">
        <f t="shared" ref="G8:N8" si="4">LEFT(G2,4)</f>
        <v>2011</v>
      </c>
      <c r="H8" s="15" t="str">
        <f t="shared" si="4"/>
        <v>2012</v>
      </c>
      <c r="I8" s="15" t="str">
        <f t="shared" si="4"/>
        <v>2013</v>
      </c>
      <c r="J8" s="15" t="str">
        <f t="shared" si="4"/>
        <v>2014</v>
      </c>
      <c r="K8" s="15" t="str">
        <f t="shared" si="4"/>
        <v>2015</v>
      </c>
      <c r="L8" s="15" t="str">
        <f t="shared" si="4"/>
        <v>2016</v>
      </c>
      <c r="M8" s="15" t="str">
        <f t="shared" ref="M8" si="5">LEFT(M2,4)</f>
        <v>2017</v>
      </c>
      <c r="N8" s="15" t="str">
        <f t="shared" si="4"/>
        <v>2018</v>
      </c>
    </row>
    <row r="9" spans="1:15">
      <c r="A9" s="16" t="s">
        <v>2</v>
      </c>
      <c r="B9" s="16"/>
      <c r="C9" s="16"/>
      <c r="D9" s="16"/>
      <c r="E9" s="16"/>
    </row>
    <row r="10" spans="1:15" ht="20.25" customHeight="1">
      <c r="A10" s="239" t="s">
        <v>226</v>
      </c>
      <c r="B10" s="239"/>
      <c r="C10" s="239"/>
      <c r="D10" s="239"/>
      <c r="E10" s="239"/>
      <c r="F10" s="239"/>
      <c r="G10" s="239"/>
      <c r="H10" s="239"/>
      <c r="I10" s="239"/>
      <c r="J10" s="239"/>
      <c r="K10" s="239"/>
      <c r="L10" s="239"/>
      <c r="M10" s="239"/>
      <c r="N10" s="239"/>
      <c r="O10" s="239"/>
    </row>
    <row r="11" spans="1:15" ht="18" customHeight="1">
      <c r="A11" s="239" t="s">
        <v>269</v>
      </c>
      <c r="B11" s="239"/>
      <c r="C11" s="239"/>
      <c r="D11" s="239"/>
      <c r="E11" s="239"/>
      <c r="F11" s="239"/>
      <c r="G11" s="239"/>
      <c r="H11" s="239"/>
      <c r="I11" s="239"/>
      <c r="J11" s="239"/>
      <c r="K11" s="239"/>
      <c r="L11" s="239"/>
      <c r="M11" s="239"/>
      <c r="N11" s="239"/>
      <c r="O11" s="239"/>
    </row>
    <row r="12" spans="1:15">
      <c r="A12" s="239" t="s">
        <v>423</v>
      </c>
      <c r="B12" s="239"/>
      <c r="C12" s="239"/>
      <c r="D12" s="239"/>
      <c r="E12" s="239"/>
      <c r="F12" s="239"/>
      <c r="G12" s="239"/>
      <c r="H12" s="239"/>
      <c r="I12" s="239"/>
      <c r="J12" s="239"/>
      <c r="K12" s="240"/>
      <c r="L12" s="240"/>
      <c r="M12" s="240"/>
      <c r="N12" s="240"/>
      <c r="O12" s="240"/>
    </row>
    <row r="13" spans="1:15">
      <c r="A13" s="239"/>
      <c r="B13" s="239"/>
      <c r="C13" s="239"/>
      <c r="D13" s="239"/>
      <c r="E13" s="239"/>
      <c r="F13" s="239"/>
      <c r="G13" s="239"/>
      <c r="H13" s="239"/>
      <c r="I13" s="239"/>
      <c r="J13" s="239"/>
      <c r="K13" s="240"/>
      <c r="L13" s="240"/>
      <c r="M13" s="240"/>
      <c r="N13" s="240"/>
      <c r="O13" s="240"/>
    </row>
    <row r="14" spans="1:15">
      <c r="A14" s="186"/>
      <c r="B14" s="189"/>
      <c r="C14" s="189"/>
      <c r="D14" s="188"/>
      <c r="E14" s="188"/>
      <c r="F14" s="186"/>
      <c r="G14" s="186"/>
      <c r="H14" s="186"/>
      <c r="I14" s="186"/>
      <c r="J14" s="186"/>
      <c r="K14"/>
      <c r="L14"/>
      <c r="M14"/>
      <c r="N14"/>
      <c r="O14"/>
    </row>
  </sheetData>
  <pageMargins left="0.56000000000000005" right="0.5" top="1.03" bottom="1.08" header="0.16" footer="0.22"/>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9"/>
  <sheetViews>
    <sheetView topLeftCell="A22" workbookViewId="0">
      <selection activeCell="A23" sqref="A23:A26"/>
    </sheetView>
  </sheetViews>
  <sheetFormatPr defaultRowHeight="16.5"/>
  <cols>
    <col min="1" max="1" width="62.85546875" style="22" bestFit="1" customWidth="1"/>
    <col min="2" max="2" width="14.5703125" style="25" bestFit="1" customWidth="1"/>
    <col min="3" max="3" width="16.7109375" style="25" bestFit="1" customWidth="1"/>
    <col min="4" max="4" width="16.42578125" style="24" bestFit="1" customWidth="1"/>
    <col min="5" max="5" width="17.42578125" style="25" customWidth="1"/>
    <col min="6" max="6" width="16.7109375" style="25" bestFit="1" customWidth="1"/>
    <col min="7" max="7" width="15.42578125" style="24" bestFit="1" customWidth="1"/>
    <col min="8" max="8" width="14.5703125" style="23" bestFit="1" customWidth="1"/>
    <col min="9" max="16384" width="9.140625" style="22"/>
  </cols>
  <sheetData>
    <row r="1" spans="1:8" ht="33" customHeight="1">
      <c r="A1" s="288" t="s">
        <v>424</v>
      </c>
      <c r="B1" s="288"/>
      <c r="C1" s="288"/>
      <c r="D1" s="288"/>
      <c r="E1" s="288"/>
      <c r="F1" s="288"/>
      <c r="G1" s="288"/>
      <c r="H1" s="288"/>
    </row>
    <row r="2" spans="1:8" s="28" customFormat="1" ht="58.5">
      <c r="A2" s="31" t="s">
        <v>38</v>
      </c>
      <c r="B2" s="29" t="s">
        <v>37</v>
      </c>
      <c r="C2" s="29" t="s">
        <v>36</v>
      </c>
      <c r="D2" s="30" t="s">
        <v>35</v>
      </c>
      <c r="E2" s="29" t="s">
        <v>34</v>
      </c>
      <c r="F2" s="29" t="s">
        <v>33</v>
      </c>
      <c r="G2" s="30" t="s">
        <v>32</v>
      </c>
      <c r="H2" s="29" t="s">
        <v>31</v>
      </c>
    </row>
    <row r="3" spans="1:8">
      <c r="A3" s="59" t="s">
        <v>30</v>
      </c>
      <c r="B3" s="60">
        <v>4810836.6210179999</v>
      </c>
      <c r="C3" s="60">
        <v>1433779.8216409001</v>
      </c>
      <c r="D3" s="60">
        <v>6244616.4426589096</v>
      </c>
      <c r="E3" s="60">
        <v>4132.4754499998398</v>
      </c>
      <c r="F3" s="60">
        <v>0</v>
      </c>
      <c r="G3" s="60">
        <v>4132.4754499998398</v>
      </c>
      <c r="H3" s="61">
        <f>D3+G3</f>
        <v>6248748.9181089094</v>
      </c>
    </row>
    <row r="4" spans="1:8">
      <c r="A4" s="59" t="s">
        <v>29</v>
      </c>
      <c r="B4" s="60">
        <v>8774335.8406026401</v>
      </c>
      <c r="C4" s="60">
        <v>3379922.5170166101</v>
      </c>
      <c r="D4" s="60">
        <v>12154258.3576193</v>
      </c>
      <c r="E4" s="60">
        <v>47.086199999998399</v>
      </c>
      <c r="F4" s="60">
        <v>0</v>
      </c>
      <c r="G4" s="60">
        <v>47.086199999998399</v>
      </c>
      <c r="H4" s="61">
        <f t="shared" ref="H4:H19" si="0">D4+G4</f>
        <v>12154305.443819301</v>
      </c>
    </row>
    <row r="5" spans="1:8">
      <c r="A5" s="59" t="s">
        <v>28</v>
      </c>
      <c r="B5" s="60">
        <v>18583818.736927599</v>
      </c>
      <c r="C5" s="60">
        <v>5107639.0405411599</v>
      </c>
      <c r="D5" s="60">
        <v>23691457.777468801</v>
      </c>
      <c r="E5" s="60">
        <v>47.086199999998399</v>
      </c>
      <c r="F5" s="60">
        <v>0</v>
      </c>
      <c r="G5" s="60">
        <v>47.086199999998399</v>
      </c>
      <c r="H5" s="62">
        <f t="shared" si="0"/>
        <v>23691504.863668799</v>
      </c>
    </row>
    <row r="6" spans="1:8">
      <c r="A6" s="59" t="s">
        <v>27</v>
      </c>
      <c r="B6" s="60">
        <v>9776507.8845193293</v>
      </c>
      <c r="C6" s="60">
        <v>4607901.9068622999</v>
      </c>
      <c r="D6" s="60">
        <v>14384409.791381599</v>
      </c>
      <c r="E6" s="60">
        <v>5596.8072000000102</v>
      </c>
      <c r="F6" s="60">
        <v>14881.589099999899</v>
      </c>
      <c r="G6" s="60">
        <v>20478.396299999898</v>
      </c>
      <c r="H6" s="62">
        <f t="shared" si="0"/>
        <v>14404888.187681599</v>
      </c>
    </row>
    <row r="7" spans="1:8">
      <c r="A7" s="59" t="s">
        <v>26</v>
      </c>
      <c r="B7" s="60">
        <v>3564297.4799049101</v>
      </c>
      <c r="C7" s="60">
        <v>1573350.4656326</v>
      </c>
      <c r="D7" s="60">
        <v>5137647.9455375103</v>
      </c>
      <c r="E7" s="60">
        <v>783927.10855</v>
      </c>
      <c r="F7" s="60">
        <v>675875.43089743005</v>
      </c>
      <c r="G7" s="60">
        <v>1459802.5394474301</v>
      </c>
      <c r="H7" s="62">
        <f t="shared" si="0"/>
        <v>6597450.4849849399</v>
      </c>
    </row>
    <row r="8" spans="1:8">
      <c r="A8" s="59" t="s">
        <v>25</v>
      </c>
      <c r="B8" s="60">
        <v>2876638.88719403</v>
      </c>
      <c r="C8" s="60">
        <v>390523.61506409099</v>
      </c>
      <c r="D8" s="60">
        <v>3267162.5022581299</v>
      </c>
      <c r="E8" s="60">
        <v>6.0396132539608503E-14</v>
      </c>
      <c r="F8" s="60">
        <v>0</v>
      </c>
      <c r="G8" s="60">
        <v>6.0396132539608503E-14</v>
      </c>
      <c r="H8" s="62">
        <f t="shared" si="0"/>
        <v>3267162.5022581299</v>
      </c>
    </row>
    <row r="9" spans="1:8">
      <c r="A9" s="59" t="s">
        <v>24</v>
      </c>
      <c r="B9" s="60">
        <v>3620072.9952283399</v>
      </c>
      <c r="C9" s="60">
        <v>689082.58447787096</v>
      </c>
      <c r="D9" s="60">
        <v>4309155.5797062097</v>
      </c>
      <c r="E9" s="60">
        <v>1089760.5311499999</v>
      </c>
      <c r="F9" s="60">
        <v>939611.11530257098</v>
      </c>
      <c r="G9" s="60">
        <v>2029371.6464525701</v>
      </c>
      <c r="H9" s="62">
        <f t="shared" si="0"/>
        <v>6338527.22615878</v>
      </c>
    </row>
    <row r="10" spans="1:8">
      <c r="A10" s="59" t="s">
        <v>23</v>
      </c>
      <c r="B10" s="60">
        <v>6468816.6040585404</v>
      </c>
      <c r="C10" s="60">
        <v>1202977.0645043501</v>
      </c>
      <c r="D10" s="60">
        <v>7671793.66856289</v>
      </c>
      <c r="E10" s="60">
        <v>6.0396132539608503E-14</v>
      </c>
      <c r="F10" s="60">
        <v>0</v>
      </c>
      <c r="G10" s="60">
        <v>6.0396132539608503E-14</v>
      </c>
      <c r="H10" s="62">
        <f t="shared" si="0"/>
        <v>7671793.66856289</v>
      </c>
    </row>
    <row r="11" spans="1:8">
      <c r="A11" s="59" t="s">
        <v>22</v>
      </c>
      <c r="B11" s="60">
        <v>4607374.04162749</v>
      </c>
      <c r="C11" s="60">
        <v>1247301.3314296701</v>
      </c>
      <c r="D11" s="60">
        <v>5854675.3730571503</v>
      </c>
      <c r="E11" s="60">
        <v>515.10793000001001</v>
      </c>
      <c r="F11" s="60">
        <v>0</v>
      </c>
      <c r="G11" s="60">
        <v>515.10793000001001</v>
      </c>
      <c r="H11" s="62">
        <f t="shared" si="0"/>
        <v>5855190.4809871502</v>
      </c>
    </row>
    <row r="12" spans="1:8">
      <c r="A12" s="59" t="s">
        <v>21</v>
      </c>
      <c r="B12" s="60">
        <v>29263557.879745901</v>
      </c>
      <c r="C12" s="60">
        <v>11914076.9852244</v>
      </c>
      <c r="D12" s="60">
        <v>41177634.864970297</v>
      </c>
      <c r="E12" s="60">
        <v>18.905379999999301</v>
      </c>
      <c r="F12" s="60">
        <v>0</v>
      </c>
      <c r="G12" s="60">
        <v>18.905379999999301</v>
      </c>
      <c r="H12" s="62">
        <f t="shared" si="0"/>
        <v>41177653.7703503</v>
      </c>
    </row>
    <row r="13" spans="1:8">
      <c r="A13" s="59" t="s">
        <v>20</v>
      </c>
      <c r="B13" s="60">
        <v>21800569.889460601</v>
      </c>
      <c r="C13" s="60">
        <v>5410647.36115338</v>
      </c>
      <c r="D13" s="60">
        <v>27211217.250613999</v>
      </c>
      <c r="E13" s="60">
        <v>18.905379999999301</v>
      </c>
      <c r="F13" s="60">
        <v>0</v>
      </c>
      <c r="G13" s="60">
        <v>18.905379999999301</v>
      </c>
      <c r="H13" s="62">
        <f t="shared" si="0"/>
        <v>27211236.155993998</v>
      </c>
    </row>
    <row r="14" spans="1:8">
      <c r="A14" s="59" t="s">
        <v>273</v>
      </c>
      <c r="B14" s="60">
        <v>10422783.669829199</v>
      </c>
      <c r="C14" s="60">
        <v>3294085.3370248699</v>
      </c>
      <c r="D14" s="60">
        <v>13716869.0068541</v>
      </c>
      <c r="E14" s="60">
        <v>18.905379999999301</v>
      </c>
      <c r="F14" s="60">
        <v>0</v>
      </c>
      <c r="G14" s="60">
        <v>18.905379999999301</v>
      </c>
      <c r="H14" s="62">
        <f t="shared" si="0"/>
        <v>13716887.9122341</v>
      </c>
    </row>
    <row r="15" spans="1:8">
      <c r="A15" s="59" t="s">
        <v>19</v>
      </c>
      <c r="B15" s="60">
        <v>2694232.32989443</v>
      </c>
      <c r="C15" s="60">
        <v>1365352.6424865799</v>
      </c>
      <c r="D15" s="60">
        <v>4059584.9723810102</v>
      </c>
      <c r="E15" s="60">
        <v>1145527.4380300001</v>
      </c>
      <c r="F15" s="60">
        <v>987678.03766318399</v>
      </c>
      <c r="G15" s="60">
        <v>2133205.4756931802</v>
      </c>
      <c r="H15" s="62">
        <f t="shared" si="0"/>
        <v>6192790.4480741899</v>
      </c>
    </row>
    <row r="16" spans="1:8">
      <c r="A16" s="59" t="s">
        <v>425</v>
      </c>
      <c r="B16" s="60"/>
      <c r="C16" s="60"/>
      <c r="D16" s="60"/>
      <c r="E16" s="60"/>
      <c r="F16" s="60"/>
      <c r="G16" s="60"/>
      <c r="H16" s="61">
        <f t="shared" si="0"/>
        <v>0</v>
      </c>
    </row>
    <row r="17" spans="1:8">
      <c r="A17" s="59" t="s">
        <v>18</v>
      </c>
      <c r="B17" s="60">
        <v>1038255.1872</v>
      </c>
      <c r="C17" s="60">
        <v>989691.12300000002</v>
      </c>
      <c r="D17" s="60">
        <v>2027946.3101999999</v>
      </c>
      <c r="E17" s="63">
        <v>0</v>
      </c>
      <c r="F17" s="63">
        <v>0</v>
      </c>
      <c r="G17" s="60">
        <v>0</v>
      </c>
      <c r="H17" s="62">
        <f t="shared" si="0"/>
        <v>2027946.3101999999</v>
      </c>
    </row>
    <row r="18" spans="1:8">
      <c r="A18" s="59" t="s">
        <v>17</v>
      </c>
      <c r="B18" s="60">
        <v>9252237.5028714407</v>
      </c>
      <c r="C18" s="60">
        <v>2470394.2760143802</v>
      </c>
      <c r="D18" s="60">
        <v>11722631.7788858</v>
      </c>
      <c r="E18" s="60">
        <v>0</v>
      </c>
      <c r="F18" s="60">
        <v>0</v>
      </c>
      <c r="G18" s="60">
        <v>0</v>
      </c>
      <c r="H18" s="61">
        <f t="shared" si="0"/>
        <v>11722631.7788858</v>
      </c>
    </row>
    <row r="19" spans="1:8">
      <c r="A19" s="59" t="s">
        <v>16</v>
      </c>
      <c r="B19" s="155">
        <v>9639737.4873175304</v>
      </c>
      <c r="C19" s="155">
        <v>5833687.1972268596</v>
      </c>
      <c r="D19" s="155">
        <v>15473424.684544399</v>
      </c>
      <c r="E19" s="155">
        <v>11985359.510849999</v>
      </c>
      <c r="F19" s="155">
        <v>627808.50853681494</v>
      </c>
      <c r="G19" s="155">
        <v>12613168.0193868</v>
      </c>
      <c r="H19" s="156">
        <f t="shared" si="0"/>
        <v>28086592.703931198</v>
      </c>
    </row>
    <row r="20" spans="1:8" s="26" customFormat="1" ht="14.25">
      <c r="A20" s="26" t="s">
        <v>3</v>
      </c>
      <c r="B20" s="27">
        <f t="shared" ref="B20:G20" si="1">SUM(B3:B19)</f>
        <v>147194073.03739998</v>
      </c>
      <c r="C20" s="27">
        <f t="shared" si="1"/>
        <v>50910413.269300029</v>
      </c>
      <c r="D20" s="27">
        <f t="shared" si="1"/>
        <v>198104486.30670011</v>
      </c>
      <c r="E20" s="27">
        <f t="shared" si="1"/>
        <v>15014969.867699999</v>
      </c>
      <c r="F20" s="27">
        <f t="shared" si="1"/>
        <v>3245854.6814999999</v>
      </c>
      <c r="G20" s="27">
        <f t="shared" si="1"/>
        <v>18260824.54919998</v>
      </c>
      <c r="H20" s="27">
        <f t="shared" ref="H20" si="2">D20+G20</f>
        <v>216365310.85590008</v>
      </c>
    </row>
    <row r="22" spans="1:8">
      <c r="A22" s="26" t="s">
        <v>2</v>
      </c>
    </row>
    <row r="23" spans="1:8" ht="16.5" customHeight="1">
      <c r="A23" s="244" t="s">
        <v>274</v>
      </c>
      <c r="B23" s="244"/>
      <c r="C23" s="244"/>
      <c r="D23" s="244"/>
      <c r="E23" s="244"/>
      <c r="F23" s="244"/>
      <c r="G23" s="244"/>
      <c r="H23" s="244"/>
    </row>
    <row r="24" spans="1:8" ht="17.25" customHeight="1">
      <c r="A24" s="244" t="s">
        <v>15</v>
      </c>
      <c r="B24" s="244"/>
      <c r="C24" s="244"/>
      <c r="D24" s="244"/>
      <c r="E24" s="244"/>
      <c r="F24" s="244"/>
      <c r="G24" s="244"/>
      <c r="H24" s="244"/>
    </row>
    <row r="25" spans="1:8" ht="17.25" customHeight="1">
      <c r="A25" s="244" t="s">
        <v>275</v>
      </c>
      <c r="B25" s="169"/>
      <c r="C25" s="169"/>
      <c r="D25" s="170"/>
      <c r="E25" s="169"/>
      <c r="F25" s="169"/>
      <c r="G25" s="170"/>
      <c r="H25" s="171"/>
    </row>
    <row r="26" spans="1:8">
      <c r="A26" s="244" t="s">
        <v>426</v>
      </c>
      <c r="B26" s="169"/>
      <c r="C26" s="169"/>
      <c r="D26" s="170"/>
      <c r="E26" s="169"/>
      <c r="F26" s="169"/>
      <c r="G26" s="170"/>
      <c r="H26" s="171"/>
    </row>
    <row r="27" spans="1:8">
      <c r="A27" s="132"/>
      <c r="B27" s="132"/>
      <c r="C27" s="132"/>
      <c r="D27" s="132"/>
      <c r="E27" s="132"/>
      <c r="F27" s="132"/>
      <c r="G27" s="132"/>
      <c r="H27" s="132"/>
    </row>
    <row r="28" spans="1:8">
      <c r="A28" s="22" t="s">
        <v>100</v>
      </c>
    </row>
    <row r="29" spans="1:8" ht="33.75" customHeight="1">
      <c r="A29" s="287" t="str">
        <f>"Total: $" &amp; TEXT(H20,"#.0,,") &amp; " million (Expense: $" &amp; TEXT(D20,"#.0,,") &amp; " million, Capital: $" &amp; TEXT(G20,"#.0,,") &amp; " million)"</f>
        <v>Total: $216.4 million (Expense: $198.1 million, Capital: $18.3 million)</v>
      </c>
      <c r="B29" s="287"/>
      <c r="C29" s="287"/>
      <c r="D29" s="287"/>
    </row>
  </sheetData>
  <mergeCells count="2">
    <mergeCell ref="A29:D29"/>
    <mergeCell ref="A1:H1"/>
  </mergeCells>
  <pageMargins left="0.25" right="0.25" top="0.75" bottom="0.75" header="0.3" footer="0.3"/>
  <pageSetup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9"/>
  <sheetViews>
    <sheetView tabSelected="1" zoomScaleNormal="100" workbookViewId="0">
      <selection activeCell="A16" sqref="A16"/>
    </sheetView>
  </sheetViews>
  <sheetFormatPr defaultRowHeight="17.25"/>
  <cols>
    <col min="1" max="1" width="32.85546875" style="64" customWidth="1"/>
    <col min="2" max="2" width="17.140625" style="64" customWidth="1"/>
    <col min="3" max="6" width="17.140625" style="64" bestFit="1" customWidth="1"/>
    <col min="7" max="9" width="17.7109375" style="64" customWidth="1"/>
    <col min="10" max="16384" width="9.140625" style="64"/>
  </cols>
  <sheetData>
    <row r="1" spans="1:11">
      <c r="A1" s="289" t="str">
        <f>"Table/Figure 5: Direct Program Expenditures by Fund, FY"&amp;I4</f>
        <v>Table/Figure 5: Direct Program Expenditures by Fund, FY2018</v>
      </c>
      <c r="B1" s="289"/>
      <c r="C1" s="289"/>
      <c r="D1" s="289"/>
      <c r="E1" s="289"/>
      <c r="F1" s="289"/>
      <c r="G1" s="289"/>
      <c r="H1" s="289"/>
      <c r="I1" s="289"/>
    </row>
    <row r="2" spans="1:11">
      <c r="A2" s="66"/>
      <c r="B2" s="65"/>
      <c r="C2" s="65"/>
      <c r="D2" s="65"/>
      <c r="E2" s="65"/>
      <c r="F2" s="65"/>
    </row>
    <row r="3" spans="1:11">
      <c r="A3" s="65"/>
      <c r="B3" s="65"/>
      <c r="C3" s="65"/>
      <c r="D3" s="65"/>
      <c r="E3" s="65"/>
      <c r="F3" s="65"/>
    </row>
    <row r="4" spans="1:11" ht="19.5">
      <c r="A4" s="72" t="s">
        <v>96</v>
      </c>
      <c r="B4" s="153">
        <v>2011</v>
      </c>
      <c r="C4" s="153">
        <v>2012</v>
      </c>
      <c r="D4" s="153">
        <v>2013</v>
      </c>
      <c r="E4" s="153">
        <v>2014</v>
      </c>
      <c r="F4" s="153">
        <v>2015</v>
      </c>
      <c r="G4" s="153" t="s">
        <v>270</v>
      </c>
      <c r="H4" s="153">
        <v>2017</v>
      </c>
      <c r="I4" s="153">
        <v>2018</v>
      </c>
    </row>
    <row r="5" spans="1:11">
      <c r="A5" s="3" t="s">
        <v>229</v>
      </c>
      <c r="B5" s="69">
        <v>105257648</v>
      </c>
      <c r="C5" s="69">
        <v>109818406</v>
      </c>
      <c r="D5" s="157">
        <v>102742463.01000001</v>
      </c>
      <c r="E5" s="157">
        <v>93422644</v>
      </c>
      <c r="F5" s="157">
        <v>102350719.14</v>
      </c>
      <c r="G5" s="157">
        <v>104327574.5</v>
      </c>
      <c r="H5" s="302">
        <v>98720366</v>
      </c>
      <c r="I5" s="302">
        <v>96641476</v>
      </c>
    </row>
    <row r="6" spans="1:11" ht="19.5">
      <c r="A6" s="3" t="s">
        <v>94</v>
      </c>
      <c r="B6" s="69"/>
      <c r="C6" s="69"/>
      <c r="D6" s="157"/>
      <c r="E6" s="157"/>
      <c r="F6" s="157"/>
      <c r="G6" s="157"/>
      <c r="H6" s="302"/>
      <c r="I6" s="302"/>
      <c r="K6" s="71"/>
    </row>
    <row r="7" spans="1:11">
      <c r="A7" s="70" t="s">
        <v>93</v>
      </c>
      <c r="B7" s="69">
        <v>79829739</v>
      </c>
      <c r="C7" s="69">
        <v>76351240</v>
      </c>
      <c r="D7" s="157">
        <v>75238564.810000002</v>
      </c>
      <c r="E7" s="157">
        <v>53057116.689999998</v>
      </c>
      <c r="F7" s="157">
        <v>78332688.890000001</v>
      </c>
      <c r="G7" s="157">
        <v>56949840.909999996</v>
      </c>
      <c r="H7" s="302">
        <v>57033262</v>
      </c>
      <c r="I7" s="302">
        <v>57573752</v>
      </c>
    </row>
    <row r="8" spans="1:11">
      <c r="A8" s="70" t="s">
        <v>230</v>
      </c>
      <c r="B8" s="69">
        <v>37606835</v>
      </c>
      <c r="C8" s="69">
        <v>45782424</v>
      </c>
      <c r="D8" s="157">
        <v>48583014.189999998</v>
      </c>
      <c r="E8" s="157">
        <v>50913614.200000003</v>
      </c>
      <c r="F8" s="157">
        <v>36986093.710000001</v>
      </c>
      <c r="G8" s="157">
        <v>48852497.590000004</v>
      </c>
      <c r="H8" s="302">
        <v>46988392</v>
      </c>
      <c r="I8" s="302">
        <v>66808002</v>
      </c>
    </row>
    <row r="9" spans="1:11">
      <c r="A9" s="3" t="s">
        <v>92</v>
      </c>
      <c r="B9" s="69">
        <v>73608793</v>
      </c>
      <c r="C9" s="69">
        <v>58956587</v>
      </c>
      <c r="D9" s="157">
        <v>48813940.990000002</v>
      </c>
      <c r="E9" s="157">
        <v>54828830</v>
      </c>
      <c r="F9" s="157">
        <v>44748863.060000002</v>
      </c>
      <c r="G9" s="157">
        <v>46978408.5</v>
      </c>
      <c r="H9" s="302">
        <v>40649455</v>
      </c>
      <c r="I9" s="302">
        <v>45108946</v>
      </c>
    </row>
    <row r="10" spans="1:11">
      <c r="A10" s="3" t="s">
        <v>91</v>
      </c>
      <c r="B10" s="69">
        <v>14911880</v>
      </c>
      <c r="C10" s="69">
        <v>15501115</v>
      </c>
      <c r="D10" s="157">
        <v>15723909</v>
      </c>
      <c r="E10" s="157">
        <v>16911905</v>
      </c>
      <c r="F10" s="157">
        <v>17132184</v>
      </c>
      <c r="G10" s="157">
        <v>17063852.5</v>
      </c>
      <c r="H10" s="302">
        <v>16566061</v>
      </c>
      <c r="I10" s="302">
        <v>12567914</v>
      </c>
    </row>
    <row r="11" spans="1:11">
      <c r="A11" s="3" t="s">
        <v>431</v>
      </c>
      <c r="B11" s="69"/>
      <c r="C11" s="69"/>
      <c r="D11" s="157"/>
      <c r="E11" s="157"/>
      <c r="F11" s="157"/>
      <c r="G11" s="157"/>
      <c r="H11" s="302"/>
      <c r="I11" s="302">
        <v>10367580</v>
      </c>
    </row>
    <row r="12" spans="1:11">
      <c r="A12" s="68" t="s">
        <v>90</v>
      </c>
      <c r="B12" s="67">
        <f>SUM(B5:B11)</f>
        <v>311214895</v>
      </c>
      <c r="C12" s="67">
        <f t="shared" ref="C12:I12" si="0">SUM(C5:C11)</f>
        <v>306409772</v>
      </c>
      <c r="D12" s="67">
        <f t="shared" si="0"/>
        <v>291101892</v>
      </c>
      <c r="E12" s="67">
        <f t="shared" si="0"/>
        <v>269134109.88999999</v>
      </c>
      <c r="F12" s="67">
        <f t="shared" si="0"/>
        <v>279550548.80000001</v>
      </c>
      <c r="G12" s="67">
        <f t="shared" si="0"/>
        <v>274172174</v>
      </c>
      <c r="H12" s="67">
        <f t="shared" si="0"/>
        <v>259957536</v>
      </c>
      <c r="I12" s="67">
        <f t="shared" si="0"/>
        <v>289067670</v>
      </c>
    </row>
    <row r="13" spans="1:11">
      <c r="A13" s="65"/>
      <c r="B13" s="65"/>
      <c r="C13" s="65"/>
      <c r="D13" s="65"/>
      <c r="E13" s="65"/>
      <c r="F13" s="65"/>
    </row>
    <row r="14" spans="1:11">
      <c r="A14" s="65"/>
      <c r="B14" s="65"/>
      <c r="C14" s="65"/>
      <c r="D14" s="65"/>
      <c r="E14" s="65"/>
      <c r="F14" s="65"/>
    </row>
    <row r="15" spans="1:11">
      <c r="A15" s="66" t="s">
        <v>2</v>
      </c>
      <c r="B15" s="65"/>
      <c r="C15" s="65"/>
      <c r="D15" s="65"/>
      <c r="E15" s="65"/>
      <c r="F15" s="65"/>
    </row>
    <row r="16" spans="1:11" ht="17.25" customHeight="1">
      <c r="A16" s="239" t="s">
        <v>427</v>
      </c>
      <c r="B16" s="239"/>
      <c r="C16" s="239"/>
      <c r="D16" s="239"/>
      <c r="E16" s="239"/>
      <c r="F16" s="239"/>
      <c r="G16" s="239"/>
      <c r="H16" s="239"/>
      <c r="I16" s="239"/>
      <c r="J16" s="239"/>
    </row>
    <row r="17" spans="1:12" ht="17.25" customHeight="1">
      <c r="A17" s="239" t="s">
        <v>89</v>
      </c>
      <c r="B17" s="212"/>
      <c r="C17" s="212"/>
      <c r="D17" s="212"/>
      <c r="E17" s="212"/>
      <c r="F17" s="212"/>
      <c r="G17" s="212"/>
      <c r="H17" s="212"/>
      <c r="I17" s="212"/>
      <c r="J17" s="212"/>
    </row>
    <row r="18" spans="1:12" ht="17.25" customHeight="1">
      <c r="A18" s="245" t="s">
        <v>428</v>
      </c>
      <c r="B18" s="245"/>
      <c r="C18" s="245"/>
      <c r="D18" s="245"/>
      <c r="E18" s="245"/>
      <c r="F18" s="245"/>
      <c r="G18" s="245"/>
      <c r="H18" s="245"/>
      <c r="I18" s="245"/>
      <c r="J18" s="245"/>
    </row>
    <row r="19" spans="1:12" ht="17.25" customHeight="1">
      <c r="A19" s="290" t="s">
        <v>523</v>
      </c>
      <c r="B19" s="290"/>
      <c r="C19" s="290"/>
      <c r="D19" s="290"/>
      <c r="E19" s="290"/>
      <c r="F19" s="290"/>
      <c r="G19" s="290"/>
      <c r="H19" s="290"/>
      <c r="I19" s="290"/>
      <c r="J19" s="290"/>
      <c r="K19" s="290"/>
      <c r="L19" s="290"/>
    </row>
    <row r="21" spans="1:12">
      <c r="A21" s="141" t="str">
        <f>I4&amp;" (make sure these formulas catch last column)"</f>
        <v>2018 (make sure these formulas catch last column)</v>
      </c>
    </row>
    <row r="22" spans="1:12">
      <c r="A22" s="3" t="s">
        <v>95</v>
      </c>
      <c r="B22" s="73">
        <f>I5</f>
        <v>96641476</v>
      </c>
    </row>
    <row r="23" spans="1:12">
      <c r="A23" s="3" t="s">
        <v>97</v>
      </c>
      <c r="B23" s="73">
        <f>I7</f>
        <v>57573752</v>
      </c>
    </row>
    <row r="24" spans="1:12">
      <c r="A24" s="3" t="s">
        <v>98</v>
      </c>
      <c r="B24" s="73">
        <f t="shared" ref="B24:B26" si="1">I8</f>
        <v>66808002</v>
      </c>
    </row>
    <row r="25" spans="1:12">
      <c r="A25" s="3" t="s">
        <v>92</v>
      </c>
      <c r="B25" s="73">
        <f t="shared" si="1"/>
        <v>45108946</v>
      </c>
    </row>
    <row r="26" spans="1:12">
      <c r="A26" s="3" t="s">
        <v>91</v>
      </c>
      <c r="B26" s="73">
        <f t="shared" si="1"/>
        <v>12567914</v>
      </c>
    </row>
    <row r="28" spans="1:12">
      <c r="A28" s="141" t="s">
        <v>101</v>
      </c>
    </row>
    <row r="29" spans="1:12">
      <c r="A29" s="64" t="str">
        <f>subtitle</f>
        <v>Total: $289.4 million includes $30.7 million in obligations to capital projects</v>
      </c>
    </row>
    <row r="49" ht="30" customHeight="1"/>
  </sheetData>
  <mergeCells count="2">
    <mergeCell ref="A1:I1"/>
    <mergeCell ref="A19:L19"/>
  </mergeCells>
  <pageMargins left="0.34" right="0.37" top="1" bottom="1" header="0.5" footer="0.5"/>
  <pageSetup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3"/>
  <sheetViews>
    <sheetView topLeftCell="A13" zoomScale="85" zoomScaleNormal="85" workbookViewId="0">
      <selection activeCell="M30" sqref="M30"/>
    </sheetView>
  </sheetViews>
  <sheetFormatPr defaultRowHeight="12.75"/>
  <cols>
    <col min="1" max="1" width="41.85546875" style="1" customWidth="1"/>
    <col min="2" max="2" width="15.42578125" style="76" customWidth="1"/>
    <col min="3" max="3" width="15.42578125" style="1" bestFit="1" customWidth="1"/>
    <col min="4" max="4" width="15.42578125" style="75" bestFit="1" customWidth="1"/>
    <col min="5" max="6" width="15.42578125" style="1" bestFit="1" customWidth="1"/>
    <col min="7" max="9" width="15.42578125" style="1" customWidth="1"/>
    <col min="10" max="10" width="17.7109375" style="1" customWidth="1"/>
    <col min="11" max="11" width="11.85546875" style="1" customWidth="1"/>
    <col min="12" max="16384" width="9.140625" style="1"/>
  </cols>
  <sheetData>
    <row r="1" spans="1:11" s="78" customFormat="1" ht="30.75" customHeight="1">
      <c r="A1" s="291" t="str">
        <f>"Table 6A: Direct Program Expenditures by Category, FY"&amp;I2</f>
        <v>Table 6A: Direct Program Expenditures by Category, FY2018</v>
      </c>
      <c r="B1" s="291"/>
      <c r="C1" s="291"/>
      <c r="D1" s="291"/>
      <c r="E1" s="291"/>
      <c r="F1" s="291"/>
      <c r="G1" s="291"/>
      <c r="H1" s="291"/>
      <c r="I1" s="291"/>
    </row>
    <row r="2" spans="1:11" s="87" customFormat="1" ht="19.5">
      <c r="A2" s="88" t="s">
        <v>14</v>
      </c>
      <c r="B2" s="158">
        <v>2011</v>
      </c>
      <c r="C2" s="158">
        <v>2012</v>
      </c>
      <c r="D2" s="158">
        <v>2013</v>
      </c>
      <c r="E2" s="158">
        <v>2014</v>
      </c>
      <c r="F2" s="158">
        <v>2015</v>
      </c>
      <c r="G2" s="158" t="s">
        <v>277</v>
      </c>
      <c r="H2" s="158">
        <v>2017</v>
      </c>
      <c r="I2" s="158">
        <v>2018</v>
      </c>
      <c r="J2" s="91" t="s">
        <v>105</v>
      </c>
      <c r="K2" s="91" t="s">
        <v>256</v>
      </c>
    </row>
    <row r="3" spans="1:11" s="78" customFormat="1" ht="17.25">
      <c r="A3" s="86" t="s">
        <v>231</v>
      </c>
      <c r="B3" s="159">
        <v>25185796</v>
      </c>
      <c r="C3" s="159">
        <v>28135259</v>
      </c>
      <c r="D3" s="159">
        <v>30074159.880000003</v>
      </c>
      <c r="E3" s="159">
        <v>13294304.619999999</v>
      </c>
      <c r="F3" s="160">
        <v>13500244.51</v>
      </c>
      <c r="G3" s="159">
        <v>13778450</v>
      </c>
      <c r="H3" s="160">
        <v>13866904.550000001</v>
      </c>
      <c r="I3" s="160">
        <v>12490178</v>
      </c>
      <c r="J3" s="168">
        <f>I3</f>
        <v>12490178</v>
      </c>
      <c r="K3" s="86" t="s">
        <v>231</v>
      </c>
    </row>
    <row r="4" spans="1:11" s="78" customFormat="1" ht="19.5">
      <c r="A4" s="86" t="s">
        <v>276</v>
      </c>
      <c r="B4" s="159"/>
      <c r="C4" s="159"/>
      <c r="D4" s="159"/>
      <c r="E4" s="159">
        <v>14616141.960000001</v>
      </c>
      <c r="F4" s="160">
        <v>14404354.34</v>
      </c>
      <c r="G4" s="159">
        <v>15213335</v>
      </c>
      <c r="H4" s="160">
        <v>14542930.67</v>
      </c>
      <c r="I4" s="160">
        <v>11036776</v>
      </c>
      <c r="J4" s="168">
        <f>I4</f>
        <v>11036776</v>
      </c>
      <c r="K4" s="86" t="s">
        <v>257</v>
      </c>
    </row>
    <row r="5" spans="1:11" s="78" customFormat="1" ht="17.25">
      <c r="A5" s="86" t="s">
        <v>43</v>
      </c>
      <c r="B5" s="80">
        <v>4319007</v>
      </c>
      <c r="C5" s="80">
        <v>4130748</v>
      </c>
      <c r="D5" s="80">
        <v>3980350.71</v>
      </c>
      <c r="E5" s="80">
        <v>4244806.68</v>
      </c>
      <c r="F5" s="80">
        <v>4077673.9</v>
      </c>
      <c r="G5" s="80">
        <v>7152515</v>
      </c>
      <c r="H5" s="80">
        <v>6798515.7999999998</v>
      </c>
      <c r="I5" s="80">
        <v>5980713</v>
      </c>
      <c r="J5" s="168">
        <f t="shared" ref="J5:J11" si="0">I5</f>
        <v>5980713</v>
      </c>
      <c r="K5" s="86" t="s">
        <v>43</v>
      </c>
    </row>
    <row r="6" spans="1:11" s="78" customFormat="1" ht="17.25">
      <c r="A6" s="86" t="s">
        <v>232</v>
      </c>
      <c r="B6" s="80">
        <v>123373947</v>
      </c>
      <c r="C6" s="80">
        <v>122609228</v>
      </c>
      <c r="D6" s="80">
        <v>118831308.82000001</v>
      </c>
      <c r="E6" s="80">
        <v>102422790.40000001</v>
      </c>
      <c r="F6" s="80">
        <v>124435134.92</v>
      </c>
      <c r="G6" s="80">
        <v>117933009</v>
      </c>
      <c r="H6" s="80">
        <v>98185616.640000001</v>
      </c>
      <c r="I6" s="80">
        <v>123250425</v>
      </c>
      <c r="J6" s="168">
        <f t="shared" si="0"/>
        <v>123250425</v>
      </c>
      <c r="K6" s="86" t="s">
        <v>232</v>
      </c>
    </row>
    <row r="7" spans="1:11" s="78" customFormat="1" ht="36.75" customHeight="1">
      <c r="A7" s="86" t="s">
        <v>42</v>
      </c>
      <c r="B7" s="80">
        <v>3599302</v>
      </c>
      <c r="C7" s="80">
        <v>4429624</v>
      </c>
      <c r="D7" s="80">
        <v>4077995.11</v>
      </c>
      <c r="E7" s="80">
        <v>4062872.09</v>
      </c>
      <c r="F7" s="80">
        <v>4248774.49</v>
      </c>
      <c r="G7" s="80">
        <v>4206148</v>
      </c>
      <c r="H7" s="80">
        <v>4321384.6500000004</v>
      </c>
      <c r="I7" s="80">
        <v>6599734</v>
      </c>
      <c r="J7" s="168">
        <f t="shared" si="0"/>
        <v>6599734</v>
      </c>
      <c r="K7" s="86" t="s">
        <v>42</v>
      </c>
    </row>
    <row r="8" spans="1:11" s="78" customFormat="1" ht="37.5" customHeight="1">
      <c r="A8" s="86" t="s">
        <v>104</v>
      </c>
      <c r="B8" s="80">
        <v>61846889</v>
      </c>
      <c r="C8" s="80">
        <v>53165835</v>
      </c>
      <c r="D8" s="80">
        <v>50024766.200000003</v>
      </c>
      <c r="E8" s="80">
        <v>45146278.850000001</v>
      </c>
      <c r="F8" s="161">
        <v>32202008.149999999</v>
      </c>
      <c r="G8" s="80">
        <v>31490426</v>
      </c>
      <c r="H8" s="161">
        <v>34872455.259999998</v>
      </c>
      <c r="I8" s="161">
        <v>36978108</v>
      </c>
      <c r="J8" s="168">
        <f t="shared" si="0"/>
        <v>36978108</v>
      </c>
      <c r="K8" s="86" t="s">
        <v>104</v>
      </c>
    </row>
    <row r="9" spans="1:11" s="78" customFormat="1" ht="17.25">
      <c r="A9" s="86" t="s">
        <v>41</v>
      </c>
      <c r="B9" s="80">
        <v>805250</v>
      </c>
      <c r="C9" s="80">
        <v>853122</v>
      </c>
      <c r="D9" s="80">
        <v>750779.54</v>
      </c>
      <c r="E9" s="80">
        <v>883679.1</v>
      </c>
      <c r="F9" s="80">
        <v>865989.83</v>
      </c>
      <c r="G9" s="80">
        <v>800717</v>
      </c>
      <c r="H9" s="80">
        <v>1007595</v>
      </c>
      <c r="I9" s="80">
        <v>939310</v>
      </c>
      <c r="J9" s="168">
        <f t="shared" si="0"/>
        <v>939310</v>
      </c>
      <c r="K9" s="86" t="s">
        <v>41</v>
      </c>
    </row>
    <row r="10" spans="1:11" s="78" customFormat="1" ht="17.25">
      <c r="A10" s="86" t="s">
        <v>40</v>
      </c>
      <c r="B10" s="80">
        <v>2983190</v>
      </c>
      <c r="C10" s="80">
        <v>3558732</v>
      </c>
      <c r="D10" s="80">
        <v>3309063.57</v>
      </c>
      <c r="E10" s="80">
        <v>3879435.13</v>
      </c>
      <c r="F10" s="80">
        <v>3614166.46</v>
      </c>
      <c r="G10" s="80">
        <v>4251762</v>
      </c>
      <c r="H10" s="80">
        <v>4211395.18</v>
      </c>
      <c r="I10" s="80">
        <v>3392431</v>
      </c>
      <c r="J10" s="168">
        <f t="shared" si="0"/>
        <v>3392431</v>
      </c>
      <c r="K10" s="86" t="s">
        <v>40</v>
      </c>
    </row>
    <row r="11" spans="1:11" s="78" customFormat="1" ht="17.25">
      <c r="A11" s="86" t="s">
        <v>103</v>
      </c>
      <c r="B11" s="246">
        <v>89101514</v>
      </c>
      <c r="C11" s="246">
        <v>89527224</v>
      </c>
      <c r="D11" s="246">
        <v>80053468.640000001</v>
      </c>
      <c r="E11" s="246">
        <v>80583800.829999998</v>
      </c>
      <c r="F11" s="246">
        <v>82202202.650000006</v>
      </c>
      <c r="G11" s="246">
        <v>79345812</v>
      </c>
      <c r="H11" s="246">
        <v>82150738.269999996</v>
      </c>
      <c r="I11" s="246">
        <v>78032415</v>
      </c>
      <c r="J11" s="247">
        <f t="shared" si="0"/>
        <v>78032415</v>
      </c>
      <c r="K11" s="86" t="s">
        <v>103</v>
      </c>
    </row>
    <row r="12" spans="1:11" s="78" customFormat="1" ht="17.25">
      <c r="A12" s="86" t="s">
        <v>431</v>
      </c>
      <c r="B12" s="246"/>
      <c r="C12" s="246"/>
      <c r="D12" s="246"/>
      <c r="E12" s="246"/>
      <c r="F12" s="246"/>
      <c r="G12" s="246"/>
      <c r="H12" s="246"/>
      <c r="I12" s="246">
        <v>10367580</v>
      </c>
      <c r="J12" s="247">
        <f t="shared" ref="J12:J13" si="1">I12</f>
        <v>10367580</v>
      </c>
      <c r="K12" s="86" t="s">
        <v>431</v>
      </c>
    </row>
    <row r="13" spans="1:11" s="78" customFormat="1" ht="17.25">
      <c r="A13" s="85" t="s">
        <v>432</v>
      </c>
      <c r="B13" s="80"/>
      <c r="C13" s="80"/>
      <c r="D13" s="80"/>
      <c r="E13" s="80"/>
      <c r="F13" s="80"/>
      <c r="G13" s="80"/>
      <c r="H13" s="80"/>
      <c r="I13" s="80">
        <v>304457</v>
      </c>
      <c r="J13" s="168">
        <f t="shared" si="1"/>
        <v>304457</v>
      </c>
      <c r="K13" s="86" t="s">
        <v>432</v>
      </c>
    </row>
    <row r="14" spans="1:11" s="81" customFormat="1" ht="15">
      <c r="A14" s="84" t="s">
        <v>39</v>
      </c>
      <c r="B14" s="83">
        <f>SUM(B3:B13)</f>
        <v>311214895</v>
      </c>
      <c r="C14" s="83">
        <f t="shared" ref="C14:I14" si="2">SUM(C3:C13)</f>
        <v>306409772</v>
      </c>
      <c r="D14" s="83">
        <f t="shared" si="2"/>
        <v>291101892.47000003</v>
      </c>
      <c r="E14" s="83">
        <f t="shared" si="2"/>
        <v>269134109.65999997</v>
      </c>
      <c r="F14" s="83">
        <f t="shared" si="2"/>
        <v>279550549.25000006</v>
      </c>
      <c r="G14" s="83">
        <f t="shared" si="2"/>
        <v>274172174</v>
      </c>
      <c r="H14" s="83">
        <f t="shared" si="2"/>
        <v>259957536.01999998</v>
      </c>
      <c r="I14" s="83">
        <f t="shared" si="2"/>
        <v>289372127</v>
      </c>
    </row>
    <row r="15" spans="1:11" s="78" customFormat="1" ht="17.25">
      <c r="A15" s="79"/>
      <c r="B15" s="80"/>
      <c r="C15" s="79"/>
      <c r="D15" s="80"/>
      <c r="E15" s="79"/>
      <c r="F15" s="79"/>
    </row>
    <row r="16" spans="1:11" ht="17.25">
      <c r="A16" s="52" t="s">
        <v>2</v>
      </c>
      <c r="B16" s="54"/>
      <c r="C16" s="52"/>
      <c r="D16" s="54"/>
      <c r="E16" s="52"/>
      <c r="F16" s="52"/>
    </row>
    <row r="17" spans="1:13" ht="71.25" customHeight="1">
      <c r="A17" s="292" t="s">
        <v>430</v>
      </c>
      <c r="B17" s="292"/>
      <c r="C17" s="292"/>
      <c r="D17" s="292"/>
      <c r="E17" s="292"/>
      <c r="F17" s="292"/>
      <c r="G17" s="292"/>
      <c r="H17" s="292"/>
      <c r="I17" s="292"/>
      <c r="J17" s="292"/>
      <c r="K17" s="292"/>
      <c r="L17" s="292"/>
      <c r="M17" s="292"/>
    </row>
    <row r="18" spans="1:13" ht="35.25" customHeight="1">
      <c r="A18" s="290" t="s">
        <v>102</v>
      </c>
      <c r="B18" s="290"/>
      <c r="C18" s="290"/>
      <c r="D18" s="290"/>
      <c r="E18" s="290"/>
      <c r="F18" s="290"/>
      <c r="G18" s="290"/>
      <c r="H18" s="290"/>
      <c r="I18" s="290"/>
      <c r="J18" s="290"/>
      <c r="K18" s="290"/>
      <c r="L18" s="290"/>
      <c r="M18" s="290"/>
    </row>
    <row r="19" spans="1:13" ht="17.25" customHeight="1">
      <c r="A19" s="290" t="s">
        <v>233</v>
      </c>
      <c r="B19" s="290"/>
      <c r="C19" s="290"/>
      <c r="D19" s="290"/>
      <c r="E19" s="290"/>
      <c r="F19" s="290"/>
      <c r="G19" s="290"/>
      <c r="H19" s="290"/>
      <c r="I19" s="290"/>
      <c r="J19" s="290"/>
      <c r="K19" s="290"/>
      <c r="L19" s="290"/>
      <c r="M19" s="290"/>
    </row>
    <row r="20" spans="1:13" ht="17.25" customHeight="1">
      <c r="A20" s="290" t="s">
        <v>523</v>
      </c>
      <c r="B20" s="290"/>
      <c r="C20" s="290"/>
      <c r="D20" s="290"/>
      <c r="E20" s="290"/>
      <c r="F20" s="290"/>
      <c r="G20" s="290"/>
      <c r="H20" s="290"/>
      <c r="I20" s="290"/>
      <c r="J20" s="290"/>
      <c r="K20" s="290"/>
      <c r="L20" s="290"/>
      <c r="M20" s="51"/>
    </row>
    <row r="21" spans="1:13" ht="17.25">
      <c r="A21" s="133"/>
      <c r="B21" s="133"/>
      <c r="C21" s="133"/>
      <c r="D21" s="133"/>
      <c r="E21" s="133"/>
      <c r="F21" s="133"/>
      <c r="G21" s="133"/>
      <c r="H21" s="213"/>
      <c r="I21" s="133"/>
      <c r="J21" s="133"/>
      <c r="K21" s="133"/>
    </row>
    <row r="22" spans="1:13" ht="17.25">
      <c r="A22" s="89" t="s">
        <v>101</v>
      </c>
      <c r="B22" s="90" t="str">
        <f>subtitle</f>
        <v>Total: $289.4 million includes $30.7 million in obligations to capital projects</v>
      </c>
      <c r="C22" s="89"/>
      <c r="D22" s="89"/>
      <c r="E22" s="89"/>
      <c r="F22" s="89"/>
      <c r="G22" s="89"/>
      <c r="H22" s="89"/>
      <c r="I22" s="89"/>
    </row>
    <row r="23" spans="1:13">
      <c r="A23" s="77"/>
    </row>
  </sheetData>
  <mergeCells count="5">
    <mergeCell ref="A1:I1"/>
    <mergeCell ref="A20:L20"/>
    <mergeCell ref="A17:M17"/>
    <mergeCell ref="A18:M18"/>
    <mergeCell ref="A19:M19"/>
  </mergeCells>
  <pageMargins left="0.41" right="0.39" top="0.55000000000000004" bottom="0.27" header="0.16" footer="0.16"/>
  <pageSetup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3"/>
  <sheetViews>
    <sheetView zoomScale="85" zoomScaleNormal="85" workbookViewId="0">
      <selection activeCell="B12" sqref="B12"/>
    </sheetView>
  </sheetViews>
  <sheetFormatPr defaultRowHeight="12.75"/>
  <cols>
    <col min="1" max="1" width="41.85546875" style="1" customWidth="1"/>
    <col min="2" max="2" width="15.42578125" style="76" customWidth="1"/>
    <col min="3" max="3" width="15.42578125" style="1" bestFit="1" customWidth="1"/>
    <col min="4" max="4" width="15.42578125" style="75" bestFit="1" customWidth="1"/>
    <col min="5" max="6" width="15.42578125" style="1" bestFit="1" customWidth="1"/>
    <col min="7" max="9" width="15.42578125" style="1" customWidth="1"/>
    <col min="10" max="10" width="17.7109375" style="1" customWidth="1"/>
    <col min="11" max="16384" width="9.140625" style="1"/>
  </cols>
  <sheetData>
    <row r="1" spans="1:12" s="78" customFormat="1" ht="30.75" customHeight="1">
      <c r="A1" s="167" t="str">
        <f>"Table 6B: Direct Program Expenditures for Artificial Production, FY"&amp;I2</f>
        <v>Table 6B: Direct Program Expenditures for Artificial Production, FY2018</v>
      </c>
      <c r="B1" s="167"/>
      <c r="C1" s="167"/>
      <c r="D1" s="167"/>
      <c r="E1" s="167"/>
      <c r="F1" s="167"/>
      <c r="G1" s="167"/>
      <c r="H1" s="167"/>
      <c r="I1" s="167"/>
      <c r="J1" s="167"/>
      <c r="K1" s="167"/>
    </row>
    <row r="2" spans="1:12" s="87" customFormat="1" ht="19.5">
      <c r="A2" s="88" t="s">
        <v>14</v>
      </c>
      <c r="B2" s="153">
        <v>2011</v>
      </c>
      <c r="C2" s="153">
        <v>2012</v>
      </c>
      <c r="D2" s="153">
        <v>2013</v>
      </c>
      <c r="E2" s="153">
        <v>2014</v>
      </c>
      <c r="F2" s="153">
        <v>2015</v>
      </c>
      <c r="G2" s="153" t="s">
        <v>282</v>
      </c>
      <c r="H2" s="153">
        <v>2017</v>
      </c>
      <c r="I2" s="153">
        <v>2018</v>
      </c>
      <c r="J2" s="91" t="s">
        <v>105</v>
      </c>
    </row>
    <row r="3" spans="1:12" s="78" customFormat="1" ht="17.25">
      <c r="A3" s="86" t="s">
        <v>231</v>
      </c>
      <c r="B3" s="47">
        <v>684891</v>
      </c>
      <c r="C3" s="47">
        <v>664088</v>
      </c>
      <c r="D3" s="47">
        <v>785308.52</v>
      </c>
      <c r="E3" s="47">
        <v>633508.71</v>
      </c>
      <c r="F3" s="47">
        <v>618853.43999999994</v>
      </c>
      <c r="G3" s="154">
        <v>703885.61</v>
      </c>
      <c r="H3" s="154">
        <v>690901</v>
      </c>
      <c r="I3" s="154">
        <v>598768</v>
      </c>
      <c r="J3" s="168">
        <f>I3</f>
        <v>598768</v>
      </c>
    </row>
    <row r="4" spans="1:12" s="78" customFormat="1" ht="17.25">
      <c r="A4" s="149" t="s">
        <v>42</v>
      </c>
      <c r="B4" s="47">
        <v>3599302</v>
      </c>
      <c r="C4" s="47">
        <v>4429624</v>
      </c>
      <c r="D4" s="47">
        <v>4077995.11</v>
      </c>
      <c r="E4" s="47">
        <v>4062872.09</v>
      </c>
      <c r="F4" s="47">
        <v>4248774.49</v>
      </c>
      <c r="G4" s="154">
        <v>4206148.1500000004</v>
      </c>
      <c r="H4" s="154">
        <v>4321385</v>
      </c>
      <c r="I4" s="154">
        <v>6599734</v>
      </c>
      <c r="J4" s="168">
        <f>I4</f>
        <v>6599734</v>
      </c>
    </row>
    <row r="5" spans="1:12" s="78" customFormat="1" ht="17.25">
      <c r="A5" s="149" t="s">
        <v>264</v>
      </c>
      <c r="B5" s="47">
        <v>22583163</v>
      </c>
      <c r="C5" s="47">
        <v>25176585</v>
      </c>
      <c r="D5" s="47">
        <v>23588530.18</v>
      </c>
      <c r="E5" s="47">
        <v>24046105.84</v>
      </c>
      <c r="F5" s="47">
        <v>24079654.359999999</v>
      </c>
      <c r="G5" s="154">
        <v>24391057.350000001</v>
      </c>
      <c r="H5" s="154">
        <v>24937524</v>
      </c>
      <c r="I5" s="154">
        <v>24832549</v>
      </c>
      <c r="J5" s="168">
        <f t="shared" ref="J5:J6" si="0">I5</f>
        <v>24832549</v>
      </c>
    </row>
    <row r="6" spans="1:12" s="78" customFormat="1" ht="17.25">
      <c r="A6" s="149" t="s">
        <v>265</v>
      </c>
      <c r="B6" s="47">
        <v>61846889</v>
      </c>
      <c r="C6" s="47">
        <v>53165835</v>
      </c>
      <c r="D6" s="47">
        <f>21326284.81+28698481.39</f>
        <v>50024766.200000003</v>
      </c>
      <c r="E6" s="47">
        <f>14595131.65+30551147.2</f>
        <v>45146278.850000001</v>
      </c>
      <c r="F6" s="47">
        <v>32202008.149999999</v>
      </c>
      <c r="G6" s="154">
        <v>31490426.289999999</v>
      </c>
      <c r="H6" s="154">
        <v>34872455</v>
      </c>
      <c r="I6" s="154">
        <v>36978108</v>
      </c>
      <c r="J6" s="168">
        <f t="shared" si="0"/>
        <v>36978108</v>
      </c>
    </row>
    <row r="7" spans="1:12" s="81" customFormat="1" ht="15">
      <c r="A7" s="84" t="s">
        <v>39</v>
      </c>
      <c r="B7" s="83">
        <f t="shared" ref="B7:I7" si="1">SUM(B3:B6)</f>
        <v>88714245</v>
      </c>
      <c r="C7" s="83">
        <f t="shared" si="1"/>
        <v>83436132</v>
      </c>
      <c r="D7" s="83">
        <f t="shared" si="1"/>
        <v>78476600.010000005</v>
      </c>
      <c r="E7" s="83">
        <f t="shared" si="1"/>
        <v>73888765.49000001</v>
      </c>
      <c r="F7" s="83">
        <f t="shared" si="1"/>
        <v>61149290.439999998</v>
      </c>
      <c r="G7" s="83">
        <f t="shared" si="1"/>
        <v>60791517.400000006</v>
      </c>
      <c r="H7" s="83">
        <f t="shared" ref="H7" si="2">SUM(H3:H6)</f>
        <v>64822265</v>
      </c>
      <c r="I7" s="82">
        <f t="shared" si="1"/>
        <v>69009159</v>
      </c>
    </row>
    <row r="8" spans="1:12" s="78" customFormat="1" ht="17.25">
      <c r="A8" s="79"/>
      <c r="B8" s="80"/>
      <c r="C8" s="79"/>
      <c r="D8" s="80"/>
      <c r="E8" s="79"/>
      <c r="F8" s="79"/>
    </row>
    <row r="9" spans="1:12" ht="17.25">
      <c r="A9" s="52" t="s">
        <v>2</v>
      </c>
      <c r="B9" s="54"/>
      <c r="C9" s="52"/>
      <c r="D9" s="54"/>
      <c r="E9" s="52"/>
      <c r="F9" s="52"/>
    </row>
    <row r="10" spans="1:12" ht="42" customHeight="1">
      <c r="A10" s="283" t="s">
        <v>266</v>
      </c>
      <c r="B10" s="283"/>
      <c r="C10" s="283"/>
      <c r="D10" s="283"/>
      <c r="E10" s="283"/>
      <c r="F10" s="283"/>
      <c r="G10" s="283"/>
      <c r="H10" s="283"/>
      <c r="I10" s="283"/>
      <c r="J10" s="283"/>
      <c r="K10" s="283"/>
      <c r="L10" s="283"/>
    </row>
    <row r="11" spans="1:12" ht="17.25">
      <c r="A11" s="150"/>
      <c r="B11" s="150"/>
      <c r="C11" s="150"/>
      <c r="D11" s="150"/>
      <c r="E11" s="150"/>
      <c r="F11" s="150"/>
      <c r="G11" s="150"/>
      <c r="H11" s="213"/>
      <c r="I11" s="150"/>
      <c r="J11" s="150"/>
    </row>
    <row r="12" spans="1:12" ht="17.25">
      <c r="A12" s="89" t="s">
        <v>101</v>
      </c>
      <c r="B12" s="90" t="str">
        <f>"Total: $" &amp; TEXT(I7,"#0.0,,") &amp; " million does not include obligations to capital projects"</f>
        <v>Total: $69.0 million does not include obligations to capital projects</v>
      </c>
      <c r="C12" s="89"/>
      <c r="D12" s="89"/>
      <c r="E12" s="89"/>
      <c r="F12" s="89"/>
      <c r="G12" s="89"/>
      <c r="H12" s="89"/>
      <c r="I12" s="89"/>
    </row>
    <row r="13" spans="1:12">
      <c r="A13" s="77"/>
    </row>
  </sheetData>
  <mergeCells count="1">
    <mergeCell ref="A10:L10"/>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5"/>
  <sheetViews>
    <sheetView topLeftCell="A13" workbookViewId="0">
      <selection activeCell="H32" sqref="H32"/>
    </sheetView>
  </sheetViews>
  <sheetFormatPr defaultRowHeight="16.5"/>
  <cols>
    <col min="1" max="1" width="31.7109375" style="134" customWidth="1"/>
    <col min="2" max="2" width="16.140625" style="135" bestFit="1" customWidth="1"/>
    <col min="3" max="3" width="14.5703125" style="135" customWidth="1"/>
    <col min="4" max="4" width="12.28515625" style="135" customWidth="1"/>
    <col min="5" max="5" width="20.140625" style="135" customWidth="1"/>
    <col min="6" max="6" width="9.140625" style="134"/>
    <col min="7" max="7" width="12.7109375" style="134" customWidth="1"/>
    <col min="8" max="16" width="15" style="134" customWidth="1"/>
    <col min="17" max="16384" width="9.140625" style="134"/>
  </cols>
  <sheetData>
    <row r="1" spans="1:15">
      <c r="A1" s="172" t="str">
        <f>"Table/Figure 7: Direct Program Expenditures for Research, Monitoring and Evaluation (RM&amp;E), FY"&amp;O3</f>
        <v>Table/Figure 7: Direct Program Expenditures for Research, Monitoring and Evaluation (RM&amp;E), FY2018</v>
      </c>
      <c r="B1" s="172"/>
      <c r="C1" s="172"/>
      <c r="D1" s="172"/>
      <c r="E1" s="172"/>
    </row>
    <row r="2" spans="1:15">
      <c r="A2" s="172"/>
      <c r="B2" s="172"/>
      <c r="C2" s="172"/>
      <c r="D2" s="172"/>
      <c r="E2" s="172"/>
    </row>
    <row r="3" spans="1:15" ht="19.5">
      <c r="A3" s="158" t="s">
        <v>14</v>
      </c>
      <c r="B3" s="158">
        <v>2018</v>
      </c>
      <c r="G3" s="158" t="s">
        <v>14</v>
      </c>
      <c r="H3" s="158">
        <v>2011</v>
      </c>
      <c r="I3" s="158">
        <v>2012</v>
      </c>
      <c r="J3" s="158">
        <v>2013</v>
      </c>
      <c r="K3" s="158">
        <v>2014</v>
      </c>
      <c r="L3" s="158">
        <v>2015</v>
      </c>
      <c r="M3" s="158" t="s">
        <v>293</v>
      </c>
      <c r="N3" s="158">
        <v>2017</v>
      </c>
      <c r="O3" s="158">
        <v>2018</v>
      </c>
    </row>
    <row r="4" spans="1:15">
      <c r="A4" s="139" t="s">
        <v>49</v>
      </c>
      <c r="B4" s="173">
        <v>24832549</v>
      </c>
      <c r="C4" s="110">
        <f>B4</f>
        <v>24832549</v>
      </c>
      <c r="G4" s="192" t="s">
        <v>49</v>
      </c>
      <c r="H4" s="191">
        <v>22583162.569999997</v>
      </c>
      <c r="I4" s="191">
        <v>25176585</v>
      </c>
      <c r="J4" s="191">
        <v>23588530</v>
      </c>
      <c r="K4" s="191">
        <v>24046105.84</v>
      </c>
      <c r="L4" s="191">
        <v>24079654.359999999</v>
      </c>
      <c r="M4" s="191">
        <v>24391057</v>
      </c>
      <c r="N4" s="173">
        <v>24937523.870000001</v>
      </c>
      <c r="O4" s="173">
        <v>24832549</v>
      </c>
    </row>
    <row r="5" spans="1:15">
      <c r="A5" s="138" t="s">
        <v>48</v>
      </c>
      <c r="B5" s="173">
        <v>12924874</v>
      </c>
      <c r="C5" s="110">
        <f t="shared" ref="C5:C9" si="0">B5</f>
        <v>12924874</v>
      </c>
      <c r="G5" s="192" t="s">
        <v>48</v>
      </c>
      <c r="H5" s="191">
        <v>15426001.169800008</v>
      </c>
      <c r="I5" s="191">
        <v>13469530</v>
      </c>
      <c r="J5" s="191">
        <v>12969684.76</v>
      </c>
      <c r="K5" s="191">
        <v>13133027.810000001</v>
      </c>
      <c r="L5" s="191">
        <v>13434942.029999999</v>
      </c>
      <c r="M5" s="191">
        <v>13332983</v>
      </c>
      <c r="N5" s="173">
        <v>13236006.130000001</v>
      </c>
      <c r="O5" s="173">
        <v>12924874</v>
      </c>
    </row>
    <row r="6" spans="1:15">
      <c r="A6" s="138" t="s">
        <v>47</v>
      </c>
      <c r="B6" s="173">
        <v>1129180</v>
      </c>
      <c r="C6" s="110">
        <f t="shared" si="0"/>
        <v>1129180</v>
      </c>
      <c r="G6" s="192" t="s">
        <v>47</v>
      </c>
      <c r="H6" s="191">
        <v>1763066.9299999997</v>
      </c>
      <c r="I6" s="191">
        <v>1735888</v>
      </c>
      <c r="J6" s="191">
        <v>1053093.99</v>
      </c>
      <c r="K6" s="191">
        <v>1228057.49</v>
      </c>
      <c r="L6" s="191">
        <v>1098002.8799999999</v>
      </c>
      <c r="M6" s="191">
        <v>1216118</v>
      </c>
      <c r="N6" s="173">
        <v>1407032.65</v>
      </c>
      <c r="O6" s="173">
        <v>1129180</v>
      </c>
    </row>
    <row r="7" spans="1:15">
      <c r="A7" s="138" t="s">
        <v>46</v>
      </c>
      <c r="B7" s="173">
        <v>8297504</v>
      </c>
      <c r="C7" s="110">
        <f t="shared" si="0"/>
        <v>8297504</v>
      </c>
      <c r="G7" s="192" t="s">
        <v>46</v>
      </c>
      <c r="H7" s="191">
        <v>8489904.4299999997</v>
      </c>
      <c r="I7" s="191">
        <v>7982519</v>
      </c>
      <c r="J7" s="191">
        <v>7218237.5999999996</v>
      </c>
      <c r="K7" s="191">
        <v>6753429.7699999996</v>
      </c>
      <c r="L7" s="191">
        <v>8107150.2199999997</v>
      </c>
      <c r="M7" s="191">
        <v>7908829</v>
      </c>
      <c r="N7" s="173">
        <v>8864829.0299999993</v>
      </c>
      <c r="O7" s="173">
        <v>8297504</v>
      </c>
    </row>
    <row r="8" spans="1:15">
      <c r="A8" s="138" t="s">
        <v>45</v>
      </c>
      <c r="B8" s="173">
        <v>1213338</v>
      </c>
      <c r="C8" s="110">
        <f t="shared" si="0"/>
        <v>1213338</v>
      </c>
      <c r="G8" s="192" t="s">
        <v>45</v>
      </c>
      <c r="H8" s="191">
        <v>2826954.2899999996</v>
      </c>
      <c r="I8" s="191">
        <v>2212363</v>
      </c>
      <c r="J8" s="191">
        <v>2062169.76</v>
      </c>
      <c r="K8" s="191">
        <v>1991052.54</v>
      </c>
      <c r="L8" s="191">
        <v>1553864.78</v>
      </c>
      <c r="M8" s="191">
        <v>1264152</v>
      </c>
      <c r="N8" s="173">
        <v>1246514</v>
      </c>
      <c r="O8" s="173">
        <v>1213338</v>
      </c>
    </row>
    <row r="9" spans="1:15">
      <c r="A9" s="138" t="s">
        <v>44</v>
      </c>
      <c r="B9" s="173">
        <v>29634970</v>
      </c>
      <c r="C9" s="110">
        <f t="shared" si="0"/>
        <v>29634970</v>
      </c>
      <c r="G9" s="192" t="s">
        <v>44</v>
      </c>
      <c r="H9" s="191">
        <v>38012425.010000005</v>
      </c>
      <c r="I9" s="191">
        <v>38950340</v>
      </c>
      <c r="J9" s="191">
        <v>33161752.350000001</v>
      </c>
      <c r="K9" s="191">
        <v>33432127.379999999</v>
      </c>
      <c r="L9" s="191">
        <v>33928588.380000003</v>
      </c>
      <c r="M9" s="191">
        <v>31232673</v>
      </c>
      <c r="N9" s="173">
        <v>32458832.59</v>
      </c>
      <c r="O9" s="173">
        <v>29634970</v>
      </c>
    </row>
    <row r="10" spans="1:15" ht="17.25" thickBot="1">
      <c r="B10" s="137">
        <f>SUM(B4:B9)</f>
        <v>78032415</v>
      </c>
      <c r="G10" s="194"/>
      <c r="H10" s="193">
        <f t="shared" ref="H10:J10" si="1">SUM(H4:H9)</f>
        <v>89101514.399800003</v>
      </c>
      <c r="I10" s="193">
        <f t="shared" si="1"/>
        <v>89527225</v>
      </c>
      <c r="J10" s="193">
        <f t="shared" si="1"/>
        <v>80053468.460000008</v>
      </c>
      <c r="K10" s="193">
        <f>SUM(K4:K9)</f>
        <v>80583800.829999998</v>
      </c>
      <c r="L10" s="193">
        <f t="shared" ref="L10:M10" si="2">SUM(L4:L9)</f>
        <v>82202202.650000006</v>
      </c>
      <c r="M10" s="193">
        <f t="shared" si="2"/>
        <v>79345812</v>
      </c>
      <c r="N10" s="193">
        <f>SUM(N4:N9)</f>
        <v>82150738.269999996</v>
      </c>
      <c r="O10" s="193">
        <f>SUM(O4:O9)</f>
        <v>78032415</v>
      </c>
    </row>
    <row r="12" spans="1:15">
      <c r="A12" s="136" t="s">
        <v>2</v>
      </c>
    </row>
    <row r="13" spans="1:15" ht="21.75" customHeight="1">
      <c r="A13" s="248" t="s">
        <v>292</v>
      </c>
      <c r="B13" s="248"/>
      <c r="C13" s="248"/>
      <c r="D13" s="248"/>
      <c r="E13" s="248"/>
    </row>
    <row r="15" spans="1:15">
      <c r="A15" s="134" t="s">
        <v>101</v>
      </c>
      <c r="B15" s="162" t="str">
        <f>"Total: $" &amp; TEXT(B10,"#0.0,,") &amp; " million does not include obligations to capital projects"</f>
        <v>Total: $78.0 million does not include obligations to capital projects</v>
      </c>
    </row>
  </sheetData>
  <pageMargins left="0.7" right="0.7" top="0.75" bottom="0.75" header="0.3" footer="0.3"/>
  <pageSetup scale="97"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6"/>
  <sheetViews>
    <sheetView topLeftCell="A40" zoomScale="85" zoomScaleNormal="85" workbookViewId="0">
      <selection activeCell="A4" sqref="A4"/>
    </sheetView>
  </sheetViews>
  <sheetFormatPr defaultRowHeight="12.75"/>
  <cols>
    <col min="1" max="1" width="17.5703125" style="195" bestFit="1" customWidth="1"/>
    <col min="2" max="2" width="84.140625" style="196" customWidth="1"/>
    <col min="3" max="3" width="15" style="195" customWidth="1"/>
    <col min="4" max="16384" width="9.140625" style="195"/>
  </cols>
  <sheetData>
    <row r="1" spans="1:8" ht="15" customHeight="1">
      <c r="A1" s="293" t="s">
        <v>394</v>
      </c>
      <c r="B1" s="293"/>
      <c r="C1" s="293"/>
      <c r="D1" s="206"/>
      <c r="E1" s="206"/>
      <c r="F1" s="206"/>
      <c r="G1" s="206"/>
      <c r="H1" s="206"/>
    </row>
    <row r="2" spans="1:8" ht="15">
      <c r="A2" s="293" t="s">
        <v>393</v>
      </c>
      <c r="B2" s="293"/>
      <c r="C2" s="293"/>
    </row>
    <row r="3" spans="1:8" ht="15">
      <c r="A3" s="206"/>
      <c r="B3" s="206"/>
      <c r="C3" s="206"/>
    </row>
    <row r="4" spans="1:8" ht="17.25">
      <c r="A4" s="207" t="s">
        <v>395</v>
      </c>
      <c r="B4" s="206"/>
      <c r="C4" s="206"/>
    </row>
    <row r="6" spans="1:8" ht="14.25">
      <c r="A6" s="205" t="s">
        <v>392</v>
      </c>
      <c r="B6" s="204" t="s">
        <v>391</v>
      </c>
      <c r="C6" s="203" t="s">
        <v>390</v>
      </c>
    </row>
    <row r="7" spans="1:8" ht="33">
      <c r="A7" s="202" t="s">
        <v>389</v>
      </c>
      <c r="B7" s="201" t="s">
        <v>388</v>
      </c>
      <c r="C7" s="200">
        <v>260750</v>
      </c>
    </row>
    <row r="8" spans="1:8" ht="16.5">
      <c r="A8" s="202" t="s">
        <v>387</v>
      </c>
      <c r="B8" s="201" t="s">
        <v>386</v>
      </c>
      <c r="C8" s="200">
        <v>36799</v>
      </c>
    </row>
    <row r="9" spans="1:8" ht="16.5">
      <c r="A9" s="202" t="s">
        <v>385</v>
      </c>
      <c r="B9" s="201" t="s">
        <v>384</v>
      </c>
      <c r="C9" s="200">
        <v>52473</v>
      </c>
    </row>
    <row r="10" spans="1:8" ht="16.5">
      <c r="A10" s="202" t="s">
        <v>383</v>
      </c>
      <c r="B10" s="201" t="s">
        <v>382</v>
      </c>
      <c r="C10" s="200">
        <v>24150</v>
      </c>
    </row>
    <row r="11" spans="1:8" ht="16.5">
      <c r="A11" s="202" t="s">
        <v>381</v>
      </c>
      <c r="B11" s="201" t="s">
        <v>380</v>
      </c>
      <c r="C11" s="200">
        <v>47130</v>
      </c>
    </row>
    <row r="12" spans="1:8" ht="16.5">
      <c r="A12" s="202" t="s">
        <v>379</v>
      </c>
      <c r="B12" s="201" t="s">
        <v>378</v>
      </c>
      <c r="C12" s="200">
        <v>1210901</v>
      </c>
    </row>
    <row r="13" spans="1:8" ht="16.5">
      <c r="A13" s="202" t="s">
        <v>377</v>
      </c>
      <c r="B13" s="201" t="s">
        <v>376</v>
      </c>
      <c r="C13" s="200">
        <v>121043.43000000001</v>
      </c>
    </row>
    <row r="14" spans="1:8" ht="33">
      <c r="A14" s="202" t="s">
        <v>375</v>
      </c>
      <c r="B14" s="201" t="s">
        <v>374</v>
      </c>
      <c r="C14" s="200">
        <v>597043</v>
      </c>
    </row>
    <row r="15" spans="1:8" ht="16.5">
      <c r="A15" s="202" t="s">
        <v>373</v>
      </c>
      <c r="B15" s="201" t="s">
        <v>372</v>
      </c>
      <c r="C15" s="200">
        <v>329993.34000000003</v>
      </c>
    </row>
    <row r="16" spans="1:8" ht="16.5">
      <c r="A16" s="202" t="s">
        <v>371</v>
      </c>
      <c r="B16" s="201" t="s">
        <v>370</v>
      </c>
      <c r="C16" s="200">
        <v>1113</v>
      </c>
    </row>
    <row r="17" spans="1:3" ht="16.5">
      <c r="A17" s="202" t="s">
        <v>369</v>
      </c>
      <c r="B17" s="201" t="s">
        <v>368</v>
      </c>
      <c r="C17" s="200">
        <v>364147.47</v>
      </c>
    </row>
    <row r="18" spans="1:3" ht="16.5">
      <c r="A18" s="202" t="s">
        <v>367</v>
      </c>
      <c r="B18" s="201" t="s">
        <v>366</v>
      </c>
      <c r="C18" s="200">
        <v>2188106.48</v>
      </c>
    </row>
    <row r="19" spans="1:3" ht="16.5">
      <c r="A19" s="202" t="s">
        <v>365</v>
      </c>
      <c r="B19" s="201" t="s">
        <v>364</v>
      </c>
      <c r="C19" s="200">
        <v>1396737.9400000002</v>
      </c>
    </row>
    <row r="20" spans="1:3" ht="16.5">
      <c r="A20" s="202" t="s">
        <v>363</v>
      </c>
      <c r="B20" s="201" t="s">
        <v>362</v>
      </c>
      <c r="C20" s="200">
        <v>391917.7</v>
      </c>
    </row>
    <row r="21" spans="1:3" ht="16.5">
      <c r="A21" s="202" t="s">
        <v>361</v>
      </c>
      <c r="B21" s="201" t="s">
        <v>360</v>
      </c>
      <c r="C21" s="200">
        <v>298918</v>
      </c>
    </row>
    <row r="22" spans="1:3" ht="16.5">
      <c r="A22" s="202" t="s">
        <v>359</v>
      </c>
      <c r="B22" s="201" t="s">
        <v>358</v>
      </c>
      <c r="C22" s="200">
        <v>148550</v>
      </c>
    </row>
    <row r="23" spans="1:3" ht="33">
      <c r="A23" s="202" t="s">
        <v>357</v>
      </c>
      <c r="B23" s="201" t="s">
        <v>356</v>
      </c>
      <c r="C23" s="200">
        <v>186304</v>
      </c>
    </row>
    <row r="24" spans="1:3" ht="33">
      <c r="A24" s="202" t="s">
        <v>355</v>
      </c>
      <c r="B24" s="201" t="s">
        <v>354</v>
      </c>
      <c r="C24" s="200">
        <v>409554</v>
      </c>
    </row>
    <row r="25" spans="1:3" ht="33">
      <c r="A25" s="202" t="s">
        <v>353</v>
      </c>
      <c r="B25" s="201" t="s">
        <v>352</v>
      </c>
      <c r="C25" s="200">
        <v>225529.67</v>
      </c>
    </row>
    <row r="26" spans="1:3" ht="16.5">
      <c r="A26" s="202" t="s">
        <v>351</v>
      </c>
      <c r="B26" s="201" t="s">
        <v>350</v>
      </c>
      <c r="C26" s="200">
        <v>1519744.6500000001</v>
      </c>
    </row>
    <row r="27" spans="1:3" ht="16.5">
      <c r="A27" s="202" t="s">
        <v>349</v>
      </c>
      <c r="B27" s="201" t="s">
        <v>348</v>
      </c>
      <c r="C27" s="200">
        <v>1089243</v>
      </c>
    </row>
    <row r="28" spans="1:3" ht="16.5">
      <c r="A28" s="202" t="s">
        <v>347</v>
      </c>
      <c r="B28" s="201" t="s">
        <v>346</v>
      </c>
      <c r="C28" s="200">
        <v>427770.45</v>
      </c>
    </row>
    <row r="29" spans="1:3" ht="16.5">
      <c r="A29" s="202" t="s">
        <v>345</v>
      </c>
      <c r="B29" s="201" t="s">
        <v>344</v>
      </c>
      <c r="C29" s="200">
        <v>214697.49</v>
      </c>
    </row>
    <row r="30" spans="1:3" ht="16.5">
      <c r="A30" s="202" t="s">
        <v>343</v>
      </c>
      <c r="B30" s="201" t="s">
        <v>342</v>
      </c>
      <c r="C30" s="200">
        <v>4650173.9799999995</v>
      </c>
    </row>
    <row r="31" spans="1:3" ht="34.5" customHeight="1">
      <c r="A31" s="202" t="s">
        <v>341</v>
      </c>
      <c r="B31" s="201" t="s">
        <v>340</v>
      </c>
      <c r="C31" s="200">
        <v>289572</v>
      </c>
    </row>
    <row r="32" spans="1:3" ht="16.5">
      <c r="A32" s="202" t="s">
        <v>339</v>
      </c>
      <c r="B32" s="201" t="s">
        <v>338</v>
      </c>
      <c r="C32" s="200">
        <v>296148.63</v>
      </c>
    </row>
    <row r="33" spans="1:3" ht="16.5">
      <c r="A33" s="202" t="s">
        <v>337</v>
      </c>
      <c r="B33" s="201" t="s">
        <v>336</v>
      </c>
      <c r="C33" s="200">
        <v>1663158</v>
      </c>
    </row>
    <row r="34" spans="1:3" ht="16.5">
      <c r="A34" s="202" t="s">
        <v>335</v>
      </c>
      <c r="B34" s="201" t="s">
        <v>334</v>
      </c>
      <c r="C34" s="200">
        <v>455359</v>
      </c>
    </row>
    <row r="35" spans="1:3" ht="16.5">
      <c r="A35" s="202" t="s">
        <v>333</v>
      </c>
      <c r="B35" s="201" t="s">
        <v>332</v>
      </c>
      <c r="C35" s="200">
        <v>117664</v>
      </c>
    </row>
    <row r="36" spans="1:3" ht="16.5">
      <c r="A36" s="202" t="s">
        <v>331</v>
      </c>
      <c r="B36" s="201" t="s">
        <v>330</v>
      </c>
      <c r="C36" s="200">
        <v>1048585</v>
      </c>
    </row>
    <row r="37" spans="1:3" ht="16.5">
      <c r="A37" s="202" t="s">
        <v>329</v>
      </c>
      <c r="B37" s="201" t="s">
        <v>328</v>
      </c>
      <c r="C37" s="200">
        <v>1473325</v>
      </c>
    </row>
    <row r="38" spans="1:3" ht="16.5">
      <c r="A38" s="202" t="s">
        <v>327</v>
      </c>
      <c r="B38" s="201" t="s">
        <v>326</v>
      </c>
      <c r="C38" s="200">
        <v>515632</v>
      </c>
    </row>
    <row r="39" spans="1:3" ht="16.5">
      <c r="A39" s="202" t="s">
        <v>325</v>
      </c>
      <c r="B39" s="201" t="s">
        <v>324</v>
      </c>
      <c r="C39" s="200">
        <v>9696</v>
      </c>
    </row>
    <row r="40" spans="1:3" ht="16.5">
      <c r="A40" s="202" t="s">
        <v>323</v>
      </c>
      <c r="B40" s="201" t="s">
        <v>322</v>
      </c>
      <c r="C40" s="200">
        <v>583672.46</v>
      </c>
    </row>
    <row r="41" spans="1:3" ht="33">
      <c r="A41" s="202" t="s">
        <v>321</v>
      </c>
      <c r="B41" s="201" t="s">
        <v>320</v>
      </c>
      <c r="C41" s="200">
        <v>634653.31000000006</v>
      </c>
    </row>
    <row r="42" spans="1:3" ht="16.5">
      <c r="A42" s="202" t="s">
        <v>319</v>
      </c>
      <c r="B42" s="201" t="s">
        <v>318</v>
      </c>
      <c r="C42" s="200">
        <v>365478.76</v>
      </c>
    </row>
    <row r="43" spans="1:3" ht="16.5">
      <c r="A43" s="202" t="s">
        <v>317</v>
      </c>
      <c r="B43" s="201" t="s">
        <v>316</v>
      </c>
      <c r="C43" s="200">
        <v>2449592.8600000003</v>
      </c>
    </row>
    <row r="44" spans="1:3" ht="16.5">
      <c r="A44" s="202" t="s">
        <v>315</v>
      </c>
      <c r="B44" s="201" t="s">
        <v>314</v>
      </c>
      <c r="C44" s="200">
        <v>1288876.27</v>
      </c>
    </row>
    <row r="45" spans="1:3" ht="16.5">
      <c r="A45" s="202" t="s">
        <v>313</v>
      </c>
      <c r="B45" s="201" t="s">
        <v>312</v>
      </c>
      <c r="C45" s="200">
        <v>255765</v>
      </c>
    </row>
    <row r="46" spans="1:3" ht="16.5">
      <c r="A46" s="202" t="s">
        <v>311</v>
      </c>
      <c r="B46" s="201" t="s">
        <v>310</v>
      </c>
      <c r="C46" s="200">
        <v>374577</v>
      </c>
    </row>
    <row r="47" spans="1:3" ht="33">
      <c r="A47" s="202" t="s">
        <v>309</v>
      </c>
      <c r="B47" s="201" t="s">
        <v>308</v>
      </c>
      <c r="C47" s="200">
        <v>310391</v>
      </c>
    </row>
    <row r="48" spans="1:3" ht="16.5">
      <c r="A48" s="202" t="s">
        <v>307</v>
      </c>
      <c r="B48" s="201" t="s">
        <v>306</v>
      </c>
      <c r="C48" s="200">
        <v>54363.479999999996</v>
      </c>
    </row>
    <row r="49" spans="1:3" ht="16.5">
      <c r="A49" s="202" t="s">
        <v>305</v>
      </c>
      <c r="B49" s="201" t="s">
        <v>304</v>
      </c>
      <c r="C49" s="200">
        <v>1336073</v>
      </c>
    </row>
    <row r="50" spans="1:3" ht="33">
      <c r="A50" s="202" t="s">
        <v>303</v>
      </c>
      <c r="B50" s="201" t="s">
        <v>302</v>
      </c>
      <c r="C50" s="200">
        <v>798186.76</v>
      </c>
    </row>
    <row r="51" spans="1:3" ht="16.5">
      <c r="A51" s="202" t="s">
        <v>301</v>
      </c>
      <c r="B51" s="201" t="s">
        <v>300</v>
      </c>
      <c r="C51" s="200">
        <v>355790</v>
      </c>
    </row>
    <row r="52" spans="1:3" ht="16.5">
      <c r="A52" s="202" t="s">
        <v>299</v>
      </c>
      <c r="B52" s="201" t="s">
        <v>298</v>
      </c>
      <c r="C52" s="200">
        <v>1049499</v>
      </c>
    </row>
    <row r="53" spans="1:3" ht="16.5">
      <c r="A53" s="202" t="s">
        <v>297</v>
      </c>
      <c r="B53" s="201" t="s">
        <v>296</v>
      </c>
      <c r="C53" s="200">
        <v>141946</v>
      </c>
    </row>
    <row r="54" spans="1:3" ht="16.5">
      <c r="A54" s="202" t="s">
        <v>295</v>
      </c>
      <c r="B54" s="201" t="s">
        <v>294</v>
      </c>
      <c r="C54" s="200">
        <v>398037.46</v>
      </c>
    </row>
    <row r="55" spans="1:3" ht="18.75" customHeight="1" thickBot="1">
      <c r="A55" s="199"/>
      <c r="B55" s="198" t="s">
        <v>39</v>
      </c>
      <c r="C55" s="197">
        <v>32458832.59</v>
      </c>
    </row>
    <row r="56" spans="1:3" ht="13.5" thickTop="1"/>
  </sheetData>
  <mergeCells count="2">
    <mergeCell ref="A1:C1"/>
    <mergeCell ref="A2:C2"/>
  </mergeCells>
  <pageMargins left="0.25" right="0.25" top="0.75" bottom="0.75" header="0.3" footer="0.3"/>
  <pageSetup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1_CostsByArea</vt:lpstr>
      <vt:lpstr>2_SpeciesType</vt:lpstr>
      <vt:lpstr>3_FCRPS</vt:lpstr>
      <vt:lpstr>4_ESASpecies</vt:lpstr>
      <vt:lpstr>5_Fund</vt:lpstr>
      <vt:lpstr>6a_Category</vt:lpstr>
      <vt:lpstr>6b_ArtProd</vt:lpstr>
      <vt:lpstr>7_RME</vt:lpstr>
      <vt:lpstr>7_RME_Projects</vt:lpstr>
      <vt:lpstr>8_Province</vt:lpstr>
      <vt:lpstr>8a_Subbasin</vt:lpstr>
      <vt:lpstr>9_Location</vt:lpstr>
      <vt:lpstr>10_Contractor</vt:lpstr>
      <vt:lpstr>11_LandPurchases</vt:lpstr>
      <vt:lpstr>12_Cumulative</vt:lpstr>
      <vt:lpstr>'10_Contractor'!Print_Titles</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2019-02-19T17:43:32Z</cp:lastPrinted>
  <dcterms:created xsi:type="dcterms:W3CDTF">2004-12-27T17:27:22Z</dcterms:created>
  <dcterms:modified xsi:type="dcterms:W3CDTF">2020-02-20T23:35:26Z</dcterms:modified>
</cp:coreProperties>
</file>