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theme/themeOverride8.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C:\t\2022GovernorsReport\Links\"/>
    </mc:Choice>
  </mc:AlternateContent>
  <xr:revisionPtr revIDLastSave="0" documentId="13_ncr:1_{746C9FFC-BED2-4118-95A3-12B034B664CF}" xr6:coauthVersionLast="47" xr6:coauthVersionMax="47" xr10:uidLastSave="{00000000-0000-0000-0000-000000000000}"/>
  <bookViews>
    <workbookView xWindow="-108" yWindow="-108" windowWidth="23256" windowHeight="12576" activeTab="2" xr2:uid="{8D71DE6F-627E-4943-84B5-C7098242DFCC}"/>
  </bookViews>
  <sheets>
    <sheet name="1A_ByArea" sheetId="36" r:id="rId1"/>
    <sheet name="1B_Direct" sheetId="43" r:id="rId2"/>
    <sheet name="2_SpeciesType" sheetId="15" r:id="rId3"/>
    <sheet name="3_FCRPS" sheetId="16" r:id="rId4"/>
    <sheet name="4_ESASpecies" sheetId="17" r:id="rId5"/>
    <sheet name="5_Fund" sheetId="23" r:id="rId6"/>
    <sheet name="6A_Category" sheetId="24" r:id="rId7"/>
    <sheet name="6B_ArtProd" sheetId="34" r:id="rId8"/>
    <sheet name="6C_RME" sheetId="41" r:id="rId9"/>
    <sheet name="7A_Province" sheetId="19" r:id="rId10"/>
    <sheet name="7B_Subbasin" sheetId="39" r:id="rId11"/>
    <sheet name="8_Location" sheetId="27" r:id="rId12"/>
    <sheet name="9_Contractor" sheetId="42" r:id="rId13"/>
    <sheet name="10_LandPurchases" sheetId="20" r:id="rId14"/>
    <sheet name="NA_Cumulative" sheetId="21" r:id="rId15"/>
    <sheet name="BPA Costs Table" sheetId="44" r:id="rId16"/>
  </sheets>
  <definedNames>
    <definedName name="_xlnm._FilterDatabase" localSheetId="12" hidden="1">'9_Contractor'!$A$2:$I$2</definedName>
    <definedName name="_xlcn.WorksheetConnection_4_CostsByLocationA3E91" hidden="1">'8_Location'!$A$4:$L$12</definedName>
    <definedName name="lkp">'7B_Subbasin'!$I$49:$K$108</definedName>
    <definedName name="subtitle">'2_SpeciesType'!$D$42</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42" l="1"/>
  <c r="A24" i="27"/>
  <c r="B22" i="24"/>
  <c r="A31" i="23"/>
  <c r="D42" i="15"/>
  <c r="N11" i="27"/>
  <c r="B46" i="15" l="1"/>
  <c r="A1" i="20"/>
  <c r="A1" i="42"/>
  <c r="A1" i="27"/>
  <c r="A1" i="39"/>
  <c r="A1" i="19"/>
  <c r="A1" i="41"/>
  <c r="A1" i="34"/>
  <c r="A1" i="24"/>
  <c r="A1" i="23"/>
  <c r="A1" i="16"/>
  <c r="A1" i="15"/>
  <c r="K14" i="27"/>
  <c r="F13" i="36" l="1"/>
  <c r="F12" i="36"/>
  <c r="F61" i="42"/>
  <c r="F59" i="42"/>
  <c r="F66" i="42" l="1"/>
  <c r="E66" i="42"/>
  <c r="D66" i="42"/>
  <c r="C66" i="42"/>
  <c r="F53" i="42"/>
  <c r="E53" i="42"/>
  <c r="D53" i="42"/>
  <c r="C53" i="42"/>
  <c r="F30" i="42"/>
  <c r="F31" i="42" s="1"/>
  <c r="E30" i="42"/>
  <c r="E31" i="42" s="1"/>
  <c r="D30" i="42"/>
  <c r="C30" i="42"/>
  <c r="F27" i="42"/>
  <c r="E27" i="42"/>
  <c r="D27" i="42"/>
  <c r="C27" i="42"/>
  <c r="F23" i="42"/>
  <c r="E23" i="42"/>
  <c r="D23" i="42"/>
  <c r="C23" i="42"/>
  <c r="F18" i="42"/>
  <c r="E18" i="42"/>
  <c r="D18" i="42"/>
  <c r="C18" i="42"/>
  <c r="F13" i="42"/>
  <c r="E13" i="42"/>
  <c r="D13" i="42"/>
  <c r="C13" i="42"/>
  <c r="E71" i="42" l="1"/>
  <c r="F71" i="42"/>
  <c r="C31" i="42"/>
  <c r="C71" i="42" s="1"/>
  <c r="D31" i="42"/>
  <c r="D71" i="42" s="1"/>
  <c r="J14" i="27"/>
  <c r="I14" i="27"/>
  <c r="H14" i="27"/>
  <c r="G14" i="27"/>
  <c r="F14" i="27"/>
  <c r="E14" i="27"/>
  <c r="D14" i="27"/>
  <c r="C14" i="27"/>
  <c r="B14" i="27"/>
  <c r="L14" i="27"/>
  <c r="N14" i="27" s="1"/>
  <c r="E18" i="19" l="1"/>
  <c r="D18" i="19"/>
  <c r="C18" i="19"/>
  <c r="B18" i="19"/>
  <c r="E7" i="34" l="1"/>
  <c r="D7" i="34"/>
  <c r="C7" i="34"/>
  <c r="B7" i="34"/>
  <c r="E14" i="24" l="1"/>
  <c r="D14" i="24"/>
  <c r="C14" i="24"/>
  <c r="B14" i="24"/>
  <c r="C12" i="23" l="1"/>
  <c r="B12" i="23"/>
  <c r="F25" i="15" l="1"/>
  <c r="E25" i="15"/>
  <c r="D25" i="15"/>
  <c r="C25" i="15"/>
  <c r="B25" i="15"/>
  <c r="F24" i="15"/>
  <c r="E24" i="15"/>
  <c r="D24" i="15"/>
  <c r="C24" i="15"/>
  <c r="B24" i="15"/>
  <c r="F23" i="15"/>
  <c r="E23" i="15"/>
  <c r="D23" i="15"/>
  <c r="C23" i="15"/>
  <c r="B23" i="15"/>
  <c r="F22" i="15"/>
  <c r="E22" i="15"/>
  <c r="D22" i="15"/>
  <c r="C22" i="15"/>
  <c r="B22" i="15"/>
  <c r="F21" i="15"/>
  <c r="E21" i="15"/>
  <c r="D21" i="15"/>
  <c r="C21" i="15"/>
  <c r="B21" i="15"/>
  <c r="F17" i="15"/>
  <c r="F27" i="15" s="1"/>
  <c r="E17" i="15"/>
  <c r="E27" i="15" s="1"/>
  <c r="D17" i="15"/>
  <c r="D27" i="15" s="1"/>
  <c r="C17" i="15"/>
  <c r="C27" i="15" s="1"/>
  <c r="B17" i="15"/>
  <c r="B27" i="15" s="1"/>
  <c r="P18" i="42" l="1"/>
  <c r="Q66" i="42"/>
  <c r="P66" i="42"/>
  <c r="O66" i="42"/>
  <c r="P53" i="42"/>
  <c r="O53" i="42"/>
  <c r="Q30" i="42"/>
  <c r="P30" i="42"/>
  <c r="O30" i="42"/>
  <c r="N30" i="42"/>
  <c r="Q27" i="42"/>
  <c r="P27" i="42"/>
  <c r="O27" i="42"/>
  <c r="Q23" i="42"/>
  <c r="P23" i="42"/>
  <c r="Q13" i="42"/>
  <c r="P13" i="42"/>
  <c r="O13" i="42"/>
  <c r="P31" i="42" l="1"/>
  <c r="O31" i="42"/>
  <c r="O71" i="42" s="1"/>
  <c r="P71" i="42"/>
  <c r="K23" i="20" l="1"/>
  <c r="J23" i="20"/>
  <c r="I23" i="20"/>
  <c r="H23" i="20"/>
  <c r="G23" i="20"/>
  <c r="F23" i="20"/>
  <c r="E23" i="20"/>
  <c r="D23" i="20"/>
  <c r="C23" i="20"/>
  <c r="B23" i="20"/>
  <c r="L23" i="20"/>
  <c r="A43" i="20" s="1"/>
  <c r="N10" i="27" l="1"/>
  <c r="N9" i="27"/>
  <c r="N8" i="27"/>
  <c r="N7" i="27"/>
  <c r="N6" i="27"/>
  <c r="N5" i="27"/>
  <c r="N4" i="27"/>
  <c r="O18" i="19" l="1"/>
  <c r="K10" i="41" l="1"/>
  <c r="O7" i="34" l="1"/>
  <c r="P14" i="24" l="1"/>
  <c r="K12" i="23" l="1"/>
  <c r="L12" i="23"/>
  <c r="M12" i="23"/>
  <c r="N12" i="23"/>
  <c r="B19" i="17" l="1"/>
  <c r="C19" i="17"/>
  <c r="D19" i="17"/>
  <c r="E19" i="17"/>
  <c r="F19" i="17"/>
  <c r="G19" i="17"/>
  <c r="H19" i="17" l="1"/>
  <c r="P8" i="16"/>
  <c r="P5" i="16"/>
  <c r="P26" i="15" l="1"/>
  <c r="P25" i="15"/>
  <c r="P24" i="15"/>
  <c r="P23" i="15"/>
  <c r="P22" i="15"/>
  <c r="P21" i="15"/>
  <c r="P20" i="15"/>
  <c r="P17" i="15"/>
  <c r="P27" i="15" s="1"/>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C33" i="44"/>
  <c r="B33" i="44"/>
  <c r="AM31" i="44"/>
  <c r="AM33" i="44" s="1"/>
  <c r="AL31" i="44"/>
  <c r="AL33" i="44" s="1"/>
  <c r="AK31" i="44"/>
  <c r="AK33" i="44" s="1"/>
  <c r="AJ31" i="44"/>
  <c r="AJ33" i="44" s="1"/>
  <c r="AI31" i="44"/>
  <c r="AI33" i="44" s="1"/>
  <c r="AH31" i="44"/>
  <c r="AH33" i="44" s="1"/>
  <c r="AM28" i="44"/>
  <c r="AL28" i="44"/>
  <c r="AK28" i="44"/>
  <c r="AJ28" i="44"/>
  <c r="AI28" i="44"/>
  <c r="AH28" i="44"/>
  <c r="AG28" i="44"/>
  <c r="AF28" i="44"/>
  <c r="AE28" i="44"/>
  <c r="AD28" i="44"/>
  <c r="AC28" i="44"/>
  <c r="AB28" i="44"/>
  <c r="AA28" i="44"/>
  <c r="Z28" i="44"/>
  <c r="Y28" i="44"/>
  <c r="X28" i="44"/>
  <c r="W28" i="44"/>
  <c r="V28" i="44"/>
  <c r="U28" i="44"/>
  <c r="T28" i="44"/>
  <c r="S28" i="44"/>
  <c r="R28" i="44"/>
  <c r="Q28" i="44"/>
  <c r="P28" i="44"/>
  <c r="O28" i="44"/>
  <c r="N28" i="44"/>
  <c r="M28" i="44"/>
  <c r="L28" i="44"/>
  <c r="K28" i="44"/>
  <c r="J28" i="44"/>
  <c r="I28" i="44"/>
  <c r="H28" i="44"/>
  <c r="G28" i="44"/>
  <c r="F28" i="44"/>
  <c r="E28" i="44"/>
  <c r="D28" i="44"/>
  <c r="C28" i="44"/>
  <c r="B28"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B23" i="44"/>
  <c r="AC18" i="44"/>
  <c r="AC24" i="44" s="1"/>
  <c r="AC29" i="44" s="1"/>
  <c r="U18" i="44"/>
  <c r="U24" i="44" s="1"/>
  <c r="U29" i="44" s="1"/>
  <c r="P18" i="44"/>
  <c r="P24" i="44" s="1"/>
  <c r="O18" i="44"/>
  <c r="N18" i="44"/>
  <c r="M18" i="44"/>
  <c r="L18" i="44"/>
  <c r="K18" i="44"/>
  <c r="J18" i="44"/>
  <c r="I18" i="44"/>
  <c r="H18" i="44"/>
  <c r="H24" i="44" s="1"/>
  <c r="G18" i="44"/>
  <c r="F18" i="44"/>
  <c r="E18" i="44"/>
  <c r="D18" i="44"/>
  <c r="D24" i="44" s="1"/>
  <c r="D29" i="44" s="1"/>
  <c r="C18" i="44"/>
  <c r="B18" i="44"/>
  <c r="AM17" i="44"/>
  <c r="AM18" i="44" s="1"/>
  <c r="AM24" i="44" s="1"/>
  <c r="AM29" i="44" s="1"/>
  <c r="AL17" i="44"/>
  <c r="AL18" i="44" s="1"/>
  <c r="AK17" i="44"/>
  <c r="AK18" i="44" s="1"/>
  <c r="AK24" i="44" s="1"/>
  <c r="AJ17" i="44"/>
  <c r="AJ18" i="44" s="1"/>
  <c r="AI17" i="44"/>
  <c r="AI18" i="44" s="1"/>
  <c r="AI24" i="44" s="1"/>
  <c r="AH17" i="44"/>
  <c r="AH18" i="44" s="1"/>
  <c r="AG17" i="44"/>
  <c r="AG18" i="44" s="1"/>
  <c r="AF17" i="44"/>
  <c r="AF18" i="44" s="1"/>
  <c r="AF24" i="44" s="1"/>
  <c r="AE17" i="44"/>
  <c r="AE18" i="44" s="1"/>
  <c r="AE24" i="44" s="1"/>
  <c r="AE29" i="44" s="1"/>
  <c r="AC17" i="44"/>
  <c r="AB17" i="44"/>
  <c r="AB18" i="44" s="1"/>
  <c r="AA17" i="44"/>
  <c r="AA18" i="44" s="1"/>
  <c r="AA24" i="44" s="1"/>
  <c r="Z17" i="44"/>
  <c r="Z18" i="44" s="1"/>
  <c r="Y17" i="44"/>
  <c r="Y18" i="44" s="1"/>
  <c r="Y24" i="44" s="1"/>
  <c r="Y29" i="44" s="1"/>
  <c r="X17" i="44"/>
  <c r="X18" i="44" s="1"/>
  <c r="X24" i="44" s="1"/>
  <c r="X29" i="44" s="1"/>
  <c r="W17" i="44"/>
  <c r="W18" i="44" s="1"/>
  <c r="W24" i="44" s="1"/>
  <c r="W29" i="44" s="1"/>
  <c r="V17" i="44"/>
  <c r="V18" i="44" s="1"/>
  <c r="U17" i="44"/>
  <c r="T17" i="44"/>
  <c r="T18" i="44" s="1"/>
  <c r="S17" i="44"/>
  <c r="S18" i="44" s="1"/>
  <c r="S24" i="44" s="1"/>
  <c r="R17" i="44"/>
  <c r="R18" i="44" s="1"/>
  <c r="Q17" i="44"/>
  <c r="Q18" i="44" s="1"/>
  <c r="Q24" i="44" s="1"/>
  <c r="Q29" i="44" s="1"/>
  <c r="AD16" i="44"/>
  <c r="AD17" i="44" s="1"/>
  <c r="AD18" i="44" s="1"/>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B7" i="44"/>
  <c r="AI29" i="44" l="1"/>
  <c r="S29" i="44"/>
  <c r="AA29" i="44"/>
  <c r="AK29" i="44"/>
  <c r="L24" i="44"/>
  <c r="L29" i="44" s="1"/>
  <c r="AL24" i="44"/>
  <c r="AL29" i="44" s="1"/>
  <c r="I24" i="44"/>
  <c r="I29" i="44" s="1"/>
  <c r="AF29" i="44"/>
  <c r="B24" i="44"/>
  <c r="B29" i="44" s="1"/>
  <c r="J24" i="44"/>
  <c r="J29" i="44" s="1"/>
  <c r="AD24" i="44"/>
  <c r="AD29" i="44" s="1"/>
  <c r="AG24" i="44"/>
  <c r="AG29" i="44" s="1"/>
  <c r="C24" i="44"/>
  <c r="C29" i="44" s="1"/>
  <c r="K24" i="44"/>
  <c r="K29" i="44" s="1"/>
  <c r="Z24" i="44"/>
  <c r="Z29" i="44" s="1"/>
  <c r="E24" i="44"/>
  <c r="E29" i="44" s="1"/>
  <c r="AB24" i="44"/>
  <c r="AB29" i="44" s="1"/>
  <c r="F24" i="44"/>
  <c r="F29" i="44" s="1"/>
  <c r="G24" i="44"/>
  <c r="G29" i="44" s="1"/>
  <c r="O24" i="44"/>
  <c r="O29" i="44" s="1"/>
  <c r="R24" i="44"/>
  <c r="R29" i="44" s="1"/>
  <c r="AH24" i="44"/>
  <c r="AH29" i="44" s="1"/>
  <c r="M24" i="44"/>
  <c r="M29" i="44" s="1"/>
  <c r="T24" i="44"/>
  <c r="T29" i="44" s="1"/>
  <c r="AJ24" i="44"/>
  <c r="AJ29" i="44" s="1"/>
  <c r="N24" i="44"/>
  <c r="N29" i="44" s="1"/>
  <c r="H29" i="44"/>
  <c r="P29" i="44"/>
  <c r="V24" i="44"/>
  <c r="V29" i="44" s="1"/>
  <c r="N66" i="42" l="1"/>
  <c r="M66" i="42"/>
  <c r="L66" i="42"/>
  <c r="K66" i="42"/>
  <c r="J66" i="42"/>
  <c r="I66" i="42"/>
  <c r="H66" i="42"/>
  <c r="G66" i="42"/>
  <c r="N53" i="42"/>
  <c r="M53" i="42"/>
  <c r="L53" i="42"/>
  <c r="K53" i="42"/>
  <c r="J53" i="42"/>
  <c r="I53" i="42"/>
  <c r="H53" i="42"/>
  <c r="G53" i="42"/>
  <c r="Q53" i="42"/>
  <c r="M30" i="42"/>
  <c r="L30" i="42"/>
  <c r="K30" i="42"/>
  <c r="J30" i="42"/>
  <c r="I30" i="42"/>
  <c r="H30" i="42"/>
  <c r="G30" i="42"/>
  <c r="N27" i="42"/>
  <c r="N31" i="42" s="1"/>
  <c r="M27" i="42"/>
  <c r="L27" i="42"/>
  <c r="K27" i="42"/>
  <c r="J27" i="42"/>
  <c r="I27" i="42"/>
  <c r="H27" i="42"/>
  <c r="G27" i="42"/>
  <c r="N23" i="42"/>
  <c r="M23" i="42"/>
  <c r="L23" i="42"/>
  <c r="K23" i="42"/>
  <c r="J23" i="42"/>
  <c r="I23" i="42"/>
  <c r="H23" i="42"/>
  <c r="G23" i="42"/>
  <c r="N18" i="42"/>
  <c r="M18" i="42"/>
  <c r="L18" i="42"/>
  <c r="K18" i="42"/>
  <c r="J18" i="42"/>
  <c r="I18" i="42"/>
  <c r="H18" i="42"/>
  <c r="G18" i="42"/>
  <c r="N13" i="42"/>
  <c r="M13" i="42"/>
  <c r="L13" i="42"/>
  <c r="K13" i="42"/>
  <c r="J13" i="42"/>
  <c r="I13" i="42"/>
  <c r="H13" i="42"/>
  <c r="G13" i="42"/>
  <c r="K31" i="42" l="1"/>
  <c r="K71" i="42"/>
  <c r="H31" i="42"/>
  <c r="N71" i="42"/>
  <c r="H71" i="42"/>
  <c r="M31" i="42"/>
  <c r="M71" i="42" s="1"/>
  <c r="Q18" i="42"/>
  <c r="Q31" i="42" s="1"/>
  <c r="Q71" i="42" s="1"/>
  <c r="G31" i="42"/>
  <c r="G71" i="42" s="1"/>
  <c r="I31" i="42"/>
  <c r="I71" i="42" s="1"/>
  <c r="L31" i="42"/>
  <c r="L71" i="42" s="1"/>
  <c r="J31" i="42"/>
  <c r="J71" i="42" s="1"/>
  <c r="P18" i="19" l="1"/>
  <c r="N18" i="19"/>
  <c r="J10" i="41" l="1"/>
  <c r="N7" i="34" l="1"/>
  <c r="N14" i="24" l="1"/>
  <c r="O8" i="16" l="1"/>
  <c r="O5" i="16"/>
  <c r="O26" i="15" l="1"/>
  <c r="O25" i="15"/>
  <c r="O24" i="15"/>
  <c r="O23" i="15"/>
  <c r="O22" i="15"/>
  <c r="O21" i="15"/>
  <c r="O20" i="15"/>
  <c r="O17" i="15"/>
  <c r="O27" i="15" s="1"/>
  <c r="L10" i="41" l="1"/>
  <c r="B15" i="41" s="1"/>
  <c r="I10" i="41"/>
  <c r="H10" i="41"/>
  <c r="G10" i="41"/>
  <c r="F10" i="41"/>
  <c r="E10" i="41"/>
  <c r="D10" i="41"/>
  <c r="C10" i="41"/>
  <c r="B10" i="41"/>
  <c r="M9" i="41"/>
  <c r="M8" i="41"/>
  <c r="M7" i="41"/>
  <c r="M6" i="41"/>
  <c r="M5" i="41"/>
  <c r="M4" i="41"/>
  <c r="B27" i="23" l="1"/>
  <c r="D12" i="23"/>
  <c r="E12" i="23"/>
  <c r="F12" i="23"/>
  <c r="G12" i="23"/>
  <c r="H12" i="23"/>
  <c r="I12" i="23"/>
  <c r="J12" i="23"/>
  <c r="M18" i="19" l="1"/>
  <c r="M7" i="34" l="1"/>
  <c r="M14" i="24" l="1"/>
  <c r="N8" i="16" l="1"/>
  <c r="N5" i="16"/>
  <c r="N26" i="15" l="1"/>
  <c r="N25" i="15"/>
  <c r="N24" i="15"/>
  <c r="N23" i="15"/>
  <c r="N22" i="15"/>
  <c r="N21" i="15"/>
  <c r="N20" i="15"/>
  <c r="N17" i="15"/>
  <c r="N27" i="15" s="1"/>
  <c r="E67" i="39" l="1"/>
  <c r="B14" i="21" l="1"/>
  <c r="C14" i="21" s="1"/>
  <c r="D14" i="21" s="1"/>
  <c r="E14" i="21" s="1"/>
  <c r="F14" i="21" s="1"/>
  <c r="G14" i="21" s="1"/>
  <c r="H14" i="21" s="1"/>
  <c r="I14" i="21" s="1"/>
  <c r="J14" i="21" s="1"/>
  <c r="K14" i="21" s="1"/>
  <c r="L14" i="21" s="1"/>
  <c r="M14" i="21" s="1"/>
  <c r="N14" i="21" s="1"/>
  <c r="O14" i="21" s="1"/>
  <c r="P14" i="21" s="1"/>
  <c r="Q14" i="21" s="1"/>
  <c r="R14" i="21" s="1"/>
  <c r="S14" i="21" s="1"/>
  <c r="T14" i="21" s="1"/>
  <c r="U14" i="21" s="1"/>
  <c r="V14" i="21" s="1"/>
  <c r="W14" i="21" s="1"/>
  <c r="X14" i="21" s="1"/>
  <c r="Y14" i="21" s="1"/>
  <c r="Z14" i="21" s="1"/>
  <c r="AA14" i="21" s="1"/>
  <c r="AB14" i="21" s="1"/>
  <c r="AC14" i="21" s="1"/>
  <c r="AD14" i="21" s="1"/>
  <c r="AE14" i="21" s="1"/>
  <c r="AF14" i="21" s="1"/>
  <c r="AG14" i="21" s="1"/>
  <c r="AH14" i="21" s="1"/>
  <c r="AI14" i="21" s="1"/>
  <c r="AJ14" i="21" s="1"/>
  <c r="AK14" i="21" s="1"/>
  <c r="AL14" i="21" s="1"/>
  <c r="AM14" i="21" s="1"/>
  <c r="AN14" i="21" s="1"/>
  <c r="B15" i="21"/>
  <c r="C15" i="21" s="1"/>
  <c r="D15" i="21" s="1"/>
  <c r="E15" i="21" s="1"/>
  <c r="F15" i="21" s="1"/>
  <c r="G15" i="21" s="1"/>
  <c r="H15" i="21" s="1"/>
  <c r="I15" i="21" s="1"/>
  <c r="J15" i="21" s="1"/>
  <c r="K15" i="21" s="1"/>
  <c r="L15" i="21" s="1"/>
  <c r="M15" i="21" s="1"/>
  <c r="N15" i="21" s="1"/>
  <c r="O15" i="21" s="1"/>
  <c r="P15" i="21" s="1"/>
  <c r="Q15" i="21" s="1"/>
  <c r="R15" i="21" s="1"/>
  <c r="S15" i="21" s="1"/>
  <c r="T15" i="21" s="1"/>
  <c r="U15" i="21" s="1"/>
  <c r="V15" i="21" s="1"/>
  <c r="W15" i="21" s="1"/>
  <c r="X15" i="21" s="1"/>
  <c r="Y15" i="21" s="1"/>
  <c r="Z15" i="21" s="1"/>
  <c r="AA15" i="21" s="1"/>
  <c r="AB15" i="21" s="1"/>
  <c r="AC15" i="21" s="1"/>
  <c r="AD15" i="21" s="1"/>
  <c r="AE15" i="21" s="1"/>
  <c r="AF15" i="21" s="1"/>
  <c r="AG15" i="21" s="1"/>
  <c r="AH15" i="21" s="1"/>
  <c r="AI15" i="21" s="1"/>
  <c r="AJ15" i="21" s="1"/>
  <c r="AK15" i="21" s="1"/>
  <c r="AL15" i="21" s="1"/>
  <c r="AM15" i="21" s="1"/>
  <c r="AN15" i="21" s="1"/>
  <c r="Q26" i="15" l="1"/>
  <c r="M10" i="27" l="1"/>
  <c r="L18" i="19" l="1"/>
  <c r="K18" i="19"/>
  <c r="J18" i="19"/>
  <c r="I18" i="19"/>
  <c r="H18" i="19"/>
  <c r="G18" i="19"/>
  <c r="F18" i="19"/>
  <c r="L7" i="34" l="1"/>
  <c r="L14" i="24" l="1"/>
  <c r="K14" i="24"/>
  <c r="J14" i="24"/>
  <c r="I14" i="24"/>
  <c r="H14" i="24"/>
  <c r="G14" i="24"/>
  <c r="F14" i="24"/>
  <c r="Q13" i="24"/>
  <c r="Q12" i="24"/>
  <c r="M8" i="16" l="1"/>
  <c r="M5" i="16"/>
  <c r="M25" i="15" l="1"/>
  <c r="M24" i="15"/>
  <c r="M23" i="15"/>
  <c r="M22" i="15"/>
  <c r="M21" i="15"/>
  <c r="M20" i="15"/>
  <c r="M17" i="15"/>
  <c r="M27" i="15" s="1"/>
  <c r="B10" i="21" l="1"/>
  <c r="C10" i="21" s="1"/>
  <c r="D10" i="21" s="1"/>
  <c r="E10" i="21" s="1"/>
  <c r="F10" i="21" s="1"/>
  <c r="G10" i="21" s="1"/>
  <c r="H10" i="21" s="1"/>
  <c r="I10" i="21" s="1"/>
  <c r="J10" i="21" s="1"/>
  <c r="K10" i="21" s="1"/>
  <c r="L10" i="21" s="1"/>
  <c r="M10" i="21" s="1"/>
  <c r="N10" i="21" s="1"/>
  <c r="O10" i="21" s="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J10" i="21" s="1"/>
  <c r="AK10" i="21" s="1"/>
  <c r="AL10" i="21" s="1"/>
  <c r="AM10" i="21" s="1"/>
  <c r="AN10" i="21" s="1"/>
  <c r="B9" i="21"/>
  <c r="C9" i="21" s="1"/>
  <c r="D9" i="21" s="1"/>
  <c r="E9" i="21" s="1"/>
  <c r="F9" i="21" s="1"/>
  <c r="G9" i="21" s="1"/>
  <c r="H9" i="21" s="1"/>
  <c r="I9" i="21" s="1"/>
  <c r="J9" i="21" s="1"/>
  <c r="K9" i="21" s="1"/>
  <c r="L9" i="21" s="1"/>
  <c r="M9" i="21" s="1"/>
  <c r="N9" i="21" s="1"/>
  <c r="O9" i="21" s="1"/>
  <c r="P9" i="21" s="1"/>
  <c r="Q9" i="21" s="1"/>
  <c r="R9" i="21" s="1"/>
  <c r="S9" i="21" s="1"/>
  <c r="T9" i="21" s="1"/>
  <c r="U9" i="21" s="1"/>
  <c r="V9" i="21" s="1"/>
  <c r="W9" i="21" s="1"/>
  <c r="X9" i="21" s="1"/>
  <c r="Y9" i="21" s="1"/>
  <c r="Z9" i="21" s="1"/>
  <c r="AA9" i="21" s="1"/>
  <c r="AB9" i="21" s="1"/>
  <c r="AC9" i="21" s="1"/>
  <c r="AD9" i="21" s="1"/>
  <c r="AE9" i="21" s="1"/>
  <c r="AF9" i="21" s="1"/>
  <c r="AG9" i="21" s="1"/>
  <c r="AH9" i="21" s="1"/>
  <c r="AI9" i="21" s="1"/>
  <c r="AJ9" i="21" s="1"/>
  <c r="AK9" i="21" s="1"/>
  <c r="AL9" i="21" s="1"/>
  <c r="AM9" i="21" s="1"/>
  <c r="AN9" i="21" s="1"/>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N11" i="21" l="1"/>
  <c r="AG28" i="21" s="1"/>
  <c r="C8" i="16" l="1"/>
  <c r="B8" i="16"/>
  <c r="E5" i="16"/>
  <c r="D5" i="16"/>
  <c r="C5" i="16"/>
  <c r="B5" i="16"/>
  <c r="E8" i="16" l="1"/>
  <c r="D8" i="16"/>
  <c r="AM11" i="21" l="1"/>
  <c r="E13" i="36"/>
  <c r="E9" i="36"/>
  <c r="I6" i="34" l="1"/>
  <c r="H6" i="34"/>
  <c r="B16" i="36" l="1"/>
  <c r="A29" i="36" s="1"/>
  <c r="J7" i="34" l="1"/>
  <c r="I7" i="34"/>
  <c r="P7" i="34"/>
  <c r="B12" i="34" s="1"/>
  <c r="K7" i="34"/>
  <c r="H7" i="34"/>
  <c r="G7" i="34"/>
  <c r="F7" i="34"/>
  <c r="Q6" i="34"/>
  <c r="Q5" i="34"/>
  <c r="Q4" i="34"/>
  <c r="Q3" i="34"/>
  <c r="AL11" i="21" l="1"/>
  <c r="AK11" i="21"/>
  <c r="L8" i="16" l="1"/>
  <c r="L5" i="16"/>
  <c r="R16" i="15" l="1"/>
  <c r="Q4" i="24"/>
  <c r="A22" i="23" l="1"/>
  <c r="E39" i="19" l="1"/>
  <c r="E38" i="19"/>
  <c r="E37" i="19"/>
  <c r="E36" i="19"/>
  <c r="E35" i="19"/>
  <c r="E34" i="19"/>
  <c r="E33" i="19"/>
  <c r="E32" i="19"/>
  <c r="E31" i="19"/>
  <c r="E30" i="19"/>
  <c r="E29" i="19"/>
  <c r="F40" i="19" l="1"/>
  <c r="F29" i="19"/>
  <c r="Q3" i="24" l="1"/>
  <c r="Q5" i="24"/>
  <c r="Q6" i="24"/>
  <c r="Q7" i="24"/>
  <c r="Q8" i="24"/>
  <c r="Q9" i="24"/>
  <c r="Q10" i="24"/>
  <c r="Q11" i="24"/>
  <c r="Q20" i="15" l="1"/>
  <c r="B39" i="15" s="1"/>
  <c r="L20" i="15"/>
  <c r="K20" i="15"/>
  <c r="J20" i="15"/>
  <c r="I20" i="15"/>
  <c r="H20" i="15"/>
  <c r="G20" i="15"/>
  <c r="Q17" i="15"/>
  <c r="L17" i="15"/>
  <c r="K17" i="15"/>
  <c r="J17" i="15"/>
  <c r="I17" i="15"/>
  <c r="H17" i="15"/>
  <c r="G17" i="15"/>
  <c r="F41" i="19" l="1"/>
  <c r="F39" i="19"/>
  <c r="F38" i="19"/>
  <c r="F37" i="19"/>
  <c r="F36" i="19"/>
  <c r="F35" i="19"/>
  <c r="F34" i="19"/>
  <c r="F33" i="19"/>
  <c r="F32" i="19"/>
  <c r="F31" i="19"/>
  <c r="F30" i="19"/>
  <c r="AI11" i="21" l="1"/>
  <c r="AJ11" i="21"/>
  <c r="M9" i="27" l="1"/>
  <c r="M8" i="27"/>
  <c r="M7" i="27"/>
  <c r="M6" i="27"/>
  <c r="M5" i="27"/>
  <c r="M4" i="27"/>
  <c r="B28" i="23" l="1"/>
  <c r="B26" i="23"/>
  <c r="B25" i="23"/>
  <c r="B24" i="23"/>
  <c r="B23" i="23"/>
  <c r="Q8" i="16" l="1"/>
  <c r="K8" i="16"/>
  <c r="J8" i="16"/>
  <c r="I8" i="16"/>
  <c r="H8" i="16"/>
  <c r="G8" i="16"/>
  <c r="F8" i="16"/>
  <c r="Q5" i="16"/>
  <c r="Q27" i="15" l="1"/>
  <c r="L27" i="15"/>
  <c r="K27" i="15"/>
  <c r="J27" i="15"/>
  <c r="I27" i="15"/>
  <c r="H27" i="15"/>
  <c r="G27" i="15"/>
  <c r="Q25" i="15"/>
  <c r="L25" i="15"/>
  <c r="K25" i="15"/>
  <c r="J25" i="15"/>
  <c r="I25" i="15"/>
  <c r="H25" i="15"/>
  <c r="G25" i="15"/>
  <c r="Q24" i="15"/>
  <c r="B43" i="15" s="1"/>
  <c r="L24" i="15"/>
  <c r="K24" i="15"/>
  <c r="J24" i="15"/>
  <c r="I24" i="15"/>
  <c r="H24" i="15"/>
  <c r="G24" i="15"/>
  <c r="Q23" i="15"/>
  <c r="B42" i="15" s="1"/>
  <c r="L23" i="15"/>
  <c r="K23" i="15"/>
  <c r="J23" i="15"/>
  <c r="I23" i="15"/>
  <c r="H23" i="15"/>
  <c r="G23" i="15"/>
  <c r="Q22" i="15"/>
  <c r="B41" i="15" s="1"/>
  <c r="L22" i="15"/>
  <c r="K22" i="15"/>
  <c r="J22" i="15"/>
  <c r="I22" i="15"/>
  <c r="H22" i="15"/>
  <c r="G22" i="15"/>
  <c r="Q21" i="15"/>
  <c r="B40" i="15" s="1"/>
  <c r="L21" i="15"/>
  <c r="K21" i="15"/>
  <c r="J21" i="15"/>
  <c r="I21" i="15"/>
  <c r="H21" i="15"/>
  <c r="G21" i="15"/>
  <c r="A76" i="39" l="1"/>
  <c r="A27" i="19"/>
  <c r="B11" i="21"/>
  <c r="AH11" i="21"/>
  <c r="K5" i="16" l="1"/>
  <c r="F5" i="16"/>
  <c r="G5" i="16"/>
  <c r="H5" i="16"/>
  <c r="I5" i="16"/>
  <c r="J5" i="16"/>
  <c r="A2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A81" authorId="0" shapeId="0" xr:uid="{EF7BD57D-6E69-4B61-AEDE-BF7083C170F1}">
      <text>
        <r>
          <rPr>
            <b/>
            <sz val="9"/>
            <color indexed="81"/>
            <rFont val="Tahoma"/>
            <charset val="1"/>
          </rPr>
          <t>Eric Schrepel:</t>
        </r>
        <r>
          <rPr>
            <sz val="9"/>
            <color indexed="81"/>
            <rFont val="Tahoma"/>
            <charset val="1"/>
          </rPr>
          <t xml:space="preserve">
1) Insert column before last FY
2) Manually copy FY values, matching against column B
3) Update new FY column heading
4) Sort each section of above table on new FY (desc), copy column B and values to first table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C1" authorId="0" shapeId="0" xr:uid="{CD331B35-8CC8-4D83-8015-F60412A56A54}">
      <text>
        <r>
          <rPr>
            <b/>
            <sz val="9"/>
            <color indexed="81"/>
            <rFont val="Tahoma"/>
            <family val="2"/>
          </rPr>
          <t>Eric Schrepel:</t>
        </r>
        <r>
          <rPr>
            <sz val="9"/>
            <color indexed="81"/>
            <rFont val="Tahoma"/>
            <family val="2"/>
          </rPr>
          <t xml:space="preserve">
1) Insert column before last FY
2) Copy last FY to newly inserted column
3) Update column heading for new FY
4) Copy from BPA sheet to new FY
5) Use this to support sheets 1A, 1B (ensure 1B includes newly added column)</t>
        </r>
      </text>
    </comment>
    <comment ref="O2" authorId="1" shapeId="0" xr:uid="{682ED8F1-248D-4163-A083-003A15EFFD1E}">
      <text>
        <r>
          <rPr>
            <sz val="8"/>
            <color indexed="81"/>
            <rFont val="Tahoma"/>
            <family val="2"/>
          </rPr>
          <t>updated to FY 95 Congressional actual to the budget document. 3/23/94</t>
        </r>
      </text>
    </comment>
    <comment ref="P2" authorId="1" shapeId="0" xr:uid="{FE2AD897-7F1B-46C3-9456-F4ECAFE0D697}">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732B9A89-016A-4FAA-AE9C-4A912830B645}">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<sst xmlns="http://schemas.openxmlformats.org/spreadsheetml/2006/main" count="648" uniqueCount="456">
  <si>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</si>
  <si>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</si>
  <si>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</si>
  <si>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</si>
  <si>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</si>
  <si>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</si>
  <si>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</si>
  <si>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</si>
  <si>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</si>
  <si>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</si>
  <si>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</si>
  <si>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</si>
  <si>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</si>
  <si>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</si>
  <si>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</si>
  <si>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</si>
  <si>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</si>
  <si>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</si>
  <si>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</si>
  <si>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</si>
  <si>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</si>
  <si>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</si>
  <si>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</si>
  <si>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</si>
  <si>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</si>
  <si>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</si>
  <si>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</si>
  <si>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</si>
  <si>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</si>
  <si>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</si>
  <si>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</si>
  <si>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</si>
  <si>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</si>
  <si>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</si>
  <si>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</si>
  <si>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</si>
  <si>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</si>
  <si>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</si>
  <si>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</si>
  <si>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</si>
  <si>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</si>
  <si>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</si>
  <si>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</si>
  <si>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</si>
  <si>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</si>
  <si>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</si>
  <si>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</si>
  <si>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</si>
  <si>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</si>
  <si>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</si>
  <si>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</si>
  <si>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</si>
  <si>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</si>
  <si>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Columbia Land Trust</t>
  </si>
  <si>
    <t>Colville Confederated Tribes</t>
  </si>
  <si>
    <t>Idaho Department of Fish and Game (IDFG)</t>
  </si>
  <si>
    <t>Idaho Office of Species Conservation</t>
  </si>
  <si>
    <t>Nature Conservancy</t>
  </si>
  <si>
    <t>Nez Perce Tribe</t>
  </si>
  <si>
    <t>Oregon Watershed Enhancement Board</t>
  </si>
  <si>
    <t>Salish and Kootenai Confederated Tribes</t>
  </si>
  <si>
    <t>Shoshone-Bannock Tribes</t>
  </si>
  <si>
    <t>Shoshone-Paiute Tribes</t>
  </si>
  <si>
    <t>Umatilla Confederated Tribes (CTUIR)</t>
  </si>
  <si>
    <t>Yakama Confederated Tribes</t>
  </si>
  <si>
    <t>Fixed Expenses</t>
  </si>
  <si>
    <t>Direct Program</t>
  </si>
  <si>
    <t>Reimbursable Expenses</t>
  </si>
  <si>
    <t>Forgone Revenues</t>
  </si>
  <si>
    <t>Power Purchases</t>
  </si>
  <si>
    <t>1978-80</t>
  </si>
  <si>
    <t>TOTAL PROGRAM</t>
  </si>
  <si>
    <t>Total General</t>
  </si>
  <si>
    <t>Figure subtitle:</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</si>
  <si>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</si>
  <si>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</si>
  <si>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</si>
  <si>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</si>
  <si>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</si>
  <si>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Ocean</t>
  </si>
  <si>
    <t>Montana</t>
  </si>
  <si>
    <t>Oregon</t>
  </si>
  <si>
    <t>Idaho</t>
  </si>
  <si>
    <t>Washington</t>
  </si>
  <si>
    <t>STATE</t>
  </si>
  <si>
    <t>GRAND TOTAL</t>
  </si>
  <si>
    <t>OTHER TOTAL</t>
  </si>
  <si>
    <t>NATIONAL FISH &amp; WILDLIFE FOUNDATION</t>
  </si>
  <si>
    <t>UTILITY</t>
  </si>
  <si>
    <r>
      <t>LAND ACQUISITIONS</t>
    </r>
    <r>
      <rPr>
        <vertAlign val="superscript"/>
        <sz val="11"/>
        <rFont val="Century Gothic"/>
        <family val="2"/>
      </rPr>
      <t>2</t>
    </r>
  </si>
  <si>
    <t>COLUMBIA BASIN FISH &amp; WILDLIFE AUTHORITY</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</si>
  <si>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</si>
  <si>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</si>
  <si>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</si>
  <si>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</si>
  <si>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</si>
  <si>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</si>
  <si>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</si>
  <si>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</si>
  <si>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</si>
  <si>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</si>
  <si>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</si>
  <si>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</si>
  <si>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</si>
  <si>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</si>
  <si>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</si>
  <si>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</si>
  <si>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</si>
  <si>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</si>
  <si>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</si>
  <si>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</si>
  <si>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</si>
  <si>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</si>
  <si>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</si>
  <si>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</si>
  <si>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</si>
  <si>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</si>
  <si>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</si>
  <si>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</si>
  <si>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</si>
  <si>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</si>
  <si>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</si>
  <si>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</si>
  <si>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</si>
  <si>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</si>
  <si>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</si>
  <si>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</si>
  <si>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</si>
  <si>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</si>
  <si>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</si>
  <si>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</si>
  <si>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</si>
  <si>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</si>
  <si>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</si>
  <si>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</si>
  <si>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NATIONAL MARINE FISHERIES (NOAA)</t>
  </si>
  <si>
    <t>FEDERAL</t>
  </si>
  <si>
    <t>Prime Contractor</t>
  </si>
  <si>
    <t>Contractor Type</t>
  </si>
  <si>
    <t>Federal</t>
  </si>
  <si>
    <t>State</t>
  </si>
  <si>
    <t>Tribe</t>
  </si>
  <si>
    <t>Interstate</t>
  </si>
  <si>
    <t>University</t>
  </si>
  <si>
    <t>Federal: National Marine Fisheries</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</si>
  <si>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</si>
  <si>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</si>
  <si>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</si>
  <si>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</si>
  <si>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</si>
  <si>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</si>
  <si>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</si>
  <si>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</si>
  <si>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</si>
  <si>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</si>
  <si>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</si>
  <si>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</si>
  <si>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</si>
  <si>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</si>
  <si>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</si>
  <si>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</si>
  <si>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</si>
  <si>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</si>
  <si>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</si>
  <si>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</si>
  <si>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</si>
  <si>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</si>
  <si>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</si>
  <si>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</si>
  <si>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</si>
  <si>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</si>
  <si>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</si>
  <si>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</si>
  <si>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</si>
  <si>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Direct F&amp;W Program</t>
  </si>
  <si>
    <t>Lower Snake Comp Plan</t>
  </si>
  <si>
    <t>Corps of Engineers O&amp;M (est.)</t>
  </si>
  <si>
    <t>Bureau of Reclamation O&amp;M (est.)</t>
  </si>
  <si>
    <t>NW Power &amp; Conservation Council</t>
  </si>
  <si>
    <t>Interest Expense (est.)</t>
  </si>
  <si>
    <t>Power Purchases for Fish Enhancement (est.)</t>
  </si>
  <si>
    <t>1) Estimated spending is based at the project level.  Therefore, if a project partially supports the FCRPS BiOp, all expenditures for the project are included.</t>
  </si>
  <si>
    <t xml:space="preserve">FIGURE 2. </t>
  </si>
  <si>
    <t>Total BiOp (non-Accord)</t>
  </si>
  <si>
    <t>Coordination (Local/Regional)</t>
  </si>
  <si>
    <t>Habitat (Restoration/Protection)</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</si>
  <si>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</si>
  <si>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</si>
  <si>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</si>
  <si>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</si>
  <si>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</si>
  <si>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</si>
  <si>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</si>
  <si>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</si>
  <si>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</si>
  <si>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</si>
  <si>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</si>
  <si>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</si>
  <si>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</si>
  <si>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Confederated Tribes of the Warm Springs</t>
  </si>
  <si>
    <t>Totals</t>
  </si>
  <si>
    <t>Tribe: Shoshone-Paiute Tribes</t>
  </si>
  <si>
    <t>for graph (footnote marks removed)</t>
  </si>
  <si>
    <t>PACIFIC NW NATIONAL LABORATORY/DEPT. OF ENERGY</t>
  </si>
  <si>
    <t>FORT McDERMITT TRIBE</t>
  </si>
  <si>
    <t>UNIVERSITIES</t>
  </si>
  <si>
    <t>Federal: US Forest Service</t>
  </si>
  <si>
    <t>Other: Utility</t>
  </si>
  <si>
    <t>Supplementation</t>
  </si>
  <si>
    <t>2) Passage projects were moved from Capital to Expense funding starting with FY16 contracts.</t>
  </si>
  <si>
    <r>
      <t>2016</t>
    </r>
    <r>
      <rPr>
        <b/>
        <vertAlign val="superscript"/>
        <sz val="12"/>
        <rFont val="Century Gothic"/>
        <family val="2"/>
      </rPr>
      <t xml:space="preserve"> 3 </t>
    </r>
  </si>
  <si>
    <t>Steelhead - Upper Columbia River DPS (endangered)</t>
  </si>
  <si>
    <t>1) Direct spending can be tracked back to a work element where the contractor explicitly identified the "Primary Focal Species" benefiting from the work.</t>
  </si>
  <si>
    <r>
      <t>Coordination (BPA Overhead)</t>
    </r>
    <r>
      <rPr>
        <vertAlign val="superscript"/>
        <sz val="12"/>
        <rFont val="Century Gothic"/>
        <family val="2"/>
      </rPr>
      <t xml:space="preserve"> 3</t>
    </r>
  </si>
  <si>
    <r>
      <t>2016</t>
    </r>
    <r>
      <rPr>
        <b/>
        <vertAlign val="superscript"/>
        <sz val="12"/>
        <rFont val="Century Gothic"/>
        <family val="2"/>
      </rPr>
      <t xml:space="preserve"> 4</t>
    </r>
  </si>
  <si>
    <t>3) Program Support/Admin includes spending that cannot be traced back to a contract that has at least one work element requiring location; contracts without any work elements at all; program level spending not mapped to a specific project; and BPA Overhead.</t>
  </si>
  <si>
    <r>
      <t>2016</t>
    </r>
    <r>
      <rPr>
        <b/>
        <vertAlign val="superscript"/>
        <sz val="12"/>
        <rFont val="Century Gothic"/>
        <family val="2"/>
      </rPr>
      <t xml:space="preserve"> 2</t>
    </r>
  </si>
  <si>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</si>
  <si>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</si>
  <si>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 xml:space="preserve">4/  "Fixed Expenses" include depreciation, amortization and interest on investments on the Corps of Engineers' projects, and amortization and interest on the investments associated with BPA's direct Fish and Wildlife Program.                         
</t>
  </si>
  <si>
    <t>◄</t>
  </si>
  <si>
    <t>Capital investments</t>
  </si>
  <si>
    <t>Federal credits from U.S. Treasury 4(h)(10)(C)</t>
  </si>
  <si>
    <r>
      <t xml:space="preserve">2016 </t>
    </r>
    <r>
      <rPr>
        <b/>
        <vertAlign val="superscript"/>
        <sz val="12"/>
        <rFont val="Century Gothic"/>
        <family val="2"/>
      </rPr>
      <t>2</t>
    </r>
  </si>
  <si>
    <t>Note: Create legend for this chart in InDesign so that the top-to-bottom order matches (Excel reverses it)</t>
  </si>
  <si>
    <t>Power Purchases (row 27)</t>
  </si>
  <si>
    <t>Forgone Revenues (row 26)</t>
  </si>
  <si>
    <t>Reimbursable Expenses (row 17</t>
  </si>
  <si>
    <t>Direct Program (row 9)</t>
  </si>
  <si>
    <t>Fixed Expenses (row 23)</t>
  </si>
  <si>
    <t>Direct Program chart</t>
  </si>
  <si>
    <t>Subtitle (change this to point to current FY)</t>
  </si>
  <si>
    <t>axis titles with</t>
  </si>
  <si>
    <t>current FY data</t>
  </si>
  <si>
    <t>◄ also edit 2nd</t>
  </si>
  <si>
    <t>(graph uses these formulas)</t>
  </si>
  <si>
    <t>◄ 1) Insert current year *before* last column, 2) copy values from last column to inserted column, 3) update FY in last column to point to current FY</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</si>
  <si>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</si>
  <si>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G&amp;A</t>
  </si>
  <si>
    <t>CRSO EIS</t>
  </si>
  <si>
    <t>Program Support/Admin/Overhead/Other</t>
  </si>
  <si>
    <t>Kalispel Tribe</t>
  </si>
  <si>
    <t>Kootenai Tribe</t>
  </si>
  <si>
    <t>OREGON DEPARTMENT OF ENVIRONMENTAL QUALITY</t>
  </si>
  <si>
    <t>BPA G&amp;A</t>
  </si>
  <si>
    <t>G&amp;A + CRSO EIS</t>
  </si>
  <si>
    <t>y</t>
  </si>
  <si>
    <t>match?</t>
  </si>
  <si>
    <t>(For subtitle calculations only:)</t>
  </si>
  <si>
    <t>Total Capital Investments (row 7)</t>
  </si>
  <si>
    <t>Total Credits (row 33)</t>
  </si>
  <si>
    <r>
      <t xml:space="preserve">PROGRAM SUPPORT/ADMIN/ OVERHEAD </t>
    </r>
    <r>
      <rPr>
        <vertAlign val="superscript"/>
        <sz val="11"/>
        <rFont val="Century Gothic"/>
        <family val="2"/>
      </rPr>
      <t>3</t>
    </r>
  </si>
  <si>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</si>
  <si>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</si>
  <si>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</si>
  <si>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</si>
  <si>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</si>
  <si>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</si>
  <si>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</si>
  <si>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</si>
  <si>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</si>
  <si>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</si>
  <si>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</si>
  <si>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</si>
  <si>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</si>
  <si>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</si>
  <si>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</si>
  <si>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</si>
  <si>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</si>
  <si>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</si>
  <si>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</si>
  <si>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</si>
  <si>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</si>
  <si>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</si>
  <si>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</si>
  <si>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</si>
  <si>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</si>
  <si>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</si>
  <si>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</si>
  <si>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</si>
  <si>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</si>
  <si>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</si>
  <si>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</si>
  <si>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</si>
  <si>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</si>
  <si>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</si>
  <si>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</si>
  <si>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</si>
  <si>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</si>
  <si>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</si>
  <si>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</si>
  <si>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</si>
  <si>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</si>
  <si>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</si>
  <si>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</si>
  <si>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</si>
  <si>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</si>
  <si>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</si>
  <si>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</si>
  <si>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</si>
  <si>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</si>
  <si>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</si>
  <si>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</si>
  <si>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</si>
  <si>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</si>
  <si>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</si>
  <si>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</si>
  <si>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</si>
  <si>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</si>
  <si>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</si>
  <si>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</si>
  <si>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</si>
  <si>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</si>
  <si>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</si>
  <si>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</si>
  <si>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</si>
  <si>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</si>
  <si>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</si>
  <si>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</si>
  <si>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</si>
  <si>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</si>
  <si>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3) Program Support/Admin includes spending that cannot be traced back to a contract that has at least one work element requiring location; contracts without any work elements at all; program level spending not mapped to a specific project.</t>
  </si>
  <si>
    <t>CHIEF JOSEPH HATCHERY PUD COST SHARE</t>
  </si>
  <si>
    <t>As of FY 2019 report (Feb 2020), this chart is no longer included</t>
  </si>
  <si>
    <t>Source: "1978-20xx Total Cost of BPA Fish &amp; Wildlife Actions" sheet usually provided by BPA</t>
  </si>
  <si>
    <t>◄ BPA row 26</t>
  </si>
  <si>
    <t>◄ BPA row 20</t>
  </si>
  <si>
    <t>◄ BPA rows 21+22</t>
  </si>
  <si>
    <t>◄ BPA row 27</t>
  </si>
  <si>
    <t>◄ BPA row 14</t>
  </si>
  <si>
    <t>◄ BPA row 13</t>
  </si>
  <si>
    <t>◄ BPA row 15</t>
  </si>
  <si>
    <t>◄ BPA row 16</t>
  </si>
  <si>
    <t>◄ BPA row 9</t>
  </si>
  <si>
    <t>◄ BPA row 31</t>
  </si>
  <si>
    <t>Add'l chart labels:</t>
  </si>
  <si>
    <t>Formatted for chart:</t>
  </si>
  <si>
    <t>Fund</t>
  </si>
  <si>
    <r>
      <t>2016</t>
    </r>
    <r>
      <rPr>
        <b/>
        <vertAlign val="superscript"/>
        <sz val="12"/>
        <rFont val="Century Gothic"/>
        <family val="2"/>
      </rPr>
      <t xml:space="preserve"> 2, 3</t>
    </r>
  </si>
  <si>
    <t>1) BiOp tracking at fund level began in 2009; Accords began in 2008.</t>
  </si>
  <si>
    <t>Subbasin</t>
  </si>
  <si>
    <t>Steps to update chart (see note)</t>
  </si>
  <si>
    <t>1) Values above include accruals.</t>
  </si>
  <si>
    <t>DEPARTMENT OF THE INTERIOR</t>
  </si>
  <si>
    <t>◄ BPA row 7</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</si>
  <si>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</si>
  <si>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</si>
  <si>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</si>
  <si>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</si>
  <si>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</si>
  <si>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</si>
  <si>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</si>
  <si>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</si>
  <si>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</si>
  <si>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</si>
  <si>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</si>
  <si>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</si>
  <si>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</si>
  <si>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t xml:space="preserve">         BPA  FISH AND WILDLIFE  </t>
  </si>
  <si>
    <t xml:space="preserve">         ASSOCIATED PROJECTS (FEDERAL HYDRO) </t>
  </si>
  <si>
    <t xml:space="preserve">     TOTAL  CAPITAL  INVESTMENTS</t>
  </si>
  <si>
    <t>PROGRAM EXPENSES</t>
  </si>
  <si>
    <t xml:space="preserve">BPA  DIRECT FISH AND WILDLIFE PROGRAM  </t>
  </si>
  <si>
    <t xml:space="preserve">        O &amp; M CORPS OF ENGINEERS</t>
  </si>
  <si>
    <t xml:space="preserve">        O &amp; M BUREAU OF RECLAMATION</t>
  </si>
  <si>
    <t xml:space="preserve">        NW POWER AND CONSERVATION COUNCIL ALLOCATED @ 50%</t>
  </si>
  <si>
    <t>SUBTOTAL (REIMB/DIRECT-FUNDED)</t>
  </si>
  <si>
    <t xml:space="preserve">      TOTAL OPERATING EXPENSES</t>
  </si>
  <si>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</si>
  <si>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</si>
  <si>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</si>
  <si>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</si>
  <si>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</si>
  <si>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</si>
  <si>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BPA POWER PURCH. FOR FISH ENHANCEMENT  </t>
  </si>
  <si>
    <t>CREDITS</t>
  </si>
  <si>
    <t>4(h)(10)(C)</t>
  </si>
  <si>
    <t>FISH COST CONTINGENCY FUND</t>
  </si>
  <si>
    <t>TOTAL CREDITS</t>
  </si>
  <si>
    <t>This information has been made publicly available by BPA on 3/25/2008.  The figures shown are consistent with audited actuals that contain Agency approved financial information, except for forgone revenues and power purchases which are estimates and do not contain Agency approved financial information</t>
  </si>
  <si>
    <r>
      <t xml:space="preserve">CAPITAL  INVESTMENTS </t>
    </r>
    <r>
      <rPr>
        <b/>
        <u/>
        <vertAlign val="superscript"/>
        <sz val="10"/>
        <rFont val="Arial"/>
        <family val="2"/>
      </rPr>
      <t xml:space="preserve"> 1/</t>
    </r>
  </si>
  <si>
    <r>
      <t xml:space="preserve">SUPPLEMENTAL MITIGATION PROGRAM EXPENSES </t>
    </r>
    <r>
      <rPr>
        <b/>
        <vertAlign val="superscript"/>
        <sz val="10"/>
        <rFont val="Arial"/>
        <family val="2"/>
      </rPr>
      <t>2/</t>
    </r>
  </si>
  <si>
    <r>
      <t xml:space="preserve">REIMBURSABLE/DIRECT-FUNDED PROJECTS </t>
    </r>
    <r>
      <rPr>
        <b/>
        <vertAlign val="superscript"/>
        <sz val="10"/>
        <rFont val="Arial"/>
        <family val="2"/>
      </rPr>
      <t>3/</t>
    </r>
  </si>
  <si>
    <r>
      <t xml:space="preserve">PROGRAM RELATED FIXED EXPENSES   </t>
    </r>
    <r>
      <rPr>
        <b/>
        <vertAlign val="superscript"/>
        <sz val="10"/>
        <rFont val="Arial"/>
        <family val="2"/>
      </rPr>
      <t>4/</t>
    </r>
  </si>
  <si>
    <t xml:space="preserve">        O &amp; M LOWER SNAKE RIVER HATCHERIES</t>
  </si>
  <si>
    <t>See "BPA Cost Table" sheet for data</t>
  </si>
  <si>
    <t>Lower Columbia Estuary Partnership (LCEP)</t>
  </si>
  <si>
    <t>4) See Figure 2, note 4</t>
  </si>
  <si>
    <t>5) See Figure 2, note 4</t>
  </si>
  <si>
    <t>RM&amp;E</t>
  </si>
  <si>
    <t>This information has been made publicly available by BPA in January 2022. The figures shown are consistent with audited actuals that contain Agency approved financial information, except for forgone revenues and power purchases which are estimates and do not contain Agency approved financial information</t>
  </si>
  <si>
    <t>▼ This gets used in InDesign subtitle, total capital expense for current FY</t>
  </si>
  <si>
    <t>Values to chart (skip bottom 1% or so)</t>
  </si>
  <si>
    <t>Federal: US Army Corps of Engineers</t>
  </si>
  <si>
    <t>Federal: US Bureau of Reclamation</t>
  </si>
  <si>
    <t>Tribe: Salish-Kootenai Tribes</t>
  </si>
  <si>
    <t>TOTAL FORGONE REVENUES AND POWER PURCHASES</t>
  </si>
  <si>
    <t>TOTAL PROGRAM EXPENSES, FORGONE REVENUES, &amp; POWER PURCHASES</t>
  </si>
  <si>
    <t xml:space="preserve">FORGONE REVENUES </t>
  </si>
  <si>
    <t xml:space="preserve"> Total Cost of BPA Fish &amp; Wildlife Actions (millions of $)</t>
  </si>
  <si>
    <t>Forgone Revenue (est.)</t>
  </si>
  <si>
    <t xml:space="preserve">1) Starting in 2008, spending can be tracked back to a work element where the contractor explicitly identified the "Primary Focal Species" benefiting from the work.  </t>
  </si>
  <si>
    <r>
      <t>Total BPA Overhead</t>
    </r>
    <r>
      <rPr>
        <vertAlign val="superscript"/>
        <sz val="12"/>
        <rFont val="Century Gothic"/>
        <family val="2"/>
      </rPr>
      <t>4</t>
    </r>
  </si>
  <si>
    <t>3) See Figure 2, note 2</t>
  </si>
  <si>
    <t>4) See Figure 2, note 2</t>
  </si>
  <si>
    <r>
      <t>Program Support</t>
    </r>
    <r>
      <rPr>
        <vertAlign val="superscript"/>
        <sz val="12"/>
        <rFont val="Century Gothic"/>
        <family val="2"/>
      </rPr>
      <t>3</t>
    </r>
  </si>
  <si>
    <r>
      <t>G&amp;A</t>
    </r>
    <r>
      <rPr>
        <vertAlign val="superscript"/>
        <sz val="12"/>
        <rFont val="Century Gothic"/>
        <family val="2"/>
      </rPr>
      <t>2</t>
    </r>
  </si>
  <si>
    <r>
      <t>CJH Cost Share</t>
    </r>
    <r>
      <rPr>
        <vertAlign val="superscript"/>
        <sz val="12"/>
        <rFont val="Century Gothic"/>
        <family val="2"/>
      </rPr>
      <t>4</t>
    </r>
  </si>
  <si>
    <t>4) During the construction of CJH, BPA received cost share from a PUD (as Capital). BPA still receives cost share (as Expense), but it is intertwined with other CJH data.</t>
  </si>
  <si>
    <t>1) Estimated spending is based at the project level.  Therefore if a project is assigned a purpose of Artificial Production, but also does Harvest, all expenditures for the project are included under Artificial Production.</t>
  </si>
  <si>
    <t>3) Program Support includes contracts that contain only administrative work elements or program level spending that could not be mapped to a specific project.</t>
  </si>
  <si>
    <t>Total Agreement - BiOp</t>
  </si>
  <si>
    <t>Total Agreement - Non-BiOp</t>
  </si>
  <si>
    <r>
      <t>Total Agreement</t>
    </r>
    <r>
      <rPr>
        <vertAlign val="superscript"/>
        <sz val="12"/>
        <rFont val="Century Gothic"/>
        <family val="2"/>
      </rPr>
      <t>1</t>
    </r>
  </si>
  <si>
    <t>2) Spending is estimated based on the % of funding towards a project. For example, if a project budget is 70% BiOp and 30% General, the project expenditures will be prorated 70% towards BiOp and 30% General.</t>
  </si>
  <si>
    <t>6) FY2020 revised as of January 24, 2022</t>
  </si>
  <si>
    <t>5) Some work elements do not map to a specific focal species, such as coordination and administration projects, so are identified as Program Support</t>
  </si>
  <si>
    <t>4) FY 2020 revised as of January 24, 2022</t>
  </si>
  <si>
    <t>2) Other includes: Northern Oregon Coastal, Oregon Closed Basins, Puget Sound, SW Washington Coastal and “undetermined”, such as work in Canada for the Kootenai River white sturgeon</t>
  </si>
  <si>
    <r>
      <t>PRIVATE/NON-PROFIT/OTHER</t>
    </r>
    <r>
      <rPr>
        <vertAlign val="superscript"/>
        <sz val="11"/>
        <rFont val="Century Gothic"/>
        <family val="2"/>
      </rPr>
      <t>3</t>
    </r>
  </si>
  <si>
    <t>3) Expenditures are reported for the project proponent under which the acquisition was funded (may/may not be the land manager)</t>
  </si>
  <si>
    <t>4) FY2020 revised as of January 2022</t>
  </si>
  <si>
    <r>
      <t>British Columbia</t>
    </r>
    <r>
      <rPr>
        <vertAlign val="superscript"/>
        <sz val="12"/>
        <color theme="1"/>
        <rFont val="Century Gothic"/>
        <family val="2"/>
      </rPr>
      <t>1</t>
    </r>
  </si>
  <si>
    <r>
      <t>Nevada</t>
    </r>
    <r>
      <rPr>
        <vertAlign val="superscript"/>
        <sz val="12"/>
        <color theme="1"/>
        <rFont val="Century Gothic"/>
        <family val="2"/>
      </rPr>
      <t>1</t>
    </r>
  </si>
  <si>
    <t>1) Some work outside of Council subbasins include work with Kootenai Tribe in BC and Shoshone-Paiute Tribe in Nevada</t>
  </si>
  <si>
    <t>2) Starting in 2008, spending by state is tracked in Pisces based on where the contractor explicitly identified work location.</t>
  </si>
  <si>
    <t>3) Program Support/Admin/Other includes spending that cannot be traced back to a contract that has at least one work element requiring location; contracts without any work elements; program level spending not mapped to a specific project or NPCC province; and BPA Overhead.</t>
  </si>
  <si>
    <r>
      <t>LOCAL/SEMI GOVERNMENT</t>
    </r>
    <r>
      <rPr>
        <vertAlign val="superscript"/>
        <sz val="11"/>
        <rFont val="Century Gothic"/>
        <family val="2"/>
      </rPr>
      <t>4</t>
    </r>
  </si>
  <si>
    <t>4) Local/semi-government includes local Soil &amp; Water Conservation Districts, Irrigation Districts, cities and counties</t>
  </si>
  <si>
    <t>Total reimburseable expenses</t>
  </si>
  <si>
    <t>Total fixed expenses</t>
  </si>
  <si>
    <t>3/ "Reimbursable/Direct-Funded Projects" includes the portion of expenses BPA pays to or on behalf of other entities that is determined to be for fish and wildlife purposes.</t>
  </si>
  <si>
    <t>2) In prior years,  a portion of BPA agency G&amp;A was allocated to F&amp;W Overhead. Starting in FY2018, the agency G&amp;A was calculated using a revised methodology and recognized as a distinct charge from the F&amp;W program overhead.  However, those charges are included in the 4h10c crediting as part of total F&amp;W expenses.  Similar to G&amp;A, the CRSO EIS also has a portion included in the F&amp;W total expenses, but it is not directly part of the Integrated F&amp;W program.</t>
  </si>
  <si>
    <t>4) BPA overhead includes all BPA expenses for staff, travel/training, NEPA, Cultural Resources, as well as Technical Service contracts.</t>
  </si>
  <si>
    <t>3) Starting in Fiscal Year 2015 (and revised for FY2014), expenses by Category will now separate Coordination expenses between Regional/Local Coordination and BPA Overhead (project 2003-048-00 only).</t>
  </si>
  <si>
    <t>2) Land acquisitions may include wildlife settlements, fish restoration, and resident fish. Starting in FY 2013, land acquisition values may include stewardship expenses for long-term operations and maintenance (O&amp;M).</t>
  </si>
  <si>
    <t>Federal: BPA Overhead (&amp; Non-Contracted Project expenses)</t>
  </si>
  <si>
    <t>2) Starting in FY2013, land acquisition values may include stewardship expenses for long-term operations and maintenance (O&amp;M)</t>
  </si>
  <si>
    <t>4) Stewardship expenses represent a one-time payment for O&amp;M in perpetuity</t>
  </si>
  <si>
    <t>Table/Figure 12: Cumulative expenses 1978-2018, by Major Spending Area</t>
  </si>
  <si>
    <t xml:space="preserve">         BPA  SOFTWARE DEVELOPMENT expenses </t>
  </si>
  <si>
    <t>FISH &amp; WILDLIFE SOFTWARE EXPENSE expenses</t>
  </si>
  <si>
    <t>BiOp (non Accord)</t>
  </si>
  <si>
    <t>General</t>
  </si>
  <si>
    <t>Overhead</t>
  </si>
  <si>
    <t>Coordination &amp; Project Mgmt</t>
  </si>
  <si>
    <t>3) "Other: Private/Non-Profit/Other" includes direct contracts with organizations such as, but not exclusive to, consulting and construction firms, non-profits, foundations, the NPCC, or non-governmental organizations. part of the NPCC budget, various consulting firms, hatchery construction firms, non-profits, NGO’s, and foundations</t>
  </si>
  <si>
    <t>Figure 1: Costs by Major Area, FY2021</t>
  </si>
  <si>
    <t>Graphs and tables used in the FY 2021 Columbia River Basin F&amp;W Program Costs Report (document 2022-1)</t>
  </si>
  <si>
    <t>Figure 1B: Combined Direct Program and Capital Borrowing Costs, FY 2007-2019</t>
  </si>
  <si>
    <t>Figure 4: ESA-Listed Fish Costs, FY2021</t>
  </si>
  <si>
    <t>Accords - BiOp</t>
  </si>
  <si>
    <t>Accords - non-BiOp</t>
  </si>
  <si>
    <t>BPA OVERHEAD (&amp; NON-CONTRACTED PROJECT COSTS)</t>
  </si>
  <si>
    <t>x</t>
  </si>
  <si>
    <t>Amortization/Depreciation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</si>
</sst>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0.0_);\(0.0\)"/>
    <numFmt numFmtId="173" formatCode="0.000"/>
    <numFmt numFmtId="174" formatCode="_(* #,##0_);_(* \(#,##0\);_(* &quot;-&quot;??_);_(@_)"/>
    <numFmt numFmtId="175" formatCode="0_);\(0\)"/>
    <numFmt numFmtId="176" formatCode="0.0"/>
    <numFmt numFmtId="177" formatCode="_(* #,##0.0_);_(* \(#,##0.0\);_(* &quot;-&quot;?_);_(@_)"/>
  </numFmts>
  <fonts count="70">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b/>
      <sz val="12"/>
      <color rgb="FFFF0000"/>
      <name val="Century Gothic"/>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1"/>
      <name val="Century Gothic"/>
      <family val="2"/>
    </font>
    <font>
      <sz val="10"/>
      <name val="Arial"/>
      <family val="2"/>
    </font>
    <font>
      <sz val="10"/>
      <name val="Century Gothic"/>
      <family val="2"/>
    </font>
    <font>
      <b/>
      <sz val="10"/>
      <name val="Century Gothic"/>
      <family val="2"/>
    </font>
    <font>
      <b/>
      <sz val="11"/>
      <color theme="0"/>
      <name val="Century Gothic"/>
      <family val="2"/>
    </font>
    <font>
      <sz val="11"/>
      <color theme="1"/>
      <name val="Arial"/>
      <family val="2"/>
    </font>
    <font>
      <sz val="10"/>
      <name val="Arial"/>
      <family val="2"/>
    </font>
    <font>
      <b/>
      <sz val="10"/>
      <color rgb="FFC00000"/>
      <name val="Century Gothic"/>
      <family val="2"/>
    </font>
    <font>
      <sz val="11"/>
      <color rgb="FFC00000"/>
      <name val="Calibri"/>
      <family val="2"/>
      <scheme val="minor"/>
    </font>
    <font>
      <b/>
      <sz val="11"/>
      <color rgb="FFC00000"/>
      <name val="Century Gothic"/>
      <family val="2"/>
    </font>
    <font>
      <b/>
      <sz val="11"/>
      <color rgb="FFC00000"/>
      <name val="Calibri"/>
      <family val="2"/>
      <scheme val="minor"/>
    </font>
    <font>
      <b/>
      <sz val="11"/>
      <color rgb="FFFF0000"/>
      <name val="Calibri"/>
      <family val="2"/>
      <scheme val="minor"/>
    </font>
    <font>
      <b/>
      <sz val="12"/>
      <color rgb="FFFF0000"/>
      <name val="Calibri"/>
      <family val="2"/>
      <scheme val="minor"/>
    </font>
    <font>
      <b/>
      <sz val="11"/>
      <color rgb="FFFF0000"/>
      <name val="Century Gothic"/>
      <family val="2"/>
    </font>
    <font>
      <b/>
      <sz val="11"/>
      <color theme="1"/>
      <name val="Calibri"/>
      <family val="2"/>
      <scheme val="minor"/>
    </font>
    <font>
      <sz val="10"/>
      <color rgb="FFFF0000"/>
      <name val="Arial"/>
      <family val="2"/>
    </font>
    <font>
      <b/>
      <sz val="10"/>
      <color rgb="FFFF0000"/>
      <name val="Arial"/>
      <family val="2"/>
    </font>
    <font>
      <sz val="9"/>
      <color indexed="81"/>
      <name val="Tahoma"/>
      <charset val="1"/>
    </font>
    <font>
      <b/>
      <sz val="9"/>
      <color indexed="81"/>
      <name val="Tahoma"/>
      <charset val="1"/>
    </font>
    <font>
      <b/>
      <sz val="20"/>
      <name val="Helv"/>
    </font>
    <font>
      <sz val="12"/>
      <name val="Comic Sans MS"/>
      <family val="4"/>
    </font>
    <font>
      <sz val="12"/>
      <name val="Arial"/>
      <family val="2"/>
    </font>
    <font>
      <b/>
      <sz val="14"/>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b/>
      <sz val="10"/>
      <name val="Comic Sans MS"/>
      <family val="4"/>
    </font>
    <font>
      <b/>
      <u/>
      <sz val="10"/>
      <name val="Arial"/>
      <family val="2"/>
    </font>
    <font>
      <b/>
      <u/>
      <vertAlign val="superscript"/>
      <sz val="10"/>
      <name val="Arial"/>
      <family val="2"/>
    </font>
    <font>
      <sz val="10"/>
      <name val="Comic Sans MS"/>
      <family val="4"/>
    </font>
    <font>
      <sz val="10"/>
      <color theme="1" tint="4.9989318521683403E-2"/>
      <name val="Arial"/>
      <family val="2"/>
    </font>
    <font>
      <sz val="10"/>
      <color indexed="12"/>
      <name val="Arial"/>
      <family val="2"/>
    </font>
    <font>
      <b/>
      <sz val="10"/>
      <color theme="1" tint="4.9989318521683403E-2"/>
      <name val="Arial"/>
      <family val="2"/>
    </font>
    <font>
      <b/>
      <vertAlign val="superscript"/>
      <sz val="10"/>
      <name val="Arial"/>
      <family val="2"/>
    </font>
    <font>
      <b/>
      <sz val="10"/>
      <color indexed="12"/>
      <name val="Arial"/>
      <family val="2"/>
    </font>
    <font>
      <sz val="10"/>
      <color indexed="10"/>
      <name val="Arial"/>
      <family val="2"/>
    </font>
    <font>
      <b/>
      <sz val="14"/>
      <name val="Helv"/>
    </font>
    <font>
      <b/>
      <sz val="12"/>
      <color rgb="FFC00000"/>
      <name val="Century Gothic"/>
      <family val="2"/>
    </font>
    <font>
      <b/>
      <sz val="11"/>
      <color theme="5"/>
      <name val="Century Gothic"/>
      <family val="2"/>
    </font>
    <font>
      <vertAlign val="superscript"/>
      <sz val="12"/>
      <color theme="1"/>
      <name val="Century Gothic"/>
      <family val="2"/>
    </font>
  </fonts>
  <fills count="16">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rgb="FFC3D69B"/>
        <bgColor indexed="64"/>
      </patternFill>
    </fill>
    <fill>
      <patternFill patternType="solid">
        <fgColor indexed="45"/>
        <bgColor indexed="64"/>
      </patternFill>
    </fill>
    <fill>
      <patternFill patternType="solid">
        <fgColor indexed="44"/>
        <bgColor indexed="64"/>
      </patternFill>
    </fill>
    <fill>
      <patternFill patternType="solid">
        <fgColor theme="3"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0">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30" fillId="0" borderId="0"/>
    <xf numFmtId="0" fontId="35" fillId="0" borderId="0"/>
    <xf numFmtId="0" fontId="2" fillId="0" borderId="0"/>
  </cellStyleXfs>
  <cellXfs count="406">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3"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0" fontId="2" fillId="0" borderId="0" xfId="2"/>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applyAlignment="1">
      <alignment horizontal="left"/>
    </xf>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4" fillId="0" borderId="0" xfId="0" applyFont="1" applyBorder="1"/>
    <xf numFmtId="164" fontId="7" fillId="0" borderId="0" xfId="6" applyNumberFormat="1" applyFont="1" applyBorder="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0" fontId="4" fillId="0" borderId="0" xfId="2" applyFont="1" applyFill="1" applyBorder="1" applyAlignment="1">
      <alignment horizontal="left" indent="1"/>
    </xf>
    <xf numFmtId="0" fontId="23" fillId="0" borderId="0" xfId="2" applyFont="1"/>
    <xf numFmtId="168" fontId="4" fillId="0" borderId="0" xfId="2" applyNumberFormat="1" applyFont="1"/>
    <xf numFmtId="164" fontId="24"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6"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27" fillId="0" borderId="0" xfId="8" applyFont="1"/>
    <xf numFmtId="164" fontId="28" fillId="0" borderId="0" xfId="8" applyNumberFormat="1" applyFont="1" applyBorder="1"/>
    <xf numFmtId="0" fontId="28" fillId="0" borderId="0" xfId="8" applyFont="1"/>
    <xf numFmtId="164" fontId="28" fillId="0" borderId="6" xfId="8" applyNumberFormat="1" applyFont="1" applyBorder="1"/>
    <xf numFmtId="0" fontId="28" fillId="0" borderId="0" xfId="8" applyFont="1" applyAlignment="1"/>
    <xf numFmtId="0" fontId="19" fillId="3"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9" fillId="0" borderId="5" xfId="13" applyFont="1" applyBorder="1" applyAlignment="1">
      <alignment wrapText="1"/>
    </xf>
    <xf numFmtId="0" fontId="19" fillId="3" borderId="0" xfId="0" applyFont="1" applyFill="1" applyBorder="1" applyAlignment="1">
      <alignment wrapText="1"/>
    </xf>
    <xf numFmtId="0" fontId="19" fillId="3" borderId="0" xfId="0" applyFont="1" applyFill="1" applyBorder="1" applyAlignment="1">
      <alignment horizontal="center"/>
    </xf>
    <xf numFmtId="0" fontId="18" fillId="0" borderId="0" xfId="0" applyFont="1" applyBorder="1" applyAlignment="1">
      <alignment wrapText="1"/>
    </xf>
    <xf numFmtId="0" fontId="19" fillId="0" borderId="0" xfId="0" applyFont="1" applyFill="1" applyBorder="1" applyAlignment="1">
      <alignment wrapText="1"/>
    </xf>
    <xf numFmtId="0" fontId="27" fillId="0" borderId="0" xfId="8" applyFont="1"/>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0" fontId="19" fillId="0" borderId="0" xfId="0" applyFont="1" applyFill="1" applyBorder="1"/>
    <xf numFmtId="0" fontId="7" fillId="0" borderId="0" xfId="2" applyFont="1"/>
    <xf numFmtId="0" fontId="31" fillId="0" borderId="0" xfId="2" applyFont="1"/>
    <xf numFmtId="171" fontId="31" fillId="0" borderId="0" xfId="14" applyNumberFormat="1" applyFont="1"/>
    <xf numFmtId="0" fontId="32" fillId="0" borderId="0" xfId="2" applyFont="1"/>
    <xf numFmtId="0" fontId="32" fillId="0" borderId="0" xfId="2" applyFont="1" applyAlignment="1">
      <alignment horizontal="right"/>
    </xf>
    <xf numFmtId="43" fontId="31" fillId="0" borderId="0" xfId="2" applyNumberFormat="1" applyFont="1"/>
    <xf numFmtId="171" fontId="31" fillId="0" borderId="0" xfId="2" applyNumberFormat="1"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164" fontId="4" fillId="0" borderId="0" xfId="0" applyNumberFormat="1" applyFont="1" applyFill="1" applyBorder="1"/>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0" fontId="18" fillId="0" borderId="0" xfId="2" applyFont="1" applyAlignment="1">
      <alignment horizontal="left"/>
    </xf>
    <xf numFmtId="0" fontId="7" fillId="0" borderId="0" xfId="0" applyFont="1" applyBorder="1" applyAlignment="1">
      <alignment vertical="top"/>
    </xf>
    <xf numFmtId="170" fontId="4" fillId="0" borderId="0" xfId="2" applyNumberFormat="1" applyFont="1"/>
    <xf numFmtId="0" fontId="7" fillId="0" borderId="0" xfId="2" applyFont="1" applyAlignment="1">
      <alignment vertical="top"/>
    </xf>
    <xf numFmtId="164" fontId="28" fillId="0" borderId="0" xfId="0" applyNumberFormat="1" applyFont="1" applyFill="1" applyAlignment="1"/>
    <xf numFmtId="164" fontId="28" fillId="0" borderId="0" xfId="0" applyNumberFormat="1" applyFont="1" applyFill="1"/>
    <xf numFmtId="171" fontId="33" fillId="4" borderId="0" xfId="14" applyNumberFormat="1" applyFont="1" applyFill="1"/>
    <xf numFmtId="173" fontId="18" fillId="0" borderId="0" xfId="0" applyNumberFormat="1" applyFont="1" applyFill="1" applyBorder="1" applyAlignment="1">
      <alignment horizontal="center" wrapText="1"/>
    </xf>
    <xf numFmtId="172" fontId="18" fillId="0" borderId="0" xfId="0" applyNumberFormat="1" applyFont="1" applyBorder="1" applyAlignment="1"/>
    <xf numFmtId="173" fontId="18" fillId="0" borderId="0" xfId="0" applyNumberFormat="1" applyFont="1" applyAlignment="1">
      <alignment horizontal="center"/>
    </xf>
    <xf numFmtId="172" fontId="18" fillId="0" borderId="0" xfId="0" applyNumberFormat="1" applyFont="1" applyFill="1" applyAlignment="1">
      <alignment wrapText="1"/>
    </xf>
    <xf numFmtId="171" fontId="33" fillId="5" borderId="0" xfId="14" applyNumberFormat="1" applyFont="1" applyFill="1"/>
    <xf numFmtId="171" fontId="33" fillId="8" borderId="0" xfId="14" applyNumberFormat="1" applyFont="1" applyFill="1"/>
    <xf numFmtId="171" fontId="33" fillId="9" borderId="0" xfId="14" applyNumberFormat="1" applyFont="1" applyFill="1"/>
    <xf numFmtId="171" fontId="33" fillId="10" borderId="0" xfId="14" applyNumberFormat="1" applyFont="1" applyFill="1"/>
    <xf numFmtId="0" fontId="4" fillId="0" borderId="0" xfId="0" applyFont="1" applyBorder="1"/>
    <xf numFmtId="174" fontId="31" fillId="0" borderId="0" xfId="16" applyNumberFormat="1" applyFont="1"/>
    <xf numFmtId="0" fontId="4" fillId="0" borderId="0" xfId="0" applyFont="1" applyBorder="1"/>
    <xf numFmtId="0" fontId="4" fillId="0" borderId="0" xfId="0" applyFont="1" applyBorder="1"/>
    <xf numFmtId="172" fontId="18" fillId="0" borderId="0" xfId="0" applyNumberFormat="1" applyFont="1" applyBorder="1" applyAlignment="1">
      <alignment wrapText="1"/>
    </xf>
    <xf numFmtId="0" fontId="18" fillId="0" borderId="0" xfId="0" applyFont="1" applyAlignment="1">
      <alignment wrapText="1"/>
    </xf>
    <xf numFmtId="172" fontId="18" fillId="0" borderId="0" xfId="0" applyNumberFormat="1" applyFont="1" applyAlignment="1">
      <alignment wrapText="1"/>
    </xf>
    <xf numFmtId="0" fontId="7" fillId="0" borderId="0" xfId="4" applyFont="1" applyFill="1" applyBorder="1" applyAlignment="1">
      <alignment horizontal="left" vertical="top"/>
    </xf>
    <xf numFmtId="0" fontId="4" fillId="0" borderId="0" xfId="0" applyFont="1" applyFill="1" applyAlignment="1">
      <alignment wrapText="1"/>
    </xf>
    <xf numFmtId="0" fontId="18" fillId="0" borderId="0" xfId="0" applyFont="1" applyFill="1" applyBorder="1"/>
    <xf numFmtId="0" fontId="19" fillId="0" borderId="1" xfId="13" applyFont="1" applyBorder="1" applyAlignment="1">
      <alignment wrapText="1"/>
    </xf>
    <xf numFmtId="0" fontId="18" fillId="0" borderId="0" xfId="0" applyFont="1" applyFill="1" applyBorder="1" applyAlignment="1">
      <alignment wrapText="1"/>
    </xf>
    <xf numFmtId="0" fontId="18" fillId="0" borderId="0" xfId="0" applyFont="1" applyFill="1" applyBorder="1" applyAlignment="1"/>
    <xf numFmtId="0" fontId="36" fillId="0" borderId="0" xfId="2" applyFont="1" applyFill="1"/>
    <xf numFmtId="171" fontId="31" fillId="0" borderId="0" xfId="14" applyNumberFormat="1" applyFont="1" applyFill="1"/>
    <xf numFmtId="171" fontId="18" fillId="0" borderId="0" xfId="14" applyNumberFormat="1" applyFont="1"/>
    <xf numFmtId="0" fontId="37" fillId="0" borderId="0" xfId="8" applyFont="1" applyAlignment="1">
      <alignment horizontal="right"/>
    </xf>
    <xf numFmtId="0" fontId="36" fillId="0" borderId="0" xfId="2" applyFont="1"/>
    <xf numFmtId="0" fontId="18" fillId="0" borderId="0" xfId="0" applyFont="1" applyAlignment="1">
      <alignment vertical="top" wrapText="1"/>
    </xf>
    <xf numFmtId="172" fontId="18" fillId="0" borderId="0" xfId="0" applyNumberFormat="1" applyFont="1" applyAlignment="1">
      <alignment vertical="top"/>
    </xf>
    <xf numFmtId="172" fontId="18" fillId="0" borderId="0" xfId="0" applyNumberFormat="1" applyFont="1" applyAlignment="1"/>
    <xf numFmtId="0" fontId="38" fillId="0" borderId="0" xfId="8" applyFont="1"/>
    <xf numFmtId="0" fontId="39" fillId="0" borderId="0" xfId="8" applyFont="1"/>
    <xf numFmtId="0" fontId="39" fillId="0" borderId="0" xfId="2" applyFont="1"/>
    <xf numFmtId="0" fontId="40" fillId="0" borderId="0" xfId="2" applyFont="1"/>
    <xf numFmtId="164" fontId="41" fillId="0" borderId="0" xfId="5" applyNumberFormat="1" applyFont="1" applyBorder="1"/>
    <xf numFmtId="0" fontId="7" fillId="0" borderId="0" xfId="2" applyFont="1" applyFill="1" applyBorder="1" applyAlignment="1">
      <alignment horizontal="left"/>
    </xf>
    <xf numFmtId="0" fontId="42" fillId="0" borderId="0" xfId="2" applyFont="1" applyFill="1" applyBorder="1" applyAlignment="1">
      <alignment horizontal="left"/>
    </xf>
    <xf numFmtId="0" fontId="3" fillId="0" borderId="0" xfId="2" applyFont="1" applyFill="1" applyAlignment="1"/>
    <xf numFmtId="0" fontId="4" fillId="0" borderId="0" xfId="0" applyFont="1" applyBorder="1" applyAlignment="1"/>
    <xf numFmtId="0" fontId="0" fillId="0" borderId="0" xfId="0" applyAlignment="1"/>
    <xf numFmtId="0" fontId="7" fillId="0" borderId="0" xfId="2" applyFont="1" applyFill="1"/>
    <xf numFmtId="164" fontId="42" fillId="0" borderId="0" xfId="5" applyNumberFormat="1" applyFont="1" applyBorder="1"/>
    <xf numFmtId="164" fontId="19" fillId="0" borderId="0" xfId="5" applyNumberFormat="1" applyFont="1" applyBorder="1" applyAlignment="1">
      <alignment horizontal="left"/>
    </xf>
    <xf numFmtId="164" fontId="4" fillId="0" borderId="0" xfId="3" applyNumberFormat="1" applyFont="1" applyFill="1" applyBorder="1"/>
    <xf numFmtId="170" fontId="4" fillId="0" borderId="0" xfId="2" applyNumberFormat="1" applyFont="1" applyBorder="1"/>
    <xf numFmtId="164" fontId="19" fillId="0" borderId="2" xfId="0" applyNumberFormat="1" applyFont="1" applyFill="1" applyBorder="1" applyAlignment="1"/>
    <xf numFmtId="0" fontId="18" fillId="0" borderId="0" xfId="3" applyFont="1" applyFill="1" applyBorder="1" applyAlignment="1">
      <alignment vertical="top"/>
    </xf>
    <xf numFmtId="0" fontId="18" fillId="0" borderId="0" xfId="3" applyFont="1" applyFill="1" applyBorder="1" applyAlignment="1">
      <alignment vertical="center"/>
    </xf>
    <xf numFmtId="0" fontId="19" fillId="0" borderId="8" xfId="13" applyFont="1" applyBorder="1" applyAlignment="1">
      <alignment wrapText="1"/>
    </xf>
    <xf numFmtId="0" fontId="31" fillId="0" borderId="0" xfId="2" quotePrefix="1" applyFont="1"/>
    <xf numFmtId="0" fontId="18" fillId="0" borderId="0" xfId="3" applyFont="1" applyFill="1" applyBorder="1" applyAlignment="1">
      <alignment horizontal="center"/>
    </xf>
    <xf numFmtId="6" fontId="18" fillId="0" borderId="0" xfId="8" applyNumberFormat="1" applyFont="1" applyFill="1" applyBorder="1" applyAlignment="1">
      <alignment horizontal="center"/>
    </xf>
    <xf numFmtId="0" fontId="12" fillId="0" borderId="2" xfId="8" applyBorder="1"/>
    <xf numFmtId="0" fontId="19" fillId="0" borderId="2" xfId="3" applyFont="1" applyFill="1" applyBorder="1" applyAlignment="1">
      <alignment horizontal="left"/>
    </xf>
    <xf numFmtId="164" fontId="18" fillId="0" borderId="0" xfId="8" applyNumberFormat="1" applyFont="1" applyFill="1" applyBorder="1" applyAlignment="1"/>
    <xf numFmtId="0" fontId="43" fillId="0" borderId="0" xfId="8" applyFont="1"/>
    <xf numFmtId="0" fontId="7" fillId="0" borderId="0" xfId="4" applyFont="1" applyFill="1" applyBorder="1" applyAlignment="1">
      <alignment horizontal="left" vertical="top"/>
    </xf>
    <xf numFmtId="0" fontId="4" fillId="0" borderId="0" xfId="0" applyFont="1" applyFill="1" applyAlignment="1">
      <alignment wrapText="1"/>
    </xf>
    <xf numFmtId="164" fontId="4" fillId="0" borderId="0" xfId="5" applyNumberFormat="1" applyFont="1"/>
    <xf numFmtId="0" fontId="3" fillId="0" borderId="0" xfId="0" applyFont="1"/>
    <xf numFmtId="0" fontId="13" fillId="0" borderId="0" xfId="0" applyFont="1"/>
    <xf numFmtId="6" fontId="13" fillId="0" borderId="0" xfId="0" applyNumberFormat="1" applyFont="1"/>
    <xf numFmtId="6" fontId="15" fillId="0" borderId="0" xfId="0" applyNumberFormat="1" applyFont="1"/>
    <xf numFmtId="6" fontId="14" fillId="0" borderId="0" xfId="0" applyNumberFormat="1" applyFont="1"/>
    <xf numFmtId="6" fontId="13" fillId="0" borderId="5" xfId="0" applyNumberFormat="1" applyFont="1" applyBorder="1"/>
    <xf numFmtId="6" fontId="14" fillId="0" borderId="5" xfId="0" applyNumberFormat="1" applyFont="1" applyBorder="1"/>
    <xf numFmtId="164" fontId="4" fillId="0" borderId="0" xfId="3" applyNumberFormat="1" applyFont="1"/>
    <xf numFmtId="6" fontId="18" fillId="0" borderId="0" xfId="0" applyNumberFormat="1" applyFont="1"/>
    <xf numFmtId="6" fontId="19" fillId="0" borderId="7" xfId="0" applyNumberFormat="1" applyFont="1" applyBorder="1"/>
    <xf numFmtId="0" fontId="12" fillId="0" borderId="0" xfId="8" applyAlignment="1">
      <alignment wrapText="1"/>
    </xf>
    <xf numFmtId="0" fontId="18" fillId="0" borderId="0" xfId="3" applyFont="1" applyFill="1" applyBorder="1" applyAlignment="1">
      <alignment vertical="top" wrapText="1"/>
    </xf>
    <xf numFmtId="164" fontId="18" fillId="0" borderId="0" xfId="13" applyNumberFormat="1" applyFont="1"/>
    <xf numFmtId="0" fontId="45" fillId="0" borderId="0" xfId="2" applyFont="1"/>
    <xf numFmtId="0" fontId="44" fillId="0" borderId="0" xfId="2" applyFont="1"/>
    <xf numFmtId="171" fontId="2" fillId="0" borderId="0" xfId="2" applyNumberFormat="1"/>
    <xf numFmtId="171" fontId="19" fillId="0" borderId="0" xfId="14" applyNumberFormat="1" applyFont="1"/>
    <xf numFmtId="167" fontId="4" fillId="0" borderId="0" xfId="5" applyNumberFormat="1" applyFont="1"/>
    <xf numFmtId="6" fontId="4" fillId="0" borderId="0" xfId="0" applyNumberFormat="1" applyFont="1"/>
    <xf numFmtId="0" fontId="18" fillId="0" borderId="0" xfId="0" applyFont="1"/>
    <xf numFmtId="0" fontId="27" fillId="0" borderId="0" xfId="8" applyFont="1"/>
    <xf numFmtId="0" fontId="18" fillId="0" borderId="0" xfId="0" applyFont="1" applyAlignment="1">
      <alignment horizontal="left"/>
    </xf>
    <xf numFmtId="170" fontId="18" fillId="0" borderId="0" xfId="2" applyNumberFormat="1" applyFont="1"/>
    <xf numFmtId="164" fontId="7" fillId="0" borderId="0" xfId="8" applyNumberFormat="1" applyFont="1" applyFill="1" applyBorder="1" applyAlignment="1"/>
    <xf numFmtId="165" fontId="28" fillId="0" borderId="0" xfId="1" applyNumberFormat="1" applyFont="1"/>
    <xf numFmtId="0" fontId="7" fillId="0" borderId="0" xfId="0" applyFont="1" applyBorder="1" applyAlignment="1"/>
    <xf numFmtId="0" fontId="19" fillId="0" borderId="0" xfId="0" applyFont="1" applyBorder="1" applyAlignment="1">
      <alignment wrapText="1"/>
    </xf>
    <xf numFmtId="0" fontId="7" fillId="12" borderId="0" xfId="12" applyFont="1" applyFill="1" applyBorder="1"/>
    <xf numFmtId="0" fontId="7" fillId="12" borderId="0" xfId="12" applyFont="1" applyFill="1" applyBorder="1" applyAlignment="1">
      <alignment horizontal="center"/>
    </xf>
    <xf numFmtId="164" fontId="19" fillId="12" borderId="0" xfId="8" applyNumberFormat="1" applyFont="1" applyFill="1" applyBorder="1" applyAlignment="1"/>
    <xf numFmtId="0" fontId="19" fillId="12" borderId="0" xfId="8" applyNumberFormat="1" applyFont="1" applyFill="1" applyBorder="1" applyAlignment="1">
      <alignment horizontal="center"/>
    </xf>
    <xf numFmtId="0" fontId="7" fillId="12" borderId="0" xfId="3" applyFont="1" applyFill="1" applyAlignment="1">
      <alignment horizontal="center"/>
    </xf>
    <xf numFmtId="0" fontId="7" fillId="12" borderId="0" xfId="3" applyFont="1" applyFill="1" applyBorder="1" applyAlignment="1">
      <alignment horizontal="center"/>
    </xf>
    <xf numFmtId="0" fontId="7" fillId="12" borderId="0" xfId="0" applyFont="1" applyFill="1" applyBorder="1" applyAlignment="1">
      <alignment horizontal="center"/>
    </xf>
    <xf numFmtId="0" fontId="7" fillId="12" borderId="0" xfId="2" applyFont="1" applyFill="1" applyBorder="1"/>
    <xf numFmtId="0" fontId="14" fillId="12" borderId="0" xfId="8" applyFont="1" applyFill="1" applyAlignment="1">
      <alignment wrapText="1"/>
    </xf>
    <xf numFmtId="0" fontId="14" fillId="12" borderId="0" xfId="8" applyFont="1" applyFill="1" applyAlignment="1">
      <alignment horizontal="center" wrapText="1"/>
    </xf>
    <xf numFmtId="0" fontId="16" fillId="12" borderId="0" xfId="8" applyFont="1" applyFill="1" applyAlignment="1">
      <alignment horizontal="center" wrapText="1"/>
    </xf>
    <xf numFmtId="0" fontId="7" fillId="12" borderId="0" xfId="0" applyFont="1" applyFill="1" applyBorder="1"/>
    <xf numFmtId="0" fontId="7" fillId="12" borderId="0" xfId="4" applyFont="1" applyFill="1" applyBorder="1" applyAlignment="1">
      <alignment horizontal="left" wrapText="1"/>
    </xf>
    <xf numFmtId="0" fontId="7" fillId="12" borderId="0" xfId="0" applyFont="1" applyFill="1" applyBorder="1" applyAlignment="1" applyProtection="1">
      <alignment horizontal="center"/>
      <protection locked="0"/>
    </xf>
    <xf numFmtId="0" fontId="7" fillId="0" borderId="0" xfId="4" applyFont="1" applyFill="1" applyBorder="1" applyAlignment="1">
      <alignment horizontal="left" vertical="top"/>
    </xf>
    <xf numFmtId="0" fontId="4" fillId="0" borderId="0" xfId="0" applyFont="1" applyAlignment="1">
      <alignment horizontal="left"/>
    </xf>
    <xf numFmtId="0" fontId="4" fillId="0" borderId="0" xfId="3" applyFont="1" applyAlignment="1">
      <alignment horizontal="left"/>
    </xf>
    <xf numFmtId="0" fontId="3" fillId="0" borderId="0" xfId="0" applyFont="1" applyAlignment="1"/>
    <xf numFmtId="0" fontId="4" fillId="0" borderId="0" xfId="3" applyFont="1" applyAlignment="1"/>
    <xf numFmtId="0" fontId="4" fillId="0" borderId="0" xfId="0" applyFont="1" applyAlignment="1"/>
    <xf numFmtId="0" fontId="13" fillId="0" borderId="0" xfId="0" applyFont="1" applyAlignment="1"/>
    <xf numFmtId="0" fontId="4" fillId="0" borderId="0" xfId="0" applyFont="1" applyAlignment="1">
      <alignment horizontal="left" vertical="top"/>
    </xf>
    <xf numFmtId="0" fontId="4" fillId="0" borderId="0" xfId="0" applyFont="1" applyAlignment="1">
      <alignment horizontal="left" vertical="center"/>
    </xf>
    <xf numFmtId="174" fontId="18" fillId="0" borderId="0" xfId="14" applyNumberFormat="1" applyFont="1" applyFill="1" applyBorder="1" applyAlignment="1">
      <alignment horizontal="right"/>
    </xf>
    <xf numFmtId="174" fontId="19" fillId="0" borderId="2" xfId="14" applyNumberFormat="1" applyFont="1" applyFill="1" applyBorder="1" applyAlignment="1">
      <alignment horizontal="right"/>
    </xf>
    <xf numFmtId="0" fontId="18" fillId="0" borderId="0" xfId="3" applyFont="1" applyAlignment="1">
      <alignment vertical="center"/>
    </xf>
    <xf numFmtId="0" fontId="18" fillId="0" borderId="0" xfId="0" applyFont="1" applyAlignment="1">
      <alignment vertical="top"/>
    </xf>
    <xf numFmtId="0" fontId="18" fillId="0" borderId="0" xfId="0" applyFont="1" applyFill="1" applyBorder="1" applyAlignment="1">
      <alignment wrapText="1"/>
    </xf>
    <xf numFmtId="0" fontId="18" fillId="0" borderId="0" xfId="13" applyFont="1" applyAlignment="1">
      <alignment wrapText="1"/>
    </xf>
    <xf numFmtId="0" fontId="19" fillId="0" borderId="2" xfId="13" applyFont="1" applyBorder="1" applyAlignment="1">
      <alignment wrapText="1"/>
    </xf>
    <xf numFmtId="0" fontId="18" fillId="0" borderId="0" xfId="13" applyFont="1"/>
    <xf numFmtId="0" fontId="19" fillId="3" borderId="0" xfId="13" applyFont="1" applyFill="1" applyAlignment="1">
      <alignment horizontal="center" wrapText="1"/>
    </xf>
    <xf numFmtId="0" fontId="19" fillId="3" borderId="0" xfId="13" applyFont="1" applyFill="1" applyAlignment="1">
      <alignment horizontal="center"/>
    </xf>
    <xf numFmtId="0" fontId="18" fillId="0" borderId="0" xfId="13" applyFont="1" applyAlignment="1">
      <alignment horizontal="center"/>
    </xf>
    <xf numFmtId="0" fontId="19" fillId="0" borderId="0" xfId="13" applyFont="1" applyAlignment="1">
      <alignment wrapText="1"/>
    </xf>
    <xf numFmtId="164" fontId="19" fillId="0" borderId="2" xfId="13" applyNumberFormat="1" applyFont="1" applyBorder="1"/>
    <xf numFmtId="0" fontId="19" fillId="0" borderId="0" xfId="13" applyFont="1" applyAlignment="1">
      <alignment horizontal="right" wrapText="1"/>
    </xf>
    <xf numFmtId="164" fontId="19" fillId="0" borderId="0" xfId="13" applyNumberFormat="1" applyFont="1"/>
    <xf numFmtId="164" fontId="18" fillId="0" borderId="0" xfId="13" applyNumberFormat="1" applyFont="1" applyAlignment="1">
      <alignment wrapText="1"/>
    </xf>
    <xf numFmtId="0" fontId="18" fillId="0" borderId="2" xfId="13" applyFont="1" applyBorder="1" applyAlignment="1">
      <alignment wrapText="1"/>
    </xf>
    <xf numFmtId="164" fontId="18" fillId="0" borderId="0" xfId="5" applyNumberFormat="1" applyFont="1"/>
    <xf numFmtId="164" fontId="18" fillId="0" borderId="8" xfId="13" applyNumberFormat="1" applyFont="1" applyBorder="1"/>
    <xf numFmtId="164" fontId="18" fillId="0" borderId="5" xfId="13" applyNumberFormat="1" applyFont="1" applyBorder="1"/>
    <xf numFmtId="0" fontId="18" fillId="0" borderId="0" xfId="13" applyFont="1" applyAlignment="1">
      <alignment horizontal="left" vertical="top" wrapText="1"/>
    </xf>
    <xf numFmtId="0" fontId="19" fillId="0" borderId="0" xfId="13" applyFont="1"/>
    <xf numFmtId="0" fontId="38" fillId="0" borderId="0" xfId="13" applyFont="1" applyAlignment="1">
      <alignment wrapText="1"/>
    </xf>
    <xf numFmtId="9" fontId="18" fillId="0" borderId="0" xfId="1" applyFont="1"/>
    <xf numFmtId="0" fontId="27" fillId="0" borderId="0" xfId="8" applyFont="1" applyAlignment="1">
      <alignment vertical="top"/>
    </xf>
    <xf numFmtId="0" fontId="19" fillId="0" borderId="0" xfId="13" applyFont="1" applyAlignment="1"/>
    <xf numFmtId="0" fontId="18" fillId="0" borderId="0" xfId="13" applyFont="1" applyAlignment="1">
      <alignment wrapText="1"/>
    </xf>
    <xf numFmtId="0" fontId="7" fillId="0" borderId="0" xfId="19" applyFont="1" applyAlignment="1">
      <alignment horizontal="left" vertical="top"/>
    </xf>
    <xf numFmtId="0" fontId="48" fillId="0" borderId="0" xfId="15" applyFont="1" applyAlignment="1">
      <alignment horizontal="left"/>
    </xf>
    <xf numFmtId="173" fontId="49" fillId="0" borderId="0" xfId="15" applyNumberFormat="1" applyFont="1" applyAlignment="1">
      <alignment horizontal="center"/>
    </xf>
    <xf numFmtId="173" fontId="49" fillId="0" borderId="0" xfId="15" applyNumberFormat="1" applyFont="1"/>
    <xf numFmtId="172" fontId="49" fillId="0" borderId="0" xfId="15" applyNumberFormat="1" applyFont="1"/>
    <xf numFmtId="172" fontId="50" fillId="0" borderId="0" xfId="15" applyNumberFormat="1" applyFont="1" applyAlignment="1">
      <alignment wrapText="1"/>
    </xf>
    <xf numFmtId="172" fontId="50" fillId="0" borderId="0" xfId="15" applyNumberFormat="1" applyFont="1"/>
    <xf numFmtId="175" fontId="6" fillId="0" borderId="10" xfId="15" applyNumberFormat="1" applyFont="1" applyBorder="1" applyAlignment="1">
      <alignment horizontal="center" wrapText="1"/>
    </xf>
    <xf numFmtId="175" fontId="56" fillId="0" borderId="11" xfId="15" quotePrefix="1" applyNumberFormat="1" applyFont="1" applyBorder="1" applyAlignment="1">
      <alignment horizontal="center" wrapText="1"/>
    </xf>
    <xf numFmtId="175" fontId="56" fillId="0" borderId="11" xfId="15" applyNumberFormat="1" applyFont="1" applyBorder="1" applyAlignment="1">
      <alignment horizontal="center" wrapText="1"/>
    </xf>
    <xf numFmtId="175" fontId="6" fillId="0" borderId="11" xfId="15" applyNumberFormat="1" applyFont="1" applyBorder="1" applyAlignment="1">
      <alignment horizontal="center" wrapText="1"/>
    </xf>
    <xf numFmtId="175" fontId="6" fillId="0" borderId="12" xfId="15" applyNumberFormat="1" applyFont="1" applyBorder="1" applyAlignment="1">
      <alignment horizontal="center" wrapText="1"/>
    </xf>
    <xf numFmtId="175" fontId="6" fillId="0" borderId="0" xfId="15" applyNumberFormat="1" applyFont="1" applyAlignment="1">
      <alignment horizontal="center" wrapText="1"/>
    </xf>
    <xf numFmtId="175" fontId="56" fillId="0" borderId="0" xfId="15" applyNumberFormat="1" applyFont="1" applyAlignment="1">
      <alignment horizontal="center" wrapText="1"/>
    </xf>
    <xf numFmtId="172" fontId="57" fillId="0" borderId="13" xfId="15" applyNumberFormat="1" applyFont="1" applyBorder="1" applyAlignment="1">
      <alignment horizontal="center"/>
    </xf>
    <xf numFmtId="172" fontId="56" fillId="0" borderId="14" xfId="15" quotePrefix="1" applyNumberFormat="1" applyFont="1" applyBorder="1" applyAlignment="1">
      <alignment horizontal="left"/>
    </xf>
    <xf numFmtId="172" fontId="59" fillId="0" borderId="14" xfId="15" applyNumberFormat="1" applyFont="1" applyBorder="1"/>
    <xf numFmtId="172" fontId="2" fillId="0" borderId="14" xfId="15" applyNumberFormat="1" applyFont="1" applyBorder="1"/>
    <xf numFmtId="172" fontId="2" fillId="0" borderId="15" xfId="15" applyNumberFormat="1" applyFont="1" applyBorder="1"/>
    <xf numFmtId="176" fontId="6" fillId="0" borderId="16" xfId="15" applyNumberFormat="1" applyFont="1" applyBorder="1" applyAlignment="1">
      <alignment horizontal="center" wrapText="1"/>
    </xf>
    <xf numFmtId="172" fontId="59" fillId="0" borderId="0" xfId="15" applyNumberFormat="1" applyFont="1"/>
    <xf numFmtId="172" fontId="2" fillId="0" borderId="17" xfId="15" applyNumberFormat="1" applyFont="1" applyBorder="1"/>
    <xf numFmtId="177" fontId="59" fillId="0" borderId="16" xfId="15" applyNumberFormat="1" applyFont="1" applyBorder="1"/>
    <xf numFmtId="177" fontId="59" fillId="0" borderId="16" xfId="15" applyNumberFormat="1" applyFont="1" applyBorder="1" applyAlignment="1">
      <alignment horizontal="right"/>
    </xf>
    <xf numFmtId="177" fontId="2" fillId="0" borderId="16" xfId="15" applyNumberFormat="1" applyFont="1" applyBorder="1"/>
    <xf numFmtId="172" fontId="2" fillId="0" borderId="1" xfId="15" applyNumberFormat="1" applyFont="1" applyBorder="1"/>
    <xf numFmtId="172" fontId="2" fillId="0" borderId="16" xfId="15" applyNumberFormat="1" applyFont="1" applyBorder="1"/>
    <xf numFmtId="172" fontId="60" fillId="0" borderId="16" xfId="15" applyNumberFormat="1" applyFont="1" applyBorder="1" applyProtection="1">
      <protection locked="0"/>
    </xf>
    <xf numFmtId="172" fontId="61" fillId="0" borderId="16" xfId="15" applyNumberFormat="1" applyFont="1" applyBorder="1" applyProtection="1">
      <protection locked="0"/>
    </xf>
    <xf numFmtId="172" fontId="2" fillId="0" borderId="18" xfId="15" applyNumberFormat="1" applyFont="1" applyBorder="1"/>
    <xf numFmtId="177" fontId="2" fillId="0" borderId="19" xfId="15" applyNumberFormat="1" applyFont="1" applyBorder="1"/>
    <xf numFmtId="177" fontId="59" fillId="0" borderId="19" xfId="15" applyNumberFormat="1" applyFont="1" applyBorder="1"/>
    <xf numFmtId="172" fontId="2" fillId="0" borderId="20" xfId="15" applyNumberFormat="1" applyFont="1" applyBorder="1"/>
    <xf numFmtId="172" fontId="2" fillId="0" borderId="21" xfId="15" applyNumberFormat="1" applyFont="1" applyBorder="1"/>
    <xf numFmtId="172" fontId="60" fillId="0" borderId="21" xfId="15" applyNumberFormat="1" applyFont="1" applyBorder="1" applyProtection="1">
      <protection locked="0"/>
    </xf>
    <xf numFmtId="172" fontId="61" fillId="0" borderId="21" xfId="15" applyNumberFormat="1" applyFont="1" applyBorder="1" applyProtection="1">
      <protection locked="0"/>
    </xf>
    <xf numFmtId="172" fontId="6" fillId="0" borderId="10" xfId="15" applyNumberFormat="1" applyFont="1" applyBorder="1" applyAlignment="1">
      <alignment horizontal="right"/>
    </xf>
    <xf numFmtId="177" fontId="6" fillId="0" borderId="11" xfId="15" applyNumberFormat="1" applyFont="1" applyBorder="1"/>
    <xf numFmtId="177" fontId="6" fillId="0" borderId="12" xfId="15" applyNumberFormat="1" applyFont="1" applyBorder="1"/>
    <xf numFmtId="177" fontId="62" fillId="0" borderId="12" xfId="15" applyNumberFormat="1" applyFont="1" applyBorder="1"/>
    <xf numFmtId="172" fontId="56" fillId="0" borderId="0" xfId="15" applyNumberFormat="1" applyFont="1"/>
    <xf numFmtId="177" fontId="59" fillId="0" borderId="14" xfId="15" applyNumberFormat="1" applyFont="1" applyBorder="1"/>
    <xf numFmtId="177" fontId="2" fillId="0" borderId="14" xfId="15" applyNumberFormat="1" applyFont="1" applyBorder="1"/>
    <xf numFmtId="172" fontId="2" fillId="0" borderId="22" xfId="15" applyNumberFormat="1" applyFont="1" applyBorder="1"/>
    <xf numFmtId="176" fontId="6" fillId="0" borderId="23" xfId="15" applyNumberFormat="1" applyFont="1" applyBorder="1" applyAlignment="1">
      <alignment horizontal="center" wrapText="1"/>
    </xf>
    <xf numFmtId="176" fontId="62" fillId="0" borderId="23" xfId="15" applyNumberFormat="1" applyFont="1" applyBorder="1" applyAlignment="1">
      <alignment horizontal="center" wrapText="1"/>
    </xf>
    <xf numFmtId="172" fontId="6" fillId="0" borderId="17" xfId="15" applyNumberFormat="1" applyFont="1" applyBorder="1"/>
    <xf numFmtId="176" fontId="62" fillId="0" borderId="16" xfId="15" applyNumberFormat="1" applyFont="1" applyBorder="1" applyAlignment="1">
      <alignment horizontal="center" wrapText="1"/>
    </xf>
    <xf numFmtId="176" fontId="64" fillId="0" borderId="16" xfId="15" applyNumberFormat="1" applyFont="1" applyBorder="1" applyAlignment="1">
      <alignment horizontal="center" wrapText="1"/>
    </xf>
    <xf numFmtId="172" fontId="2" fillId="0" borderId="24" xfId="15" applyNumberFormat="1" applyFont="1" applyBorder="1"/>
    <xf numFmtId="172" fontId="60" fillId="0" borderId="24" xfId="15" applyNumberFormat="1" applyFont="1" applyBorder="1" applyProtection="1">
      <protection locked="0"/>
    </xf>
    <xf numFmtId="172" fontId="65" fillId="0" borderId="24" xfId="15" applyNumberFormat="1" applyFont="1" applyBorder="1" applyProtection="1">
      <protection locked="0"/>
    </xf>
    <xf numFmtId="176" fontId="65" fillId="0" borderId="24" xfId="15" applyNumberFormat="1" applyFont="1" applyBorder="1" applyProtection="1">
      <protection locked="0"/>
    </xf>
    <xf numFmtId="172" fontId="2" fillId="0" borderId="18" xfId="15" applyNumberFormat="1" applyFont="1" applyBorder="1" applyAlignment="1">
      <alignment horizontal="right"/>
    </xf>
    <xf numFmtId="177" fontId="59" fillId="0" borderId="25" xfId="15" applyNumberFormat="1" applyFont="1" applyBorder="1"/>
    <xf numFmtId="177" fontId="2" fillId="0" borderId="25" xfId="15" applyNumberFormat="1" applyFont="1" applyBorder="1"/>
    <xf numFmtId="177" fontId="2" fillId="0" borderId="26" xfId="15" applyNumberFormat="1" applyFont="1" applyBorder="1"/>
    <xf numFmtId="177" fontId="60" fillId="0" borderId="26" xfId="15" applyNumberFormat="1" applyFont="1" applyBorder="1"/>
    <xf numFmtId="43" fontId="6" fillId="0" borderId="12" xfId="15" applyNumberFormat="1" applyFont="1" applyBorder="1"/>
    <xf numFmtId="172" fontId="56" fillId="0" borderId="27" xfId="15" applyNumberFormat="1" applyFont="1" applyBorder="1"/>
    <xf numFmtId="172" fontId="6" fillId="0" borderId="13" xfId="15" applyNumberFormat="1" applyFont="1" applyBorder="1"/>
    <xf numFmtId="172" fontId="2" fillId="0" borderId="17" xfId="15" quotePrefix="1" applyNumberFormat="1" applyFont="1" applyBorder="1" applyAlignment="1">
      <alignment horizontal="left"/>
    </xf>
    <xf numFmtId="172" fontId="2" fillId="0" borderId="18" xfId="15" quotePrefix="1" applyNumberFormat="1" applyFont="1" applyBorder="1" applyAlignment="1">
      <alignment horizontal="left"/>
    </xf>
    <xf numFmtId="172" fontId="6" fillId="0" borderId="28" xfId="15" applyNumberFormat="1" applyFont="1" applyBorder="1" applyAlignment="1">
      <alignment horizontal="right"/>
    </xf>
    <xf numFmtId="177" fontId="6" fillId="0" borderId="21" xfId="15" applyNumberFormat="1" applyFont="1" applyBorder="1"/>
    <xf numFmtId="177" fontId="6" fillId="0" borderId="29" xfId="15" applyNumberFormat="1" applyFont="1" applyBorder="1"/>
    <xf numFmtId="177" fontId="62" fillId="0" borderId="29" xfId="15" applyNumberFormat="1" applyFont="1" applyBorder="1"/>
    <xf numFmtId="177" fontId="56" fillId="0" borderId="14" xfId="15" applyNumberFormat="1" applyFont="1" applyBorder="1"/>
    <xf numFmtId="177" fontId="6" fillId="0" borderId="14" xfId="15" applyNumberFormat="1" applyFont="1" applyBorder="1"/>
    <xf numFmtId="172" fontId="6" fillId="0" borderId="22" xfId="15" applyNumberFormat="1" applyFont="1" applyBorder="1"/>
    <xf numFmtId="177" fontId="2" fillId="0" borderId="19" xfId="15" quotePrefix="1" applyNumberFormat="1" applyFont="1" applyBorder="1" applyAlignment="1">
      <alignment horizontal="right"/>
    </xf>
    <xf numFmtId="172" fontId="61" fillId="0" borderId="24" xfId="15" applyNumberFormat="1" applyFont="1" applyBorder="1" applyProtection="1">
      <protection locked="0"/>
    </xf>
    <xf numFmtId="172" fontId="6" fillId="13" borderId="28" xfId="15" applyNumberFormat="1" applyFont="1" applyFill="1" applyBorder="1" applyAlignment="1">
      <alignment horizontal="right"/>
    </xf>
    <xf numFmtId="177" fontId="6" fillId="13" borderId="30" xfId="15" applyNumberFormat="1" applyFont="1" applyFill="1" applyBorder="1"/>
    <xf numFmtId="177" fontId="6" fillId="13" borderId="31" xfId="15" applyNumberFormat="1" applyFont="1" applyFill="1" applyBorder="1"/>
    <xf numFmtId="177" fontId="62" fillId="13" borderId="31" xfId="15" applyNumberFormat="1" applyFont="1" applyFill="1" applyBorder="1"/>
    <xf numFmtId="172" fontId="6" fillId="14" borderId="10" xfId="15" applyNumberFormat="1" applyFont="1" applyFill="1" applyBorder="1" applyAlignment="1">
      <alignment horizontal="right"/>
    </xf>
    <xf numFmtId="177" fontId="6" fillId="14" borderId="11" xfId="15" applyNumberFormat="1" applyFont="1" applyFill="1" applyBorder="1"/>
    <xf numFmtId="177" fontId="6" fillId="14" borderId="12" xfId="15" applyNumberFormat="1" applyFont="1" applyFill="1" applyBorder="1"/>
    <xf numFmtId="176" fontId="6" fillId="14" borderId="32" xfId="15" applyNumberFormat="1" applyFont="1" applyFill="1" applyBorder="1" applyAlignment="1">
      <alignment horizontal="right"/>
    </xf>
    <xf numFmtId="176" fontId="62" fillId="14" borderId="32" xfId="15" applyNumberFormat="1" applyFont="1" applyFill="1" applyBorder="1" applyAlignment="1">
      <alignment horizontal="right"/>
    </xf>
    <xf numFmtId="176" fontId="62" fillId="15" borderId="32" xfId="15" applyNumberFormat="1" applyFont="1" applyFill="1" applyBorder="1" applyAlignment="1">
      <alignment horizontal="right"/>
    </xf>
    <xf numFmtId="172" fontId="57" fillId="0" borderId="33" xfId="15" applyNumberFormat="1" applyFont="1" applyBorder="1" applyAlignment="1">
      <alignment horizontal="center"/>
    </xf>
    <xf numFmtId="177" fontId="56" fillId="0" borderId="23" xfId="15" applyNumberFormat="1" applyFont="1" applyBorder="1"/>
    <xf numFmtId="177" fontId="6" fillId="0" borderId="23" xfId="15" applyNumberFormat="1" applyFont="1" applyBorder="1"/>
    <xf numFmtId="173" fontId="6" fillId="0" borderId="16" xfId="15" applyNumberFormat="1" applyFont="1" applyBorder="1" applyAlignment="1">
      <alignment horizontal="center" wrapText="1"/>
    </xf>
    <xf numFmtId="173" fontId="62" fillId="0" borderId="16" xfId="15" applyNumberFormat="1" applyFont="1" applyBorder="1" applyAlignment="1">
      <alignment horizontal="center" wrapText="1"/>
    </xf>
    <xf numFmtId="172" fontId="60" fillId="0" borderId="16" xfId="15" applyNumberFormat="1" applyFont="1" applyBorder="1"/>
    <xf numFmtId="177" fontId="2" fillId="0" borderId="20" xfId="15" applyNumberFormat="1" applyFont="1" applyBorder="1"/>
    <xf numFmtId="177" fontId="60" fillId="0" borderId="20" xfId="15" applyNumberFormat="1" applyFont="1" applyBorder="1"/>
    <xf numFmtId="172" fontId="6" fillId="0" borderId="34" xfId="15" applyNumberFormat="1" applyFont="1" applyBorder="1" applyAlignment="1">
      <alignment horizontal="right"/>
    </xf>
    <xf numFmtId="177" fontId="6" fillId="0" borderId="35" xfId="15" applyNumberFormat="1" applyFont="1" applyBorder="1"/>
    <xf numFmtId="177" fontId="6" fillId="0" borderId="35" xfId="15" applyNumberFormat="1" applyFont="1" applyBorder="1" applyAlignment="1">
      <alignment horizontal="center"/>
    </xf>
    <xf numFmtId="0" fontId="2" fillId="0" borderId="0" xfId="0" applyFont="1"/>
    <xf numFmtId="0" fontId="4" fillId="0" borderId="0" xfId="0" applyFont="1" applyAlignment="1">
      <alignment vertical="top"/>
    </xf>
    <xf numFmtId="0" fontId="18" fillId="0" borderId="0" xfId="3" applyFont="1" applyAlignment="1"/>
    <xf numFmtId="0" fontId="18" fillId="0" borderId="0" xfId="0" applyFont="1" applyAlignment="1"/>
    <xf numFmtId="0" fontId="18" fillId="0" borderId="0" xfId="3" applyFont="1" applyAlignment="1">
      <alignment vertical="top"/>
    </xf>
    <xf numFmtId="0" fontId="18" fillId="0" borderId="0" xfId="13" applyFont="1" applyAlignment="1"/>
    <xf numFmtId="0" fontId="18" fillId="0" borderId="0" xfId="3" applyFont="1" applyFill="1" applyBorder="1" applyAlignment="1"/>
    <xf numFmtId="0" fontId="7" fillId="0" borderId="0" xfId="4" applyFont="1" applyFill="1" applyBorder="1" applyAlignment="1">
      <alignment horizontal="left" vertical="top"/>
    </xf>
    <xf numFmtId="6" fontId="15" fillId="0" borderId="5" xfId="0" applyNumberFormat="1" applyFont="1" applyBorder="1"/>
    <xf numFmtId="0" fontId="18" fillId="0" borderId="0" xfId="3" applyFont="1" applyAlignment="1">
      <alignment horizontal="left"/>
    </xf>
    <xf numFmtId="164" fontId="18" fillId="0" borderId="0" xfId="0" applyNumberFormat="1" applyFont="1" applyAlignment="1"/>
    <xf numFmtId="0" fontId="67" fillId="0" borderId="0" xfId="8" applyFont="1"/>
    <xf numFmtId="0" fontId="38" fillId="0" borderId="0" xfId="0" applyFont="1" applyBorder="1" applyAlignment="1">
      <alignment wrapText="1"/>
    </xf>
    <xf numFmtId="164" fontId="19" fillId="0" borderId="0" xfId="0" applyNumberFormat="1" applyFont="1" applyFill="1" applyBorder="1" applyAlignment="1"/>
    <xf numFmtId="164" fontId="18" fillId="0" borderId="0" xfId="0" applyNumberFormat="1" applyFont="1" applyBorder="1"/>
    <xf numFmtId="0" fontId="0" fillId="0" borderId="0" xfId="0" applyBorder="1"/>
    <xf numFmtId="0" fontId="18" fillId="0" borderId="0" xfId="0" applyFont="1" applyBorder="1" applyAlignment="1"/>
    <xf numFmtId="0" fontId="19" fillId="0" borderId="0" xfId="13" applyFont="1" applyBorder="1" applyAlignment="1">
      <alignment wrapText="1"/>
    </xf>
    <xf numFmtId="164" fontId="18" fillId="0" borderId="0" xfId="5" applyNumberFormat="1" applyFont="1" applyFill="1" applyBorder="1"/>
    <xf numFmtId="164" fontId="19" fillId="0" borderId="2" xfId="5" applyNumberFormat="1" applyFont="1" applyFill="1" applyBorder="1"/>
    <xf numFmtId="0" fontId="68" fillId="0" borderId="0" xfId="10" applyFont="1" applyFill="1" applyBorder="1"/>
    <xf numFmtId="174" fontId="18" fillId="0" borderId="0" xfId="14" applyNumberFormat="1" applyFont="1" applyFill="1" applyBorder="1" applyAlignment="1">
      <alignment horizontal="center"/>
    </xf>
    <xf numFmtId="0" fontId="13" fillId="0" borderId="0" xfId="8" applyFont="1" applyAlignment="1">
      <alignment vertical="center"/>
    </xf>
    <xf numFmtId="164" fontId="0" fillId="0" borderId="0" xfId="0" applyNumberFormat="1"/>
    <xf numFmtId="0" fontId="17" fillId="11" borderId="0" xfId="8" applyFont="1" applyFill="1" applyAlignment="1">
      <alignment horizontal="center" vertical="center"/>
    </xf>
    <xf numFmtId="0" fontId="13" fillId="0" borderId="0" xfId="8" applyFont="1" applyAlignment="1">
      <alignment horizontal="left" vertical="top" wrapText="1"/>
    </xf>
    <xf numFmtId="0" fontId="12" fillId="6" borderId="0" xfId="8" applyFill="1" applyBorder="1" applyAlignment="1">
      <alignment horizontal="center" vertical="center" wrapText="1"/>
    </xf>
    <xf numFmtId="171" fontId="12" fillId="6" borderId="0" xfId="8" applyNumberFormat="1" applyFill="1" applyAlignment="1">
      <alignment horizontal="center" vertical="center"/>
    </xf>
    <xf numFmtId="0" fontId="12" fillId="7" borderId="0" xfId="8" applyFill="1" applyAlignment="1">
      <alignment horizontal="center" vertical="center" wrapText="1"/>
    </xf>
    <xf numFmtId="0" fontId="34" fillId="6" borderId="0" xfId="8" applyFont="1" applyFill="1" applyBorder="1" applyAlignment="1">
      <alignment horizontal="center" vertical="center"/>
    </xf>
    <xf numFmtId="0" fontId="12" fillId="6" borderId="0" xfId="8" applyFill="1" applyBorder="1" applyAlignment="1">
      <alignment horizontal="center" vertical="center"/>
    </xf>
    <xf numFmtId="0" fontId="34" fillId="7" borderId="0" xfId="8" applyFont="1" applyFill="1" applyAlignment="1">
      <alignment horizontal="center" vertical="center"/>
    </xf>
    <xf numFmtId="0" fontId="12" fillId="7" borderId="0" xfId="8" applyFill="1" applyAlignment="1">
      <alignment horizontal="center" vertical="center"/>
    </xf>
    <xf numFmtId="171" fontId="12" fillId="7" borderId="0" xfId="8" applyNumberFormat="1" applyFill="1" applyAlignment="1">
      <alignment horizontal="center" vertical="center"/>
    </xf>
    <xf numFmtId="0" fontId="4" fillId="0" borderId="0" xfId="3" applyFont="1" applyFill="1" applyBorder="1" applyAlignment="1">
      <alignment horizontal="left" vertical="top" wrapText="1"/>
    </xf>
    <xf numFmtId="0" fontId="22" fillId="0" borderId="0" xfId="3" applyFont="1" applyFill="1" applyBorder="1" applyAlignment="1">
      <alignment horizontal="left" wrapText="1"/>
    </xf>
    <xf numFmtId="0" fontId="22" fillId="0" borderId="0" xfId="0" applyFont="1" applyBorder="1" applyAlignment="1">
      <alignment horizontal="left" wrapText="1"/>
    </xf>
    <xf numFmtId="0" fontId="7" fillId="0" borderId="0" xfId="4" applyFont="1" applyFill="1" applyBorder="1" applyAlignment="1">
      <alignment horizontal="left" vertical="top"/>
    </xf>
    <xf numFmtId="0" fontId="4" fillId="0" borderId="0" xfId="3" applyFont="1" applyFill="1" applyBorder="1" applyAlignment="1">
      <alignment horizontal="left" wrapText="1"/>
    </xf>
    <xf numFmtId="0" fontId="4" fillId="0" borderId="0" xfId="2" applyFont="1" applyBorder="1" applyAlignment="1">
      <alignment horizontal="left" wrapText="1"/>
    </xf>
    <xf numFmtId="0" fontId="17" fillId="0" borderId="0" xfId="8" applyFont="1" applyAlignment="1">
      <alignment vertical="top"/>
    </xf>
    <xf numFmtId="0" fontId="7" fillId="0" borderId="0" xfId="2" applyFont="1"/>
    <xf numFmtId="0" fontId="7" fillId="0" borderId="0" xfId="3" applyFont="1" applyFill="1" applyBorder="1" applyAlignment="1">
      <alignment vertical="top"/>
    </xf>
    <xf numFmtId="0" fontId="4" fillId="0" borderId="0" xfId="3" applyFont="1" applyAlignment="1">
      <alignment horizontal="left" vertical="top" wrapText="1"/>
    </xf>
    <xf numFmtId="0" fontId="4" fillId="0" borderId="0" xfId="0" applyFont="1" applyAlignment="1">
      <alignment horizontal="left" vertical="top" wrapText="1"/>
    </xf>
    <xf numFmtId="0" fontId="27" fillId="0" borderId="0" xfId="8" applyFont="1"/>
    <xf numFmtId="0" fontId="19" fillId="0" borderId="2" xfId="13" applyFont="1" applyBorder="1" applyAlignment="1">
      <alignment wrapText="1"/>
    </xf>
    <xf numFmtId="0" fontId="19" fillId="0" borderId="2" xfId="13" applyFont="1" applyBorder="1" applyAlignment="1">
      <alignment horizontal="left" wrapText="1"/>
    </xf>
    <xf numFmtId="172" fontId="50" fillId="0" borderId="0" xfId="15" applyNumberFormat="1" applyFont="1" applyAlignment="1">
      <alignment horizontal="left" wrapText="1"/>
    </xf>
    <xf numFmtId="172" fontId="51" fillId="0" borderId="9" xfId="15" applyNumberFormat="1" applyFont="1" applyBorder="1" applyAlignment="1">
      <alignment horizontal="center"/>
    </xf>
    <xf numFmtId="0" fontId="66" fillId="0" borderId="9" xfId="15" applyFont="1" applyBorder="1" applyAlignment="1">
      <alignment horizontal="center"/>
    </xf>
    <xf numFmtId="172" fontId="6" fillId="0" borderId="0" xfId="15" applyNumberFormat="1" applyFont="1" applyAlignment="1">
      <alignment horizontal="left" vertical="top" wrapText="1"/>
    </xf>
    <xf numFmtId="172" fontId="2" fillId="0" borderId="0" xfId="15" applyNumberFormat="1" applyFont="1" applyAlignment="1">
      <alignment horizontal="left" wrapText="1"/>
    </xf>
    <xf numFmtId="172" fontId="2" fillId="0" borderId="0" xfId="15" applyNumberFormat="1" applyFont="1" applyAlignment="1">
      <alignment horizontal="left"/>
    </xf>
  </cellXfs>
  <cellStyles count="20">
    <cellStyle name="Comma" xfId="14" builtinId="3"/>
    <cellStyle name="Comma 2" xfId="16" xr:uid="{00000000-0005-0000-0000-000001000000}"/>
    <cellStyle name="Currency 2" xfId="5" xr:uid="{00000000-0005-0000-0000-000002000000}"/>
    <cellStyle name="Currency 3" xfId="11" xr:uid="{00000000-0005-0000-0000-000003000000}"/>
    <cellStyle name="Normal" xfId="0" builtinId="0"/>
    <cellStyle name="Normal 2" xfId="2" xr:uid="{00000000-0005-0000-0000-000005000000}"/>
    <cellStyle name="Normal 2 2" xfId="10" xr:uid="{00000000-0005-0000-0000-000006000000}"/>
    <cellStyle name="Normal 2 3" xfId="15" xr:uid="{00000000-0005-0000-0000-000007000000}"/>
    <cellStyle name="Normal 3" xfId="6" xr:uid="{00000000-0005-0000-0000-000008000000}"/>
    <cellStyle name="Normal 3 2" xfId="19" xr:uid="{C2A21F54-D977-41FD-99DA-96E2997C462D}"/>
    <cellStyle name="Normal 4" xfId="7" xr:uid="{00000000-0005-0000-0000-000009000000}"/>
    <cellStyle name="Normal 5" xfId="8" xr:uid="{00000000-0005-0000-0000-00000A000000}"/>
    <cellStyle name="Normal 5 2" xfId="12" xr:uid="{00000000-0005-0000-0000-00000B000000}"/>
    <cellStyle name="Normal 6" xfId="17" xr:uid="{00000000-0005-0000-0000-00000C000000}"/>
    <cellStyle name="Normal 7" xfId="18" xr:uid="{00000000-0005-0000-0000-00000D000000}"/>
    <cellStyle name="Normal_78 - 04 FW spending report Spring 05Revised" xfId="13" xr:uid="{00000000-0005-0000-0000-00000E000000}"/>
    <cellStyle name="Normal_Gov Report File" xfId="3" xr:uid="{00000000-0005-0000-0000-00000F000000}"/>
    <cellStyle name="Normal_Sheet1" xfId="4" xr:uid="{00000000-0005-0000-0000-000010000000}"/>
    <cellStyle name="Note 2" xfId="9" xr:uid="{00000000-0005-0000-0000-000011000000}"/>
    <cellStyle name="Percent" xfId="1" builtinId="5"/>
  </cellStyles>
  <dxfs count="0"/>
  <tableStyles count="0" defaultTableStyle="TableStyleMedium9" defaultPivotStyle="PivotStyleLight16"/>
  <colors>
    <mruColors>
      <color rgb="FF8064A2"/>
      <color rgb="FFC0504D"/>
      <color rgb="FFF68B32"/>
      <color rgb="FFC3D69B"/>
      <color rgb="FF9AB9D2"/>
      <color rgb="FFFFFF66"/>
      <color rgb="FFFFFFFF"/>
      <color rgb="FF856BA5"/>
      <color rgb="FF9BBB5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7-E64C-4B75-ACC6-D985A14E3F5E}"/>
              </c:ext>
            </c:extLst>
          </c:dPt>
          <c:dLbls>
            <c:dLbl>
              <c:idx val="0"/>
              <c:layout>
                <c:manualLayout>
                  <c:x val="-0.11611162526770286"/>
                  <c:y val="-9.8017297631284972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579959810594903"/>
                      <c:h val="8.0803100193813898E-2"/>
                    </c:manualLayout>
                  </c15:layout>
                </c:ext>
                <c:ext xmlns:c16="http://schemas.microsoft.com/office/drawing/2014/chart" uri="{C3380CC4-5D6E-409C-BE32-E72D297353CC}">
                  <c16:uniqueId val="{00000001-E64C-4B75-ACC6-D985A14E3F5E}"/>
                </c:ext>
              </c:extLst>
            </c:dLbl>
            <c:dLbl>
              <c:idx val="1"/>
              <c:layout>
                <c:manualLayout>
                  <c:x val="0.16610889140856752"/>
                  <c:y val="-0.23966226289178322"/>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750070193232246"/>
                      <c:h val="7.9188156944722116E-2"/>
                    </c:manualLayout>
                  </c15:layout>
                </c:ext>
                <c:ext xmlns:c16="http://schemas.microsoft.com/office/drawing/2014/chart" uri="{C3380CC4-5D6E-409C-BE32-E72D297353CC}">
                  <c16:uniqueId val="{00000003-E64C-4B75-ACC6-D985A14E3F5E}"/>
                </c:ext>
              </c:extLst>
            </c:dLbl>
            <c:dLbl>
              <c:idx val="2"/>
              <c:layout>
                <c:manualLayout>
                  <c:x val="-2.2604031958960265E-2"/>
                  <c:y val="-8.8180741783086963E-3"/>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175828422566989"/>
                      <c:h val="6.5293258528394738E-2"/>
                    </c:manualLayout>
                  </c15:layout>
                </c:ext>
                <c:ext xmlns:c16="http://schemas.microsoft.com/office/drawing/2014/chart" uri="{C3380CC4-5D6E-409C-BE32-E72D297353CC}">
                  <c16:uniqueId val="{00000005-E64C-4B75-ACC6-D985A14E3F5E}"/>
                </c:ext>
              </c:extLst>
            </c:dLbl>
            <c:dLbl>
              <c:idx val="3"/>
              <c:layout>
                <c:manualLayout>
                  <c:x val="-1.6995995314115796E-2"/>
                  <c:y val="3.0758764356058212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260657530773885"/>
                      <c:h val="6.3220119827416918E-2"/>
                    </c:manualLayout>
                  </c15:layout>
                </c:ext>
                <c:ext xmlns:c16="http://schemas.microsoft.com/office/drawing/2014/chart" uri="{C3380CC4-5D6E-409C-BE32-E72D297353CC}">
                  <c16:uniqueId val="{00000007-E64C-4B75-ACC6-D985A14E3F5E}"/>
                </c:ext>
              </c:extLst>
            </c:dLbl>
            <c:dLbl>
              <c:idx val="4"/>
              <c:layout>
                <c:manualLayout>
                  <c:x val="-1.6171548803950518E-2"/>
                  <c:y val="2.113583305968729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941719747148859"/>
                      <c:h val="8.6036559110824751E-2"/>
                    </c:manualLayout>
                  </c15:layout>
                </c:ext>
                <c:ext xmlns:c16="http://schemas.microsoft.com/office/drawing/2014/chart" uri="{C3380CC4-5D6E-409C-BE32-E72D297353CC}">
                  <c16:uniqueId val="{00000009-E64C-4B75-ACC6-D985A14E3F5E}"/>
                </c:ext>
              </c:extLst>
            </c:dLbl>
            <c:dLbl>
              <c:idx val="5"/>
              <c:layout>
                <c:manualLayout>
                  <c:x val="-9.7362852063544898E-3"/>
                  <c:y val="-3.9085930480471653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361139408643079"/>
                      <c:h val="7.4856506737379633E-2"/>
                    </c:manualLayout>
                  </c15:layout>
                </c:ext>
                <c:ext xmlns:c16="http://schemas.microsoft.com/office/drawing/2014/chart" uri="{C3380CC4-5D6E-409C-BE32-E72D297353CC}">
                  <c16:uniqueId val="{0000000B-E64C-4B75-ACC6-D985A14E3F5E}"/>
                </c:ext>
              </c:extLst>
            </c:dLbl>
            <c:dLbl>
              <c:idx val="6"/>
              <c:layout>
                <c:manualLayout>
                  <c:x val="-1.7152418309896677E-2"/>
                  <c:y val="-3.2155209314856506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456441735705338"/>
                      <c:h val="7.563968979968419E-2"/>
                    </c:manualLayout>
                  </c15:layout>
                </c:ext>
                <c:ext xmlns:c16="http://schemas.microsoft.com/office/drawing/2014/chart" uri="{C3380CC4-5D6E-409C-BE32-E72D297353CC}">
                  <c16:uniqueId val="{0000000D-E64C-4B75-ACC6-D985A14E3F5E}"/>
                </c:ext>
              </c:extLst>
            </c:dLbl>
            <c:dLbl>
              <c:idx val="7"/>
              <c:layout>
                <c:manualLayout>
                  <c:x val="8.5346640954846911E-2"/>
                  <c:y val="2.7037099989131345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9386824489466831"/>
                      <c:h val="6.6385891230944488E-2"/>
                    </c:manualLayout>
                  </c15:layout>
                </c:ext>
                <c:ext xmlns:c16="http://schemas.microsoft.com/office/drawing/2014/chart" uri="{C3380CC4-5D6E-409C-BE32-E72D297353CC}">
                  <c16:uniqueId val="{0000000F-E64C-4B75-ACC6-D985A14E3F5E}"/>
                </c:ext>
              </c:extLst>
            </c:dLbl>
            <c:dLbl>
              <c:idx val="8"/>
              <c:layout>
                <c:manualLayout>
                  <c:x val="-0.10473028154831748"/>
                  <c:y val="0.11588121827651787"/>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16249577561959"/>
                      <c:h val="9.6416106206558327E-2"/>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'1A_ByArea'!$A$7:$A$15</c:f>
              <c:strCache>
                <c:ptCount val="9"/>
                <c:pt idx="0">
                  <c:v>Direct F&amp;W Program</c:v>
                </c:pt>
                <c:pt idx="1">
                  <c:v>Forgone Revenue (est.)</c:v>
                </c:pt>
                <c:pt idx="2">
                  <c:v>Corps of Engineers O&amp;M (est.)</c:v>
                </c:pt>
                <c:pt idx="3">
                  <c:v>Lower Snake Comp Plan</c:v>
                </c:pt>
                <c:pt idx="4">
                  <c:v>Bureau of Reclamation O&amp;M (est.)</c:v>
                </c:pt>
                <c:pt idx="5">
                  <c:v>NW Power &amp; Conservation Council</c:v>
                </c:pt>
                <c:pt idx="6">
                  <c:v>Interest Expense (est.)</c:v>
                </c:pt>
                <c:pt idx="7">
                  <c:v>Amortization/Depreciation (est.)</c:v>
                </c:pt>
                <c:pt idx="8">
                  <c:v>Power Purchases for Fish Enhancement (est.)</c:v>
                </c:pt>
              </c:strCache>
            </c:strRef>
          </c:cat>
          <c:val>
            <c:numRef>
              <c:f>'1A_ByArea'!$B$7:$B$15</c:f>
              <c:numCache>
                <c:formatCode>_(* #,##0.0_);_(* \(#,##0.0\);_(* "-"??_);_(@_)</c:formatCode>
                <c:ptCount val="9"/>
                <c:pt idx="0">
                  <c:v>253.6</c:v>
                </c:pt>
                <c:pt idx="1">
                  <c:v>190.6</c:v>
                </c:pt>
                <c:pt idx="2">
                  <c:v>48.3</c:v>
                </c:pt>
                <c:pt idx="3">
                  <c:v>30.7</c:v>
                </c:pt>
                <c:pt idx="4">
                  <c:v>6.5</c:v>
                </c:pt>
                <c:pt idx="5">
                  <c:v>5.5</c:v>
                </c:pt>
                <c:pt idx="6">
                  <c:v>29.3</c:v>
                </c:pt>
                <c:pt idx="7">
                  <c:v>69.400000000000006</c:v>
                </c:pt>
                <c:pt idx="8">
                  <c:v>110.6</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'1A_ByArea'!$A$7:$A$15</c:f>
              <c:strCache>
                <c:ptCount val="9"/>
                <c:pt idx="0">
                  <c:v>Direct F&amp;W Program</c:v>
                </c:pt>
                <c:pt idx="1">
                  <c:v>Forgone Revenue (est.)</c:v>
                </c:pt>
                <c:pt idx="2">
                  <c:v>Corps of Engineers O&amp;M (est.)</c:v>
                </c:pt>
                <c:pt idx="3">
                  <c:v>Lower Snake Comp Plan</c:v>
                </c:pt>
                <c:pt idx="4">
                  <c:v>Bureau of Reclamation O&amp;M (est.)</c:v>
                </c:pt>
                <c:pt idx="5">
                  <c:v>NW Power &amp; Conservation Council</c:v>
                </c:pt>
                <c:pt idx="6">
                  <c:v>Interest Expense (est.)</c:v>
                </c:pt>
                <c:pt idx="7">
                  <c:v>Amortization/Depreciation (est.)</c:v>
                </c:pt>
                <c:pt idx="8">
                  <c:v>Power Purchases for Fish Enhancement (est.)</c:v>
                </c:pt>
              </c:strCache>
            </c:strRef>
          </c:cat>
          <c:val>
            <c:numRef>
              <c:f>'1A_ByArea'!$B$7:$B$15</c:f>
              <c:numCache>
                <c:formatCode>_(* #,##0.0_);_(* \(#,##0.0\);_(* "-"??_);_(@_)</c:formatCode>
                <c:ptCount val="9"/>
                <c:pt idx="0">
                  <c:v>253.6</c:v>
                </c:pt>
                <c:pt idx="1">
                  <c:v>190.6</c:v>
                </c:pt>
                <c:pt idx="2">
                  <c:v>48.3</c:v>
                </c:pt>
                <c:pt idx="3">
                  <c:v>30.7</c:v>
                </c:pt>
                <c:pt idx="4">
                  <c:v>6.5</c:v>
                </c:pt>
                <c:pt idx="5">
                  <c:v>5.5</c:v>
                </c:pt>
                <c:pt idx="6">
                  <c:v>29.3</c:v>
                </c:pt>
                <c:pt idx="7">
                  <c:v>69.400000000000006</c:v>
                </c:pt>
                <c:pt idx="8">
                  <c:v>110.6</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45"/>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Table'!$AC$2:$AQ$2</c:f>
              <c:numCache>
                <c:formatCode>0_);\(0\)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'BPA Costs Table'!$AC$9:$AQ$9</c:f>
              <c:numCache>
                <c:formatCode>0.0_);\(0.0\)</c:formatCode>
                <c:ptCount val="15"/>
                <c:pt idx="0">
                  <c:v>139.482</c:v>
                </c:pt>
                <c:pt idx="1">
                  <c:v>148.89743393999996</c:v>
                </c:pt>
                <c:pt idx="2">
                  <c:v>177.85944282999998</c:v>
                </c:pt>
                <c:pt idx="3">
                  <c:v>199.58221303000002</c:v>
                </c:pt>
                <c:pt idx="4">
                  <c:v>221.05362423999992</c:v>
                </c:pt>
                <c:pt idx="5">
                  <c:v>248.93</c:v>
                </c:pt>
                <c:pt idx="6">
                  <c:v>239</c:v>
                </c:pt>
                <c:pt idx="7">
                  <c:v>231.80148199999996</c:v>
                </c:pt>
                <c:pt idx="8">
                  <c:v>258.17721182999998</c:v>
                </c:pt>
                <c:pt idx="9">
                  <c:v>258.14218992999997</c:v>
                </c:pt>
                <c:pt idx="10">
                  <c:v>254.7</c:v>
                </c:pt>
                <c:pt idx="11">
                  <c:v>258.70465134000005</c:v>
                </c:pt>
                <c:pt idx="12">
                  <c:v>240.38390317</c:v>
                </c:pt>
                <c:pt idx="13">
                  <c:v>238.07312463000002</c:v>
                </c:pt>
                <c:pt idx="14">
                  <c:v>253.6</c:v>
                </c:pt>
              </c:numCache>
            </c:numRef>
          </c:val>
          <c:extLst>
            <c:ext xmlns:c16="http://schemas.microsoft.com/office/drawing/2014/chart" uri="{C3380CC4-5D6E-409C-BE32-E72D297353CC}">
              <c16:uniqueId val="{00000000-5C01-4D1C-9853-5F4AC0F181B4}"/>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Table'!$AC$2:$AQ$2</c:f>
              <c:numCache>
                <c:formatCode>0_);\(0\)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'BPA Costs Table'!$AC$7:$AQ$7</c:f>
              <c:numCache>
                <c:formatCode>_(* #,##0.0_);_(* \(#,##0.0\);_(* "-"?_);_(@_)</c:formatCode>
                <c:ptCount val="15"/>
                <c:pt idx="0">
                  <c:v>96.605999999999995</c:v>
                </c:pt>
                <c:pt idx="1">
                  <c:v>64.171313069999997</c:v>
                </c:pt>
                <c:pt idx="2">
                  <c:v>163.71146123</c:v>
                </c:pt>
                <c:pt idx="3">
                  <c:v>97.616092509999987</c:v>
                </c:pt>
                <c:pt idx="4">
                  <c:v>193.93786518999997</c:v>
                </c:pt>
                <c:pt idx="5">
                  <c:v>172.330297</c:v>
                </c:pt>
                <c:pt idx="6">
                  <c:v>155.69</c:v>
                </c:pt>
                <c:pt idx="7">
                  <c:v>139.15334831999999</c:v>
                </c:pt>
                <c:pt idx="8">
                  <c:v>104.12590900000001</c:v>
                </c:pt>
                <c:pt idx="9">
                  <c:v>51.372593500000008</c:v>
                </c:pt>
                <c:pt idx="10">
                  <c:v>65.7</c:v>
                </c:pt>
                <c:pt idx="11">
                  <c:v>83.216698000000008</c:v>
                </c:pt>
                <c:pt idx="12">
                  <c:v>77.871587230000003</c:v>
                </c:pt>
                <c:pt idx="13">
                  <c:v>146.73921922</c:v>
                </c:pt>
                <c:pt idx="14">
                  <c:v>108.6</c:v>
                </c:pt>
              </c:numCache>
            </c:numRef>
          </c:val>
          <c:extLst>
            <c:ext xmlns:c16="http://schemas.microsoft.com/office/drawing/2014/chart" uri="{C3380CC4-5D6E-409C-BE32-E72D297353CC}">
              <c16:uniqueId val="{00000001-5C01-4D1C-9853-5F4AC0F181B4}"/>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tickLblSkip val="2"/>
        <c:tickMarkSkip val="1"/>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4975960186741386"/>
          <c:y val="0.11814390684460656"/>
          <c:w val="0.13954995680692875"/>
          <c:h val="0.1197145011661961"/>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20121660575121197"/>
                  <c:y val="-0.2102625309310173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103776311413544"/>
                      <c:h val="0.10561635332716525"/>
                    </c:manualLayout>
                  </c15:layout>
                </c:ext>
                <c:ext xmlns:c16="http://schemas.microsoft.com/office/drawing/2014/chart" uri="{C3380CC4-5D6E-409C-BE32-E72D297353CC}">
                  <c16:uniqueId val="{00000001-57AC-4531-B5AE-729C85665BAF}"/>
                </c:ext>
              </c:extLst>
            </c:dLbl>
            <c:dLbl>
              <c:idx val="1"/>
              <c:layout>
                <c:manualLayout>
                  <c:x val="9.3013627023173548E-2"/>
                  <c:y val="3.85401730965816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739895755408882"/>
                  <c:y val="0.213970906858111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5.6283408908707186E-2"/>
                  <c:y val="4.871039198529029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'2_SpeciesType'!$A$40:$A$43</c:f>
              <c:strCache>
                <c:ptCount val="4"/>
                <c:pt idx="0">
                  <c:v>Anadromous Fish</c:v>
                </c:pt>
                <c:pt idx="1">
                  <c:v>Resident Fish</c:v>
                </c:pt>
                <c:pt idx="2">
                  <c:v>Wildlife</c:v>
                </c:pt>
                <c:pt idx="3">
                  <c:v>Program Support</c:v>
                </c:pt>
              </c:strCache>
            </c:strRef>
          </c:cat>
          <c:val>
            <c:numRef>
              <c:f>'2_SpeciesType'!$B$40:$B$43</c:f>
              <c:numCache>
                <c:formatCode>"$"#,##0</c:formatCode>
                <c:ptCount val="4"/>
                <c:pt idx="0">
                  <c:v>193335316</c:v>
                </c:pt>
                <c:pt idx="1">
                  <c:v>44301263</c:v>
                </c:pt>
                <c:pt idx="2">
                  <c:v>25815371</c:v>
                </c:pt>
                <c:pt idx="3">
                  <c:v>19554376</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val>
            <c:numRef>
              <c:f>'3_FCRPS'!$B$3:$Q$3</c:f>
              <c:numCache>
                <c:formatCode>"$"#,##0</c:formatCode>
                <c:ptCount val="16"/>
                <c:pt idx="0">
                  <c:v>74024959.329999998</c:v>
                </c:pt>
                <c:pt idx="1">
                  <c:v>78219265.00000003</c:v>
                </c:pt>
                <c:pt idx="2">
                  <c:v>91806508</c:v>
                </c:pt>
                <c:pt idx="3">
                  <c:v>113900603</c:v>
                </c:pt>
                <c:pt idx="4">
                  <c:v>129758323</c:v>
                </c:pt>
                <c:pt idx="5">
                  <c:v>143477289</c:v>
                </c:pt>
                <c:pt idx="6">
                  <c:v>162060445</c:v>
                </c:pt>
                <c:pt idx="7">
                  <c:v>151177409</c:v>
                </c:pt>
                <c:pt idx="8">
                  <c:v>143128947.90000001</c:v>
                </c:pt>
                <c:pt idx="9">
                  <c:v>165362220.78999999</c:v>
                </c:pt>
                <c:pt idx="10">
                  <c:v>159987743.56999999</c:v>
                </c:pt>
                <c:pt idx="11">
                  <c:v>156828472.72999999</c:v>
                </c:pt>
                <c:pt idx="12">
                  <c:v>153679667</c:v>
                </c:pt>
                <c:pt idx="13">
                  <c:v>137887504</c:v>
                </c:pt>
                <c:pt idx="14">
                  <c:v>132646392</c:v>
                </c:pt>
                <c:pt idx="15">
                  <c:v>146563109</c:v>
                </c:pt>
              </c:numCache>
            </c:numRef>
          </c:val>
          <c:extLst>
            <c:ext xmlns:c15="http://schemas.microsoft.com/office/drawing/2012/chart" uri="{02D57815-91ED-43cb-92C2-25804820EDAC}">
              <c15:filteredCategoryTitle>
                <c15:cat>
                  <c:strRef>
                    <c:extLst>
                      <c:ext uri="{02D57815-91ED-43cb-92C2-25804820EDAC}">
                        <c15:formulaRef>
                          <c15:sqref>'3_FCRPS'!$B$8:$Q$8</c15:sqref>
                        </c15:formulaRef>
                      </c:ext>
                    </c:extLst>
                  </c:strRef>
                </c15:cat>
              </c15:filteredCategoryTitle>
            </c:ex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val>
            <c:numRef>
              <c:f>'3_FCRPS'!$B$4:$Q$4</c:f>
              <c:numCache>
                <c:formatCode>"$"#,##0</c:formatCode>
                <c:ptCount val="16"/>
                <c:pt idx="0">
                  <c:v>5086155.01</c:v>
                </c:pt>
                <c:pt idx="1">
                  <c:v>8839587.0300000012</c:v>
                </c:pt>
                <c:pt idx="2">
                  <c:v>9869097</c:v>
                </c:pt>
                <c:pt idx="3">
                  <c:v>11668863</c:v>
                </c:pt>
                <c:pt idx="4">
                  <c:v>21761323</c:v>
                </c:pt>
                <c:pt idx="5">
                  <c:v>31297548</c:v>
                </c:pt>
                <c:pt idx="6">
                  <c:v>29240867</c:v>
                </c:pt>
                <c:pt idx="7">
                  <c:v>29683425</c:v>
                </c:pt>
                <c:pt idx="8">
                  <c:v>5925196.1100000003</c:v>
                </c:pt>
                <c:pt idx="9">
                  <c:v>7703153.2699999996</c:v>
                </c:pt>
                <c:pt idx="10">
                  <c:v>1249955.1399999999</c:v>
                </c:pt>
                <c:pt idx="11">
                  <c:v>-396792.47</c:v>
                </c:pt>
                <c:pt idx="12">
                  <c:v>25343</c:v>
                </c:pt>
                <c:pt idx="13">
                  <c:v>1470148</c:v>
                </c:pt>
                <c:pt idx="14">
                  <c:v>8024833</c:v>
                </c:pt>
                <c:pt idx="15">
                  <c:v>9249428</c:v>
                </c:pt>
              </c:numCache>
            </c:numRef>
          </c:val>
          <c:extLst>
            <c:ext xmlns:c15="http://schemas.microsoft.com/office/drawing/2012/chart" uri="{02D57815-91ED-43cb-92C2-25804820EDAC}">
              <c15:filteredCategoryTitle>
                <c15:cat>
                  <c:strRef>
                    <c:extLst>
                      <c:ext uri="{02D57815-91ED-43cb-92C2-25804820EDAC}">
                        <c15:formulaRef>
                          <c15:sqref>'3_FCRPS'!$B$8:$Q$8</c15:sqref>
                        </c15:formulaRef>
                      </c:ext>
                    </c:extLst>
                  </c:strRef>
                </c15:cat>
              </c15:filteredCategoryTitle>
            </c:ex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tickLblSkip val="2"/>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5811205742999559"/>
          <c:y val="6.4691791031688969E-2"/>
          <c:w val="0.3111032448377582"/>
          <c:h val="8.843916782117156E-2"/>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88638960235162068"/>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'4_ESASpecies'!$D$3:$D$18</c:f>
              <c:numCache>
                <c:formatCode>"$"#,##0_);[Red]\("$"#,##0\)</c:formatCode>
                <c:ptCount val="16"/>
                <c:pt idx="0">
                  <c:v>6166881</c:v>
                </c:pt>
                <c:pt idx="1">
                  <c:v>11393135</c:v>
                </c:pt>
                <c:pt idx="2">
                  <c:v>24162588</c:v>
                </c:pt>
                <c:pt idx="3">
                  <c:v>15554550</c:v>
                </c:pt>
                <c:pt idx="4">
                  <c:v>5292609</c:v>
                </c:pt>
                <c:pt idx="5">
                  <c:v>3374620</c:v>
                </c:pt>
                <c:pt idx="6">
                  <c:v>4236175</c:v>
                </c:pt>
                <c:pt idx="7">
                  <c:v>9745805</c:v>
                </c:pt>
                <c:pt idx="8">
                  <c:v>5254048</c:v>
                </c:pt>
                <c:pt idx="9">
                  <c:v>36331116</c:v>
                </c:pt>
                <c:pt idx="10">
                  <c:v>24282828</c:v>
                </c:pt>
                <c:pt idx="11">
                  <c:v>13778630</c:v>
                </c:pt>
                <c:pt idx="12">
                  <c:v>4119794</c:v>
                </c:pt>
                <c:pt idx="13">
                  <c:v>1482971</c:v>
                </c:pt>
                <c:pt idx="14">
                  <c:v>9366175</c:v>
                </c:pt>
                <c:pt idx="15">
                  <c:v>14336116</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'4_ESASpecies'!$G$3:$G$18</c:f>
              <c:numCache>
                <c:formatCode>"$"#,##0_);[Red]\("$"#,##0\)</c:formatCode>
                <c:ptCount val="16"/>
                <c:pt idx="0">
                  <c:v>1591164</c:v>
                </c:pt>
                <c:pt idx="1">
                  <c:v>1687866</c:v>
                </c:pt>
                <c:pt idx="2">
                  <c:v>117195</c:v>
                </c:pt>
                <c:pt idx="3">
                  <c:v>117195</c:v>
                </c:pt>
                <c:pt idx="4">
                  <c:v>117195</c:v>
                </c:pt>
                <c:pt idx="5">
                  <c:v>1657380</c:v>
                </c:pt>
                <c:pt idx="6">
                  <c:v>1659660</c:v>
                </c:pt>
                <c:pt idx="7">
                  <c:v>117632</c:v>
                </c:pt>
                <c:pt idx="8">
                  <c:v>1648374</c:v>
                </c:pt>
                <c:pt idx="9">
                  <c:v>117343</c:v>
                </c:pt>
                <c:pt idx="10">
                  <c:v>148266</c:v>
                </c:pt>
                <c:pt idx="11">
                  <c:v>152417</c:v>
                </c:pt>
                <c:pt idx="12">
                  <c:v>117343</c:v>
                </c:pt>
                <c:pt idx="13">
                  <c:v>0</c:v>
                </c:pt>
                <c:pt idx="14">
                  <c:v>0</c:v>
                </c:pt>
                <c:pt idx="15">
                  <c:v>10320000</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59935774749200399"/>
          <c:y val="0.14289649529838236"/>
          <c:w val="0.34700320698085657"/>
          <c:h val="0.10580503281991246"/>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9294499384788228E-2"/>
          <c:y val="2.081082718607682E-4"/>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14533144798053288"/>
                  <c:y val="0.21249722502347501"/>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722763503017648"/>
                      <c:h val="0.15962564732380696"/>
                    </c:manualLayout>
                  </c15:layout>
                </c:ext>
                <c:ext xmlns:c16="http://schemas.microsoft.com/office/drawing/2014/chart" uri="{C3380CC4-5D6E-409C-BE32-E72D297353CC}">
                  <c16:uniqueId val="{00000001-736D-469F-BFEB-8CC3BF38283E}"/>
                </c:ext>
              </c:extLst>
            </c:dLbl>
            <c:dLbl>
              <c:idx val="1"/>
              <c:layout>
                <c:manualLayout>
                  <c:x val="-0.19287140652230064"/>
                  <c:y val="-0.16046861325844883"/>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721074754097023"/>
                      <c:h val="0.19523790503602353"/>
                    </c:manualLayout>
                  </c15:layout>
                </c:ext>
                <c:ext xmlns:c16="http://schemas.microsoft.com/office/drawing/2014/chart" uri="{C3380CC4-5D6E-409C-BE32-E72D297353CC}">
                  <c16:uniqueId val="{00000003-736D-469F-BFEB-8CC3BF38283E}"/>
                </c:ext>
              </c:extLst>
            </c:dLbl>
            <c:dLbl>
              <c:idx val="2"/>
              <c:layout>
                <c:manualLayout>
                  <c:x val="0.16418498051898442"/>
                  <c:y val="-0.23033516471435608"/>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569915200285206"/>
                      <c:h val="0.15841538466370811"/>
                    </c:manualLayout>
                  </c15:layout>
                </c:ext>
                <c:ext xmlns:c16="http://schemas.microsoft.com/office/drawing/2014/chart" uri="{C3380CC4-5D6E-409C-BE32-E72D297353CC}">
                  <c16:uniqueId val="{00000004-736D-469F-BFEB-8CC3BF38283E}"/>
                </c:ext>
              </c:extLst>
            </c:dLbl>
            <c:dLbl>
              <c:idx val="3"/>
              <c:layout>
                <c:manualLayout>
                  <c:x val="0.16619892901159372"/>
                  <c:y val="0.1562064520269721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9.9889368418034363E-2"/>
                  <c:y val="3.55579257846159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9861233198695619"/>
                      <c:h val="0.16995410929348537"/>
                    </c:manualLayout>
                  </c15:layout>
                </c:ext>
                <c:ext xmlns:c16="http://schemas.microsoft.com/office/drawing/2014/chart" uri="{C3380CC4-5D6E-409C-BE32-E72D297353CC}">
                  <c16:uniqueId val="{00000008-736D-469F-BFEB-8CC3BF38283E}"/>
                </c:ext>
              </c:extLst>
            </c:dLbl>
            <c:dLbl>
              <c:idx val="5"/>
              <c:layout>
                <c:manualLayout>
                  <c:x val="8.8350121258396086E-2"/>
                  <c:y val="3.533458134435069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solidFill>
                <a:schemeClr val="bg1">
                  <a:lumMod val="95000"/>
                </a:schemeClr>
              </a:solidFill>
              <a:ln cap="rnd">
                <a:solidFill>
                  <a:sysClr val="window" lastClr="FFFFFF">
                    <a:lumMod val="8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'5_Fund'!$A$23:$A$28</c:f>
              <c:strCache>
                <c:ptCount val="6"/>
                <c:pt idx="0">
                  <c:v>BiOp (non Accord)</c:v>
                </c:pt>
                <c:pt idx="1">
                  <c:v>Accords - BiOp</c:v>
                </c:pt>
                <c:pt idx="2">
                  <c:v>Accords - non-BiOp</c:v>
                </c:pt>
                <c:pt idx="3">
                  <c:v>General</c:v>
                </c:pt>
                <c:pt idx="4">
                  <c:v>Overhead</c:v>
                </c:pt>
                <c:pt idx="5">
                  <c:v>G&amp;A</c:v>
                </c:pt>
              </c:strCache>
            </c:strRef>
          </c:cat>
          <c:val>
            <c:numRef>
              <c:f>'5_Fund'!$B$23:$B$28</c:f>
              <c:numCache>
                <c:formatCode>"$"#,,\ "million"</c:formatCode>
                <c:ptCount val="6"/>
                <c:pt idx="0">
                  <c:v>94918509</c:v>
                </c:pt>
                <c:pt idx="1">
                  <c:v>61146071.131080814</c:v>
                </c:pt>
                <c:pt idx="2">
                  <c:v>76218148.868919179</c:v>
                </c:pt>
                <c:pt idx="3">
                  <c:v>35229779</c:v>
                </c:pt>
                <c:pt idx="4">
                  <c:v>15493817</c:v>
                </c:pt>
                <c:pt idx="5">
                  <c:v>12327352</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319338237115897"/>
          <c:y val="0.16999202884485873"/>
          <c:w val="0.58523995553121111"/>
          <c:h val="0.61335656992619725"/>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1"/>
              <c:layout>
                <c:manualLayout>
                  <c:x val="6.6838650200785013E-2"/>
                  <c:y val="-2.120323531384250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5C-4DC7-8F1A-219DE91BC20B}"/>
                </c:ext>
              </c:extLst>
            </c:dLbl>
            <c:dLbl>
              <c:idx val="2"/>
              <c:layout>
                <c:manualLayout>
                  <c:x val="8.3795807192828212E-2"/>
                  <c:y val="0.1007634711494435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50795973926313"/>
                      <c:h val="0.14441207069542464"/>
                    </c:manualLayout>
                  </c15:layout>
                </c:ext>
                <c:ext xmlns:c16="http://schemas.microsoft.com/office/drawing/2014/chart" uri="{C3380CC4-5D6E-409C-BE32-E72D297353CC}">
                  <c16:uniqueId val="{00000004-0A5C-4DC7-8F1A-219DE91BC20B}"/>
                </c:ext>
              </c:extLst>
            </c:dLbl>
            <c:dLbl>
              <c:idx val="3"/>
              <c:layout>
                <c:manualLayout>
                  <c:x val="-0.20826251771987123"/>
                  <c:y val="-5.192720936153989E-2"/>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0.22927647651793417"/>
                  <c:y val="-7.144336358519656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0A5C-4DC7-8F1A-219DE91BC20B}"/>
                </c:ext>
              </c:extLst>
            </c:dLbl>
            <c:dLbl>
              <c:idx val="5"/>
              <c:layout>
                <c:manualLayout>
                  <c:x val="0.1471420853380799"/>
                  <c:y val="-0.16104031140372108"/>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3.5936692044724744E-2"/>
                  <c:y val="8.978449859715514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5.3129579248754104E-2"/>
                  <c:y val="-1.748554235705964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2253309892808259"/>
                  <c:y val="8.0669696589851278E-2"/>
                </c:manualLayout>
              </c:layout>
              <c:numFmt formatCode="0%" sourceLinked="0"/>
              <c:spPr>
                <a:no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dLbl>
              <c:idx val="9"/>
              <c:layout>
                <c:manualLayout>
                  <c:x val="-0.17104530707937488"/>
                  <c:y val="1.512501935811932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C1-4054-8CBF-D115E5FB2B95}"/>
                </c:ext>
              </c:extLst>
            </c:dLbl>
            <c:dLbl>
              <c:idx val="10"/>
              <c:layout>
                <c:manualLayout>
                  <c:x val="0.36538600720212938"/>
                  <c:y val="0.56405027922542583"/>
                </c:manualLayout>
              </c:layout>
              <c:numFmt formatCode="0%" sourceLinked="0"/>
              <c:spPr>
                <a:solidFill>
                  <a:schemeClr val="bg1">
                    <a:lumMod val="95000"/>
                  </a:schemeClr>
                </a:solidFill>
                <a:ln cap="rnd">
                  <a:solidFill>
                    <a:srgbClr val="4F81BD"/>
                  </a:solidFill>
                  <a:prstDash val="dash"/>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1C1-4054-8CBF-D115E5FB2B95}"/>
                </c:ext>
              </c:extLst>
            </c:dLbl>
            <c:numFmt formatCode="0%" sourceLinked="0"/>
            <c:spPr>
              <a:solidFill>
                <a:schemeClr val="bg1">
                  <a:lumMod val="95000"/>
                </a:schemeClr>
              </a:solidFill>
              <a:ln cap="rnd">
                <a:no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'6A_Category'!$R$3:$R$13</c:f>
              <c:strCache>
                <c:ptCount val="11"/>
                <c:pt idx="0">
                  <c:v>Coordination (Local/Regional)</c:v>
                </c:pt>
                <c:pt idx="1">
                  <c:v>Coordination &amp; Project Mgmt</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'6A_Category'!$Q$3:$Q$13</c:f>
              <c:numCache>
                <c:formatCode>"$"#.0,,\ "million"</c:formatCode>
                <c:ptCount val="11"/>
                <c:pt idx="0">
                  <c:v>11096346</c:v>
                </c:pt>
                <c:pt idx="1">
                  <c:v>11906296</c:v>
                </c:pt>
                <c:pt idx="2">
                  <c:v>5141190.7600000007</c:v>
                </c:pt>
                <c:pt idx="3">
                  <c:v>122044125.41000001</c:v>
                </c:pt>
                <c:pt idx="4">
                  <c:v>5246418.55</c:v>
                </c:pt>
                <c:pt idx="5">
                  <c:v>46496391.919999987</c:v>
                </c:pt>
                <c:pt idx="6">
                  <c:v>937863.16</c:v>
                </c:pt>
                <c:pt idx="7">
                  <c:v>4087548.31</c:v>
                </c:pt>
                <c:pt idx="8">
                  <c:v>76050145.24999997</c:v>
                </c:pt>
                <c:pt idx="9">
                  <c:v>12327352</c:v>
                </c:pt>
                <c:pt idx="10">
                  <c:v>179587</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0.11952214856874256"/>
                  <c:y val="2.31511937198697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CE-487F-888A-ADA545CC2CAC}"/>
                </c:ext>
              </c:extLst>
            </c:dLbl>
            <c:dLbl>
              <c:idx val="1"/>
              <c:layout>
                <c:manualLayout>
                  <c:x val="-0.10029999061555395"/>
                  <c:y val="0.1719777486383286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20558583198670155"/>
                  <c:y val="6.2372794122342326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8409807334896947"/>
                      <c:h val="0.11734465615834905"/>
                    </c:manualLayout>
                  </c15:layout>
                </c:ext>
                <c:ext xmlns:c16="http://schemas.microsoft.com/office/drawing/2014/chart" uri="{C3380CC4-5D6E-409C-BE32-E72D297353CC}">
                  <c16:uniqueId val="{00000004-A5CE-487F-888A-ADA545CC2CAC}"/>
                </c:ext>
              </c:extLst>
            </c:dLbl>
            <c:dLbl>
              <c:idx val="3"/>
              <c:layout>
                <c:manualLayout>
                  <c:x val="0.11774951978300113"/>
                  <c:y val="-0.18807252845580871"/>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5012301935377529"/>
                      <c:h val="0.11581776560338462"/>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solidFill>
                <a:schemeClr val="bg1">
                  <a:lumMod val="95000"/>
                </a:schemeClr>
              </a:solidFill>
              <a:ln cap="rnd">
                <a:solidFill>
                  <a:sysClr val="window" lastClr="FFFFFF">
                    <a:lumMod val="6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RM&amp;E</c:v>
                </c:pt>
                <c:pt idx="3">
                  <c:v>Supplementation</c:v>
                </c:pt>
              </c:strCache>
            </c:strRef>
          </c:cat>
          <c:val>
            <c:numRef>
              <c:f>'6B_ArtProd'!$Q$3:$Q$6</c:f>
              <c:numCache>
                <c:formatCode>"$"#.0,,\ "million"</c:formatCode>
                <c:ptCount val="4"/>
                <c:pt idx="0">
                  <c:v>501558.63</c:v>
                </c:pt>
                <c:pt idx="1">
                  <c:v>5246418.55</c:v>
                </c:pt>
                <c:pt idx="2">
                  <c:v>19198616.699999999</c:v>
                </c:pt>
                <c:pt idx="3">
                  <c:v>46496391.919999979</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2814271500844852"/>
                  <c:y val="0.23148670883990141"/>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773652344690307"/>
                      <c:h val="0.10324018061973993"/>
                    </c:manualLayout>
                  </c15:layout>
                </c:ext>
                <c:ext xmlns:c16="http://schemas.microsoft.com/office/drawing/2014/chart" uri="{C3380CC4-5D6E-409C-BE32-E72D297353CC}">
                  <c16:uniqueId val="{00000000-9741-4BA5-9625-BE7798C093FB}"/>
                </c:ext>
              </c:extLst>
            </c:dLbl>
            <c:dLbl>
              <c:idx val="1"/>
              <c:layout>
                <c:manualLayout>
                  <c:x val="-0.19514769370182158"/>
                  <c:y val="-0.16490888612558877"/>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4497850956486227"/>
                      <c:h val="0.13152140617183558"/>
                    </c:manualLayout>
                  </c15:layout>
                </c:ext>
                <c:ext xmlns:c16="http://schemas.microsoft.com/office/drawing/2014/chart" uri="{C3380CC4-5D6E-409C-BE32-E72D297353CC}">
                  <c16:uniqueId val="{00000001-9741-4BA5-9625-BE7798C093FB}"/>
                </c:ext>
              </c:extLst>
            </c:dLbl>
            <c:dLbl>
              <c:idx val="2"/>
              <c:layout>
                <c:manualLayout>
                  <c:x val="7.1086081166297915E-2"/>
                  <c:y val="-4.5315908315970564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02171621336707"/>
                      <c:h val="0.1133781136300028"/>
                    </c:manualLayout>
                  </c15:layout>
                </c:ext>
                <c:ext xmlns:c16="http://schemas.microsoft.com/office/drawing/2014/chart" uri="{C3380CC4-5D6E-409C-BE32-E72D297353CC}">
                  <c16:uniqueId val="{00000002-9741-4BA5-9625-BE7798C093FB}"/>
                </c:ext>
              </c:extLst>
            </c:dLbl>
            <c:dLbl>
              <c:idx val="3"/>
              <c:layout>
                <c:manualLayout>
                  <c:x val="-5.1237875300967198E-2"/>
                  <c:y val="-4.9350611306559572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115117014547755"/>
                      <c:h val="9.3786733837111669E-2"/>
                    </c:manualLayout>
                  </c15:layout>
                </c:ext>
                <c:ext xmlns:c16="http://schemas.microsoft.com/office/drawing/2014/chart" uri="{C3380CC4-5D6E-409C-BE32-E72D297353CC}">
                  <c16:uniqueId val="{00000003-9741-4BA5-9625-BE7798C093FB}"/>
                </c:ext>
              </c:extLst>
            </c:dLbl>
            <c:dLbl>
              <c:idx val="4"/>
              <c:layout>
                <c:manualLayout>
                  <c:x val="7.4088937673753144E-2"/>
                  <c:y val="-0.17612405298155331"/>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6036197562591203"/>
                      <c:h val="0.12020821074947495"/>
                    </c:manualLayout>
                  </c15:layout>
                </c:ext>
                <c:ext xmlns:c16="http://schemas.microsoft.com/office/drawing/2014/chart" uri="{C3380CC4-5D6E-409C-BE32-E72D297353CC}">
                  <c16:uniqueId val="{00000004-9741-4BA5-9625-BE7798C093FB}"/>
                </c:ext>
              </c:extLst>
            </c:dLbl>
            <c:dLbl>
              <c:idx val="5"/>
              <c:layout>
                <c:manualLayout>
                  <c:x val="0.15131062598833395"/>
                  <c:y val="2.8461548568613593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 xmlns:c16="http://schemas.microsoft.com/office/drawing/2014/chart" uri="{C3380CC4-5D6E-409C-BE32-E72D297353CC}">
                  <c16:uniqueId val="{00000005-9741-4BA5-9625-BE7798C093FB}"/>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41-4BA5-9625-BE7798C093FB}"/>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9741-4BA5-9625-BE7798C093FB}"/>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41-4BA5-9625-BE7798C093FB}"/>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41-4BA5-9625-BE7798C093FB}"/>
                </c:ext>
              </c:extLst>
            </c:dLbl>
            <c:dLbl>
              <c:idx val="10"/>
              <c:layout>
                <c:manualLayout>
                  <c:x val="8.3128965675407035E-2"/>
                  <c:y val="7.5079062485610346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9741-4BA5-9625-BE7798C093FB}"/>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9741-4BA5-9625-BE7798C093FB}"/>
                </c:ext>
              </c:extLst>
            </c:dLbl>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'6C_RME'!$A$4:$A$9</c:f>
              <c:strCache>
                <c:ptCount val="6"/>
                <c:pt idx="0">
                  <c:v>Artificial Production</c:v>
                </c:pt>
                <c:pt idx="1">
                  <c:v>Habitat</c:v>
                </c:pt>
                <c:pt idx="2">
                  <c:v>Harvest</c:v>
                </c:pt>
                <c:pt idx="3">
                  <c:v>Hydrosystem</c:v>
                </c:pt>
                <c:pt idx="4">
                  <c:v>Predation</c:v>
                </c:pt>
                <c:pt idx="5">
                  <c:v>Programmatic</c:v>
                </c:pt>
              </c:strCache>
            </c:strRef>
          </c:cat>
          <c:val>
            <c:numRef>
              <c:f>'6C_RME'!$M$4:$M$9</c:f>
              <c:numCache>
                <c:formatCode>"$"#.0,,\ "million"</c:formatCode>
                <c:ptCount val="6"/>
                <c:pt idx="0">
                  <c:v>19198616.70000001</c:v>
                </c:pt>
                <c:pt idx="1">
                  <c:v>12887138.150000002</c:v>
                </c:pt>
                <c:pt idx="2">
                  <c:v>665946.26000000013</c:v>
                </c:pt>
                <c:pt idx="3">
                  <c:v>6859234.2000000002</c:v>
                </c:pt>
                <c:pt idx="4">
                  <c:v>1816845.15</c:v>
                </c:pt>
                <c:pt idx="5">
                  <c:v>34622364.789999999</c:v>
                </c:pt>
              </c:numCache>
            </c:numRef>
          </c:val>
          <c:extLst>
            <c:ext xmlns:c16="http://schemas.microsoft.com/office/drawing/2014/chart" uri="{C3380CC4-5D6E-409C-BE32-E72D297353CC}">
              <c16:uniqueId val="{0000000C-9741-4BA5-9625-BE7798C093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barChart>
        <c:barDir val="bar"/>
        <c:grouping val="clustered"/>
        <c:varyColors val="0"/>
        <c:ser>
          <c:idx val="0"/>
          <c:order val="0"/>
          <c:spPr>
            <a:solidFill>
              <a:schemeClr val="accent3">
                <a:lumMod val="75000"/>
              </a:schemeClr>
            </a:solidFill>
            <a:effectLst>
              <a:outerShdw blurRad="50800" dist="38100" dir="2700000" algn="tl" rotWithShape="0">
                <a:prstClr val="black">
                  <a:alpha val="40000"/>
                </a:prstClr>
              </a:outerShdw>
            </a:effectLst>
          </c:spPr>
          <c:invertIfNegative val="0"/>
          <c:dPt>
            <c:idx val="0"/>
            <c:invertIfNegative val="0"/>
            <c:bubble3D val="0"/>
            <c:spPr>
              <a:solidFill>
                <a:schemeClr val="accent3">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7FEE-4D26-A36B-86FFF3A5B10A}"/>
              </c:ext>
            </c:extLst>
          </c:dPt>
          <c:dPt>
            <c:idx val="1"/>
            <c:invertIfNegative val="0"/>
            <c:bubble3D val="0"/>
            <c:spPr>
              <a:solidFill>
                <a:schemeClr val="accent3">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FEE-4D26-A36B-86FFF3A5B10A}"/>
              </c:ext>
            </c:extLst>
          </c:dPt>
          <c:cat>
            <c:strRef>
              <c:f>'7A_Province'!$H$29:$H$41</c:f>
              <c:strCache>
                <c:ptCount val="13"/>
                <c:pt idx="0">
                  <c:v>Program Support</c:v>
                </c:pt>
                <c:pt idx="1">
                  <c:v>Other</c:v>
                </c:pt>
                <c:pt idx="2">
                  <c:v>Middle Snake</c:v>
                </c:pt>
                <c:pt idx="3">
                  <c:v>Columbia Gorge</c:v>
                </c:pt>
                <c:pt idx="4">
                  <c:v>Columbia Estuary</c:v>
                </c:pt>
                <c:pt idx="5">
                  <c:v>Upper Snake</c:v>
                </c:pt>
                <c:pt idx="6">
                  <c:v>Blue Mountain</c:v>
                </c:pt>
                <c:pt idx="7">
                  <c:v>Intermountain</c:v>
                </c:pt>
                <c:pt idx="8">
                  <c:v>Columbia Cascade</c:v>
                </c:pt>
                <c:pt idx="9">
                  <c:v>Mountain Columbia</c:v>
                </c:pt>
                <c:pt idx="10">
                  <c:v>Mountain Snake</c:v>
                </c:pt>
                <c:pt idx="11">
                  <c:v>Lower Columbia</c:v>
                </c:pt>
                <c:pt idx="12">
                  <c:v>Columbia Plateau</c:v>
                </c:pt>
              </c:strCache>
            </c:strRef>
          </c:cat>
          <c:val>
            <c:numRef>
              <c:f>'7A_Province'!$I$29:$I$41</c:f>
              <c:numCache>
                <c:formatCode>_(* #,##0_);_(* \(#,##0\);_(* "-"??_);_(@_)</c:formatCode>
                <c:ptCount val="13"/>
                <c:pt idx="0">
                  <c:v>25569582</c:v>
                </c:pt>
                <c:pt idx="1">
                  <c:v>4911421</c:v>
                </c:pt>
                <c:pt idx="2">
                  <c:v>4194736</c:v>
                </c:pt>
                <c:pt idx="3">
                  <c:v>8473674</c:v>
                </c:pt>
                <c:pt idx="4">
                  <c:v>8523017</c:v>
                </c:pt>
                <c:pt idx="5">
                  <c:v>14927618</c:v>
                </c:pt>
                <c:pt idx="6">
                  <c:v>16159299</c:v>
                </c:pt>
                <c:pt idx="7">
                  <c:v>18159996</c:v>
                </c:pt>
                <c:pt idx="8">
                  <c:v>21214325</c:v>
                </c:pt>
                <c:pt idx="9">
                  <c:v>24062705</c:v>
                </c:pt>
                <c:pt idx="10">
                  <c:v>27685383</c:v>
                </c:pt>
                <c:pt idx="11">
                  <c:v>36056424</c:v>
                </c:pt>
                <c:pt idx="12">
                  <c:v>73068145</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dLbls>
        <c:gapWidth val="100"/>
        <c:axId val="246305327"/>
        <c:axId val="246304911"/>
      </c:barChart>
      <c:valAx>
        <c:axId val="246304911"/>
        <c:scaling>
          <c:orientation val="minMax"/>
        </c:scaling>
        <c:delete val="0"/>
        <c:axPos val="b"/>
        <c:majorGridlines>
          <c:spPr>
            <a:ln>
              <a:solidFill>
                <a:schemeClr val="bg1">
                  <a:lumMod val="85000"/>
                </a:schemeClr>
              </a:solidFill>
            </a:ln>
          </c:spPr>
        </c:majorGridlines>
        <c:numFmt formatCode="&quot;$&quot;#0,,\ &quot;mil&quot;" sourceLinked="0"/>
        <c:majorTickMark val="out"/>
        <c:minorTickMark val="none"/>
        <c:tickLblPos val="nextTo"/>
        <c:spPr>
          <a:ln>
            <a:solidFill>
              <a:schemeClr val="bg1">
                <a:lumMod val="85000"/>
              </a:schemeClr>
            </a:solidFill>
          </a:ln>
        </c:spPr>
        <c:txPr>
          <a:bodyPr/>
          <a:lstStyle/>
          <a:p>
            <a:pPr>
              <a:defRPr sz="900">
                <a:solidFill>
                  <a:schemeClr val="tx1">
                    <a:lumMod val="65000"/>
                    <a:lumOff val="35000"/>
                  </a:schemeClr>
                </a:solidFill>
                <a:latin typeface="Century Gothic" panose="020B0502020202020204" pitchFamily="34" charset="0"/>
              </a:defRPr>
            </a:pPr>
            <a:endParaRPr lang="en-US"/>
          </a:p>
        </c:txPr>
        <c:crossAx val="246305327"/>
        <c:crosses val="autoZero"/>
        <c:crossBetween val="between"/>
      </c:valAx>
      <c:catAx>
        <c:axId val="246305327"/>
        <c:scaling>
          <c:orientation val="minMax"/>
        </c:scaling>
        <c:delete val="0"/>
        <c:axPos val="l"/>
        <c:numFmt formatCode="General" sourceLinked="1"/>
        <c:majorTickMark val="out"/>
        <c:minorTickMark val="none"/>
        <c:tickLblPos val="nextTo"/>
        <c:spPr>
          <a:ln>
            <a:solidFill>
              <a:schemeClr val="bg1">
                <a:lumMod val="85000"/>
              </a:schemeClr>
            </a:solidFill>
          </a:ln>
        </c:spPr>
        <c:txPr>
          <a:bodyPr/>
          <a:lstStyle/>
          <a:p>
            <a:pPr>
              <a:defRPr sz="900">
                <a:solidFill>
                  <a:schemeClr val="tx1">
                    <a:lumMod val="65000"/>
                    <a:lumOff val="35000"/>
                  </a:schemeClr>
                </a:solidFill>
                <a:latin typeface="Century Gothic" panose="020B0502020202020204" pitchFamily="34" charset="0"/>
              </a:defRPr>
            </a:pPr>
            <a:endParaRPr lang="en-US"/>
          </a:p>
        </c:txPr>
        <c:crossAx val="246304911"/>
        <c:crosses val="autoZero"/>
        <c:auto val="1"/>
        <c:lblAlgn val="ctr"/>
        <c:lblOffset val="100"/>
        <c:noMultiLvlLbl val="0"/>
      </c:catAx>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'7B_Subbasin'!$B$27:$B$63</c:f>
              <c:strCache>
                <c:ptCount val="37"/>
                <c:pt idx="0">
                  <c:v>Imnaha</c:v>
                </c:pt>
                <c:pt idx="1">
                  <c:v>Entiat</c:v>
                </c:pt>
                <c:pt idx="2">
                  <c:v>Owyhee</c:v>
                </c:pt>
                <c:pt idx="3">
                  <c:v>Grays</c:v>
                </c:pt>
                <c:pt idx="4">
                  <c:v>Sanpoil</c:v>
                </c:pt>
                <c:pt idx="5">
                  <c:v>Elochoman</c:v>
                </c:pt>
                <c:pt idx="6">
                  <c:v>Snake Hells Canyon</c:v>
                </c:pt>
                <c:pt idx="7">
                  <c:v>Klickitat</c:v>
                </c:pt>
                <c:pt idx="8">
                  <c:v>Boise</c:v>
                </c:pt>
                <c:pt idx="9">
                  <c:v>Coeur D'Alene</c:v>
                </c:pt>
                <c:pt idx="10">
                  <c:v>Columbia Gorge</c:v>
                </c:pt>
                <c:pt idx="11">
                  <c:v>Hood</c:v>
                </c:pt>
                <c:pt idx="12">
                  <c:v>Tucannon</c:v>
                </c:pt>
                <c:pt idx="13">
                  <c:v>Spokane</c:v>
                </c:pt>
                <c:pt idx="14">
                  <c:v>Wenatchee</c:v>
                </c:pt>
                <c:pt idx="15">
                  <c:v>Okanogan</c:v>
                </c:pt>
                <c:pt idx="16">
                  <c:v>Other</c:v>
                </c:pt>
                <c:pt idx="17">
                  <c:v>Pend Oreille</c:v>
                </c:pt>
                <c:pt idx="18">
                  <c:v>Methow</c:v>
                </c:pt>
                <c:pt idx="19">
                  <c:v>Columbia Lower Middle</c:v>
                </c:pt>
                <c:pt idx="20">
                  <c:v>Snake Lower</c:v>
                </c:pt>
                <c:pt idx="21">
                  <c:v>Columbia Estuary</c:v>
                </c:pt>
                <c:pt idx="22">
                  <c:v>Deschutes</c:v>
                </c:pt>
                <c:pt idx="23">
                  <c:v>Columbia Upper</c:v>
                </c:pt>
                <c:pt idx="24">
                  <c:v>Columbia Upper Middle</c:v>
                </c:pt>
                <c:pt idx="25">
                  <c:v>John Day</c:v>
                </c:pt>
                <c:pt idx="26">
                  <c:v>Umatilla</c:v>
                </c:pt>
                <c:pt idx="27">
                  <c:v>Kootenai</c:v>
                </c:pt>
                <c:pt idx="28">
                  <c:v>Grande Ronde</c:v>
                </c:pt>
                <c:pt idx="29">
                  <c:v>Clearwater</c:v>
                </c:pt>
                <c:pt idx="30">
                  <c:v>Flathead</c:v>
                </c:pt>
                <c:pt idx="31">
                  <c:v>Salmon</c:v>
                </c:pt>
                <c:pt idx="32">
                  <c:v>Snake Upper</c:v>
                </c:pt>
                <c:pt idx="33">
                  <c:v>Walla Walla</c:v>
                </c:pt>
                <c:pt idx="34">
                  <c:v>Columbia Lower</c:v>
                </c:pt>
                <c:pt idx="35">
                  <c:v>Willamette</c:v>
                </c:pt>
                <c:pt idx="36">
                  <c:v>Yakima</c:v>
                </c:pt>
              </c:strCache>
            </c:strRef>
          </c:cat>
          <c:val>
            <c:numRef>
              <c:f>'7B_Subbasin'!$E$27:$E$63</c:f>
              <c:numCache>
                <c:formatCode>_(* #,##0_);_(* \(#,##0\);_(* "-"??_);_(@_)</c:formatCode>
                <c:ptCount val="37"/>
                <c:pt idx="0">
                  <c:v>1005211</c:v>
                </c:pt>
                <c:pt idx="1">
                  <c:v>1031908</c:v>
                </c:pt>
                <c:pt idx="2">
                  <c:v>1071241</c:v>
                </c:pt>
                <c:pt idx="3">
                  <c:v>1149467</c:v>
                </c:pt>
                <c:pt idx="4">
                  <c:v>1395903</c:v>
                </c:pt>
                <c:pt idx="5">
                  <c:v>1662018</c:v>
                </c:pt>
                <c:pt idx="6">
                  <c:v>1740550</c:v>
                </c:pt>
                <c:pt idx="7">
                  <c:v>1873494</c:v>
                </c:pt>
                <c:pt idx="8">
                  <c:v>1913479</c:v>
                </c:pt>
                <c:pt idx="9">
                  <c:v>2037737</c:v>
                </c:pt>
                <c:pt idx="10">
                  <c:v>2492464</c:v>
                </c:pt>
                <c:pt idx="11">
                  <c:v>2548483</c:v>
                </c:pt>
                <c:pt idx="12">
                  <c:v>3397606</c:v>
                </c:pt>
                <c:pt idx="13">
                  <c:v>3716621</c:v>
                </c:pt>
                <c:pt idx="14">
                  <c:v>3852114</c:v>
                </c:pt>
                <c:pt idx="15">
                  <c:v>4659063</c:v>
                </c:pt>
                <c:pt idx="16">
                  <c:v>4911421</c:v>
                </c:pt>
                <c:pt idx="17">
                  <c:v>5009376</c:v>
                </c:pt>
                <c:pt idx="18">
                  <c:v>5039328</c:v>
                </c:pt>
                <c:pt idx="19">
                  <c:v>5192557</c:v>
                </c:pt>
                <c:pt idx="20">
                  <c:v>5331360</c:v>
                </c:pt>
                <c:pt idx="21">
                  <c:v>5581433</c:v>
                </c:pt>
                <c:pt idx="22">
                  <c:v>5710500</c:v>
                </c:pt>
                <c:pt idx="23">
                  <c:v>6000359</c:v>
                </c:pt>
                <c:pt idx="24">
                  <c:v>6169855</c:v>
                </c:pt>
                <c:pt idx="25">
                  <c:v>8408978</c:v>
                </c:pt>
                <c:pt idx="26">
                  <c:v>9193512</c:v>
                </c:pt>
                <c:pt idx="27">
                  <c:v>10319617</c:v>
                </c:pt>
                <c:pt idx="28">
                  <c:v>12709844</c:v>
                </c:pt>
                <c:pt idx="29">
                  <c:v>13051782</c:v>
                </c:pt>
                <c:pt idx="30">
                  <c:v>13056230</c:v>
                </c:pt>
                <c:pt idx="31">
                  <c:v>14633601</c:v>
                </c:pt>
                <c:pt idx="32">
                  <c:v>14689312</c:v>
                </c:pt>
                <c:pt idx="33">
                  <c:v>14853092</c:v>
                </c:pt>
                <c:pt idx="34">
                  <c:v>16049035</c:v>
                </c:pt>
                <c:pt idx="35">
                  <c:v>19305375</c:v>
                </c:pt>
                <c:pt idx="36">
                  <c:v>20407286</c:v>
                </c:pt>
              </c:numCache>
            </c:numRef>
          </c:val>
          <c:extLst>
            <c:ext xmlns:c16="http://schemas.microsoft.com/office/drawing/2014/chart" uri="{C3380CC4-5D6E-409C-BE32-E72D297353CC}">
              <c16:uniqueId val="{00000000-3C35-469A-9BA5-CF3170D51A4C}"/>
            </c:ext>
          </c:extLst>
        </c:ser>
        <c:dLbls>
          <c:showLegendKey val="0"/>
          <c:showVal val="0"/>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'9_Contractor'!$B$83:$B$115</c:f>
              <c:strCache>
                <c:ptCount val="33"/>
                <c:pt idx="0">
                  <c:v>Federal: BPA Overhead (&amp; Non-Contracted Project expenses)</c:v>
                </c:pt>
                <c:pt idx="1">
                  <c:v>Federal: National Marine Fisheries</c:v>
                </c:pt>
                <c:pt idx="2">
                  <c:v>Federal: US Army Corps of Engineers</c:v>
                </c:pt>
                <c:pt idx="3">
                  <c:v>Federal: US Forest Service</c:v>
                </c:pt>
                <c:pt idx="4">
                  <c:v>Federal: US Geological Survey</c:v>
                </c:pt>
                <c:pt idx="5">
                  <c:v>Federal: US Bureau of Reclamation</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Umatilla Confederated Tribes</c:v>
                </c:pt>
                <c:pt idx="14">
                  <c:v>Tribe: Nez Perce Tribe</c:v>
                </c:pt>
                <c:pt idx="15">
                  <c:v>Tribe: Colville Confederated Tribes</c:v>
                </c:pt>
                <c:pt idx="16">
                  <c:v>Tribe: Kootenai Tribe</c:v>
                </c:pt>
                <c:pt idx="17">
                  <c:v>Tribe: Columbia River Intertribal Fish Commission</c:v>
                </c:pt>
                <c:pt idx="18">
                  <c:v>Tribe: Confederated Tribes of Warm Springs</c:v>
                </c:pt>
                <c:pt idx="19">
                  <c:v>Tribe: Shoshone-Bannock Tribes</c:v>
                </c:pt>
                <c:pt idx="20">
                  <c:v>Tribe: Spokane Tribe of Indians</c:v>
                </c:pt>
                <c:pt idx="21">
                  <c:v>Tribe: Kalispel Tribe of Indians</c:v>
                </c:pt>
                <c:pt idx="22">
                  <c:v>Tribe: Coeur D'Alene Tribe of Idaho</c:v>
                </c:pt>
                <c:pt idx="23">
                  <c:v>Tribe: Salish-Kootenai Tribes</c:v>
                </c:pt>
                <c:pt idx="24">
                  <c:v>Tribe: Shoshone-Paiute Tribes</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ABC7-4D9D-AA9B-3B928F48D1DC}"/>
            </c:ext>
          </c:extLst>
        </c:ser>
        <c:ser>
          <c:idx val="1"/>
          <c:order val="1"/>
          <c:spPr>
            <a:solidFill>
              <a:schemeClr val="accent2"/>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02-ABC7-4D9D-AA9B-3B928F48D1DC}"/>
              </c:ext>
            </c:extLst>
          </c:dPt>
          <c:dPt>
            <c:idx val="7"/>
            <c:invertIfNegative val="0"/>
            <c:bubble3D val="0"/>
            <c:spPr>
              <a:solidFill>
                <a:srgbClr val="9AB9D2"/>
              </a:solidFill>
              <a:ln>
                <a:noFill/>
              </a:ln>
              <a:effectLst/>
            </c:spPr>
            <c:extLst>
              <c:ext xmlns:c16="http://schemas.microsoft.com/office/drawing/2014/chart" uri="{C3380CC4-5D6E-409C-BE32-E72D297353CC}">
                <c16:uniqueId val="{00000004-ABC7-4D9D-AA9B-3B928F48D1DC}"/>
              </c:ext>
            </c:extLst>
          </c:dPt>
          <c:dPt>
            <c:idx val="8"/>
            <c:invertIfNegative val="0"/>
            <c:bubble3D val="0"/>
            <c:spPr>
              <a:solidFill>
                <a:srgbClr val="9AB9D2"/>
              </a:solidFill>
              <a:ln>
                <a:noFill/>
              </a:ln>
              <a:effectLst/>
            </c:spPr>
            <c:extLst>
              <c:ext xmlns:c16="http://schemas.microsoft.com/office/drawing/2014/chart" uri="{C3380CC4-5D6E-409C-BE32-E72D297353CC}">
                <c16:uniqueId val="{00000006-ABC7-4D9D-AA9B-3B928F48D1DC}"/>
              </c:ext>
            </c:extLst>
          </c:dPt>
          <c:dPt>
            <c:idx val="9"/>
            <c:invertIfNegative val="0"/>
            <c:bubble3D val="0"/>
            <c:spPr>
              <a:solidFill>
                <a:srgbClr val="9AB9D2"/>
              </a:solidFill>
              <a:ln>
                <a:noFill/>
              </a:ln>
              <a:effectLst/>
            </c:spPr>
            <c:extLst>
              <c:ext xmlns:c16="http://schemas.microsoft.com/office/drawing/2014/chart" uri="{C3380CC4-5D6E-409C-BE32-E72D297353CC}">
                <c16:uniqueId val="{00000008-ABC7-4D9D-AA9B-3B928F48D1DC}"/>
              </c:ext>
            </c:extLst>
          </c:dPt>
          <c:dPt>
            <c:idx val="10"/>
            <c:invertIfNegative val="0"/>
            <c:bubble3D val="0"/>
            <c:spPr>
              <a:solidFill>
                <a:srgbClr val="9AB9D2"/>
              </a:solidFill>
              <a:ln>
                <a:noFill/>
              </a:ln>
              <a:effectLst/>
            </c:spPr>
            <c:extLst>
              <c:ext xmlns:c16="http://schemas.microsoft.com/office/drawing/2014/chart" uri="{C3380CC4-5D6E-409C-BE32-E72D297353CC}">
                <c16:uniqueId val="{0000000A-ABC7-4D9D-AA9B-3B928F48D1DC}"/>
              </c:ext>
            </c:extLst>
          </c:dPt>
          <c:dPt>
            <c:idx val="11"/>
            <c:invertIfNegative val="0"/>
            <c:bubble3D val="0"/>
            <c:spPr>
              <a:solidFill>
                <a:srgbClr val="9AB9D2"/>
              </a:solidFill>
              <a:ln>
                <a:noFill/>
              </a:ln>
              <a:effectLst/>
            </c:spPr>
            <c:extLst>
              <c:ext xmlns:c16="http://schemas.microsoft.com/office/drawing/2014/chart" uri="{C3380CC4-5D6E-409C-BE32-E72D297353CC}">
                <c16:uniqueId val="{0000000C-ABC7-4D9D-AA9B-3B928F48D1DC}"/>
              </c:ext>
            </c:extLst>
          </c:dPt>
          <c:dPt>
            <c:idx val="12"/>
            <c:invertIfNegative val="0"/>
            <c:bubble3D val="0"/>
            <c:spPr>
              <a:solidFill>
                <a:srgbClr val="C3D69B"/>
              </a:solidFill>
              <a:ln>
                <a:noFill/>
              </a:ln>
              <a:effectLst/>
            </c:spPr>
            <c:extLst>
              <c:ext xmlns:c16="http://schemas.microsoft.com/office/drawing/2014/chart" uri="{C3380CC4-5D6E-409C-BE32-E72D297353CC}">
                <c16:uniqueId val="{0000000E-ABC7-4D9D-AA9B-3B928F48D1DC}"/>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ABC7-4D9D-AA9B-3B928F48D1DC}"/>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ABC7-4D9D-AA9B-3B928F48D1DC}"/>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ABC7-4D9D-AA9B-3B928F48D1DC}"/>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ABC7-4D9D-AA9B-3B928F48D1DC}"/>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ABC7-4D9D-AA9B-3B928F48D1DC}"/>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ABC7-4D9D-AA9B-3B928F48D1DC}"/>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ABC7-4D9D-AA9B-3B928F48D1DC}"/>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ABC7-4D9D-AA9B-3B928F48D1DC}"/>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ABC7-4D9D-AA9B-3B928F48D1DC}"/>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ABC7-4D9D-AA9B-3B928F48D1DC}"/>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ABC7-4D9D-AA9B-3B928F48D1DC}"/>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ABC7-4D9D-AA9B-3B928F48D1DC}"/>
              </c:ext>
            </c:extLst>
          </c:dPt>
          <c:dPt>
            <c:idx val="25"/>
            <c:invertIfNegative val="0"/>
            <c:bubble3D val="0"/>
            <c:spPr>
              <a:solidFill>
                <a:srgbClr val="C3D69B"/>
              </a:solidFill>
              <a:ln>
                <a:noFill/>
              </a:ln>
              <a:effectLst/>
            </c:spPr>
            <c:extLst>
              <c:ext xmlns:c16="http://schemas.microsoft.com/office/drawing/2014/chart" uri="{C3380CC4-5D6E-409C-BE32-E72D297353CC}">
                <c16:uniqueId val="{00000028-ABC7-4D9D-AA9B-3B928F48D1DC}"/>
              </c:ext>
            </c:extLst>
          </c:dPt>
          <c:dPt>
            <c:idx val="26"/>
            <c:invertIfNegative val="0"/>
            <c:bubble3D val="0"/>
            <c:spPr>
              <a:solidFill>
                <a:srgbClr val="8064A2"/>
              </a:solidFill>
              <a:ln>
                <a:noFill/>
              </a:ln>
              <a:effectLst/>
            </c:spPr>
            <c:extLst>
              <c:ext xmlns:c16="http://schemas.microsoft.com/office/drawing/2014/chart" uri="{C3380CC4-5D6E-409C-BE32-E72D297353CC}">
                <c16:uniqueId val="{0000002A-ABC7-4D9D-AA9B-3B928F48D1DC}"/>
              </c:ext>
            </c:extLst>
          </c:dPt>
          <c:dPt>
            <c:idx val="27"/>
            <c:invertIfNegative val="0"/>
            <c:bubble3D val="0"/>
            <c:spPr>
              <a:solidFill>
                <a:srgbClr val="FFC000"/>
              </a:solidFill>
              <a:ln>
                <a:noFill/>
              </a:ln>
              <a:effectLst/>
            </c:spPr>
            <c:extLst>
              <c:ext xmlns:c16="http://schemas.microsoft.com/office/drawing/2014/chart" uri="{C3380CC4-5D6E-409C-BE32-E72D297353CC}">
                <c16:uniqueId val="{0000002C-ABC7-4D9D-AA9B-3B928F48D1DC}"/>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ABC7-4D9D-AA9B-3B928F48D1DC}"/>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ABC7-4D9D-AA9B-3B928F48D1DC}"/>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ABC7-4D9D-AA9B-3B928F48D1DC}"/>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ABC7-4D9D-AA9B-3B928F48D1DC}"/>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ABC7-4D9D-AA9B-3B928F48D1DC}"/>
              </c:ext>
            </c:extLst>
          </c:dPt>
          <c:cat>
            <c:strRef>
              <c:f>'9_Contractor'!$B$83:$B$115</c:f>
              <c:strCache>
                <c:ptCount val="33"/>
                <c:pt idx="0">
                  <c:v>Federal: BPA Overhead (&amp; Non-Contracted Project expenses)</c:v>
                </c:pt>
                <c:pt idx="1">
                  <c:v>Federal: National Marine Fisheries</c:v>
                </c:pt>
                <c:pt idx="2">
                  <c:v>Federal: US Army Corps of Engineers</c:v>
                </c:pt>
                <c:pt idx="3">
                  <c:v>Federal: US Forest Service</c:v>
                </c:pt>
                <c:pt idx="4">
                  <c:v>Federal: US Geological Survey</c:v>
                </c:pt>
                <c:pt idx="5">
                  <c:v>Federal: US Bureau of Reclamation</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Umatilla Confederated Tribes</c:v>
                </c:pt>
                <c:pt idx="14">
                  <c:v>Tribe: Nez Perce Tribe</c:v>
                </c:pt>
                <c:pt idx="15">
                  <c:v>Tribe: Colville Confederated Tribes</c:v>
                </c:pt>
                <c:pt idx="16">
                  <c:v>Tribe: Kootenai Tribe</c:v>
                </c:pt>
                <c:pt idx="17">
                  <c:v>Tribe: Columbia River Intertribal Fish Commission</c:v>
                </c:pt>
                <c:pt idx="18">
                  <c:v>Tribe: Confederated Tribes of Warm Springs</c:v>
                </c:pt>
                <c:pt idx="19">
                  <c:v>Tribe: Shoshone-Bannock Tribes</c:v>
                </c:pt>
                <c:pt idx="20">
                  <c:v>Tribe: Spokane Tribe of Indians</c:v>
                </c:pt>
                <c:pt idx="21">
                  <c:v>Tribe: Kalispel Tribe of Indians</c:v>
                </c:pt>
                <c:pt idx="22">
                  <c:v>Tribe: Coeur D'Alene Tribe of Idaho</c:v>
                </c:pt>
                <c:pt idx="23">
                  <c:v>Tribe: Salish-Kootenai Tribes</c:v>
                </c:pt>
                <c:pt idx="24">
                  <c:v>Tribe: Shoshone-Paiute Tribes</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'9_Contractor'!$C$83:$C$115</c:f>
              <c:numCache>
                <c:formatCode>"$"#,##0</c:formatCode>
                <c:ptCount val="33"/>
                <c:pt idx="0">
                  <c:v>16332918.360000001</c:v>
                </c:pt>
                <c:pt idx="1">
                  <c:v>6918081.5200000014</c:v>
                </c:pt>
                <c:pt idx="2">
                  <c:v>2322393.5100000007</c:v>
                </c:pt>
                <c:pt idx="3">
                  <c:v>1972918.5199999996</c:v>
                </c:pt>
                <c:pt idx="4">
                  <c:v>1013255.5699999998</c:v>
                </c:pt>
                <c:pt idx="5">
                  <c:v>661454.89000000013</c:v>
                </c:pt>
                <c:pt idx="6">
                  <c:v>307567</c:v>
                </c:pt>
                <c:pt idx="7">
                  <c:v>13020713</c:v>
                </c:pt>
                <c:pt idx="8">
                  <c:v>12697808</c:v>
                </c:pt>
                <c:pt idx="9">
                  <c:v>12161212</c:v>
                </c:pt>
                <c:pt idx="10">
                  <c:v>3309193</c:v>
                </c:pt>
                <c:pt idx="11">
                  <c:v>2402503</c:v>
                </c:pt>
                <c:pt idx="12">
                  <c:v>25502528.089999992</c:v>
                </c:pt>
                <c:pt idx="13">
                  <c:v>19209106.000000004</c:v>
                </c:pt>
                <c:pt idx="14">
                  <c:v>15683579.810000001</c:v>
                </c:pt>
                <c:pt idx="15">
                  <c:v>13837756.299999995</c:v>
                </c:pt>
                <c:pt idx="16">
                  <c:v>9936263.2300000004</c:v>
                </c:pt>
                <c:pt idx="17">
                  <c:v>9239916</c:v>
                </c:pt>
                <c:pt idx="18">
                  <c:v>6178473.4800000004</c:v>
                </c:pt>
                <c:pt idx="19">
                  <c:v>6080797.4800000004</c:v>
                </c:pt>
                <c:pt idx="20">
                  <c:v>4535506.05</c:v>
                </c:pt>
                <c:pt idx="21">
                  <c:v>3834949.34</c:v>
                </c:pt>
                <c:pt idx="22">
                  <c:v>2810591</c:v>
                </c:pt>
                <c:pt idx="23">
                  <c:v>1223514.2299999997</c:v>
                </c:pt>
                <c:pt idx="24">
                  <c:v>1083954.03</c:v>
                </c:pt>
                <c:pt idx="25">
                  <c:v>2122648</c:v>
                </c:pt>
                <c:pt idx="26">
                  <c:v>14429786</c:v>
                </c:pt>
                <c:pt idx="27">
                  <c:v>2985133</c:v>
                </c:pt>
                <c:pt idx="28">
                  <c:v>38993432</c:v>
                </c:pt>
                <c:pt idx="29">
                  <c:v>21559373</c:v>
                </c:pt>
                <c:pt idx="30">
                  <c:v>5186211</c:v>
                </c:pt>
                <c:pt idx="31">
                  <c:v>3976707</c:v>
                </c:pt>
                <c:pt idx="32">
                  <c:v>2866184</c:v>
                </c:pt>
              </c:numCache>
            </c:numRef>
          </c:val>
          <c:extLst>
            <c:ext xmlns:c16="http://schemas.microsoft.com/office/drawing/2014/chart" uri="{C3380CC4-5D6E-409C-BE32-E72D297353CC}">
              <c16:uniqueId val="{00000037-ABC7-4D9D-AA9B-3B928F48D1DC}"/>
            </c:ext>
          </c:extLst>
        </c:ser>
        <c:dLbls>
          <c:showLegendKey val="0"/>
          <c:showVal val="0"/>
          <c:showCatName val="0"/>
          <c:showSerName val="0"/>
          <c:showPercent val="0"/>
          <c:showBubbleSize val="0"/>
        </c:dLbls>
        <c:gapWidth val="0"/>
        <c:overlap val="3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'10_LandPurchases'!$A$33:$A$38</c:f>
              <c:strCache>
                <c:ptCount val="6"/>
                <c:pt idx="0">
                  <c:v>Salish and Kootenai Confederated Tribes</c:v>
                </c:pt>
                <c:pt idx="1">
                  <c:v>Idaho Department of Fish and Game (IDFG)</c:v>
                </c:pt>
                <c:pt idx="2">
                  <c:v>Oregon Department Of Fish and Wildlife (ODFW)</c:v>
                </c:pt>
                <c:pt idx="3">
                  <c:v>Confederated Tribes of the Warm Springs</c:v>
                </c:pt>
                <c:pt idx="4">
                  <c:v>Colville Confederated Tribes</c:v>
                </c:pt>
                <c:pt idx="5">
                  <c:v>Columbia Land Trust</c:v>
                </c:pt>
              </c:strCache>
            </c:strRef>
          </c:cat>
          <c:val>
            <c:numRef>
              <c:f>'10_LandPurchases'!$B$33:$B$38</c:f>
              <c:numCache>
                <c:formatCode>"$"#,##0</c:formatCode>
                <c:ptCount val="6"/>
                <c:pt idx="0">
                  <c:v>10320000</c:v>
                </c:pt>
                <c:pt idx="1">
                  <c:v>8533771.6500000004</c:v>
                </c:pt>
                <c:pt idx="2">
                  <c:v>2173554</c:v>
                </c:pt>
                <c:pt idx="3">
                  <c:v>227790</c:v>
                </c:pt>
                <c:pt idx="4">
                  <c:v>212725</c:v>
                </c:pt>
                <c:pt idx="5">
                  <c:v>84663.38</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NA_Cumulative!$A$6</c:f>
              <c:strCache>
                <c:ptCount val="1"/>
                <c:pt idx="0">
                  <c:v>Power Purchases</c:v>
                </c:pt>
              </c:strCache>
            </c:strRef>
          </c:tx>
          <c:spPr>
            <a:solidFill>
              <a:srgbClr val="4F81B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NA_Cumulative!$C$6:$AN$6</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NA_Cumulative!$A$7</c:f>
              <c:strCache>
                <c:ptCount val="1"/>
                <c:pt idx="0">
                  <c:v>Forgone Revenues</c:v>
                </c:pt>
              </c:strCache>
            </c:strRef>
          </c:tx>
          <c:spPr>
            <a:solidFill>
              <a:srgbClr val="C0504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NA_Cumulative!$C$7:$AN$7</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NA_Cumulative!$A$8</c:f>
              <c:strCache>
                <c:ptCount val="1"/>
                <c:pt idx="0">
                  <c:v>Reimbursable Expenses</c:v>
                </c:pt>
              </c:strCache>
            </c:strRef>
          </c:tx>
          <c:spPr>
            <a:solidFill>
              <a:srgbClr val="9BBB59"/>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NA_Cumulative!$C$8:$AN$8</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NA_Cumulative!$A$9</c:f>
              <c:strCache>
                <c:ptCount val="1"/>
                <c:pt idx="0">
                  <c:v>Direct Program</c:v>
                </c:pt>
              </c:strCache>
            </c:strRef>
          </c:tx>
          <c:spPr>
            <a:solidFill>
              <a:srgbClr val="8064A2"/>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NA_Cumulative!$C$9:$AN$9</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NA_Cumulative!$A$10</c:f>
              <c:strCache>
                <c:ptCount val="1"/>
                <c:pt idx="0">
                  <c:v>Fixed Expenses</c:v>
                </c:pt>
              </c:strCache>
            </c:strRef>
          </c:tx>
          <c:spPr>
            <a:solidFill>
              <a:srgbClr val="4BACC6"/>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NA_Cumulative!$C$10:$AN$10</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NA_Cumulative!$C$21:$AN$21</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31</xdr:row>
      <xdr:rowOff>0</xdr:rowOff>
    </xdr:from>
    <xdr:to>
      <xdr:col>11</xdr:col>
      <xdr:colOff>510599</xdr:colOff>
      <xdr:row>63</xdr:row>
      <xdr:rowOff>54742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0.45245</cdr:x>
      <cdr:y>0.19101</cdr:y>
    </cdr:from>
    <cdr:to>
      <cdr:x>0.58028</cdr:x>
      <cdr:y>0.2644</cdr:y>
    </cdr:to>
    <cdr:sp macro="" textlink="'1A_ByArea'!$F$13">
      <cdr:nvSpPr>
        <cdr:cNvPr id="2" name="TextBox 1"/>
        <cdr:cNvSpPr txBox="1"/>
      </cdr:nvSpPr>
      <cdr:spPr>
        <a:xfrm xmlns:a="http://schemas.openxmlformats.org/drawingml/2006/main">
          <a:off x="4185528" y="1128273"/>
          <a:ext cx="1182522" cy="433508"/>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D338677D-D23B-4B0E-A9AB-5B5AFE8B4D93}" type="TxLink">
            <a:rPr lang="en-US" sz="1000" b="0" i="0" u="none" strike="noStrike">
              <a:solidFill>
                <a:srgbClr val="000000"/>
              </a:solidFill>
              <a:latin typeface="Century Gothic" panose="020B0502020202020204" pitchFamily="34" charset="0"/>
              <a:ea typeface="+mn-ea"/>
              <a:cs typeface="+mn-cs"/>
            </a:rPr>
            <a:pPr marL="0" indent="0" algn="ctr"/>
            <a:t>Fixed expenses, $98.7 million</a:t>
          </a:fld>
          <a:endParaRPr lang="en-US" sz="1000">
            <a:latin typeface="Century Gothic" panose="020B0502020202020204" pitchFamily="34" charset="0"/>
            <a:ea typeface="+mn-ea"/>
            <a:cs typeface="+mn-cs"/>
          </a:endParaRPr>
        </a:p>
      </cdr:txBody>
    </cdr:sp>
  </cdr:relSizeAnchor>
  <cdr:relSizeAnchor xmlns:cdr="http://schemas.openxmlformats.org/drawingml/2006/chartDrawing">
    <cdr:from>
      <cdr:x>0.35608</cdr:x>
      <cdr:y>0.4062</cdr:y>
    </cdr:from>
    <cdr:to>
      <cdr:x>0.52833</cdr:x>
      <cdr:y>0.48079</cdr:y>
    </cdr:to>
    <cdr:sp macro="" textlink="'1A_ByArea'!$F$12">
      <cdr:nvSpPr>
        <cdr:cNvPr id="3" name="TextBox 1"/>
        <cdr:cNvSpPr txBox="1"/>
      </cdr:nvSpPr>
      <cdr:spPr>
        <a:xfrm xmlns:a="http://schemas.openxmlformats.org/drawingml/2006/main">
          <a:off x="3293988" y="2399380"/>
          <a:ext cx="1593440" cy="440596"/>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0CBF4CA-6990-438F-9D98-491359B2E286}" type="TxLink">
            <a:rPr lang="en-US" sz="1000" b="0" i="0" u="none" strike="noStrike">
              <a:solidFill>
                <a:srgbClr val="000000"/>
              </a:solidFill>
              <a:latin typeface="Century Gothic" panose="020B0502020202020204" pitchFamily="34" charset="0"/>
            </a:rPr>
            <a:pPr algn="ctr"/>
            <a:t>Reimbursable expenses, $91.0 million</a:t>
          </a:fld>
          <a:endParaRPr lang="en-US" sz="1000">
            <a:latin typeface="Century Gothic" panose="020B0502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9</xdr:col>
      <xdr:colOff>587974</xdr:colOff>
      <xdr:row>31</xdr:row>
      <xdr:rowOff>55245</xdr:rowOff>
    </xdr:to>
    <xdr:graphicFrame macro="">
      <xdr:nvGraphicFramePr>
        <xdr:cNvPr id="2" name="Chart 1">
          <a:extLst>
            <a:ext uri="{FF2B5EF4-FFF2-40B4-BE49-F238E27FC236}">
              <a16:creationId xmlns:a16="http://schemas.microsoft.com/office/drawing/2014/main" id="{8136D266-9A6A-4698-9447-9A612CBD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44</xdr:row>
      <xdr:rowOff>0</xdr:rowOff>
    </xdr:from>
    <xdr:to>
      <xdr:col>7</xdr:col>
      <xdr:colOff>662940</xdr:colOff>
      <xdr:row>75</xdr:row>
      <xdr:rowOff>54972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600074</xdr:colOff>
      <xdr:row>14</xdr:row>
      <xdr:rowOff>9524</xdr:rowOff>
    </xdr:from>
    <xdr:to>
      <xdr:col>6</xdr:col>
      <xdr:colOff>222213</xdr:colOff>
      <xdr:row>33</xdr:row>
      <xdr:rowOff>125729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171673</xdr:rowOff>
    </xdr:from>
    <xdr:to>
      <xdr:col>2</xdr:col>
      <xdr:colOff>676275</xdr:colOff>
      <xdr:row>57</xdr:row>
      <xdr:rowOff>35859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33</xdr:row>
      <xdr:rowOff>33130</xdr:rowOff>
    </xdr:from>
    <xdr:to>
      <xdr:col>5</xdr:col>
      <xdr:colOff>207309</xdr:colOff>
      <xdr:row>54</xdr:row>
      <xdr:rowOff>17432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1085848</xdr:colOff>
      <xdr:row>23</xdr:row>
      <xdr:rowOff>133349</xdr:rowOff>
    </xdr:from>
    <xdr:to>
      <xdr:col>4</xdr:col>
      <xdr:colOff>819150</xdr:colOff>
      <xdr:row>56</xdr:row>
      <xdr:rowOff>139065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1085848</xdr:colOff>
      <xdr:row>13</xdr:row>
      <xdr:rowOff>133349</xdr:rowOff>
    </xdr:from>
    <xdr:to>
      <xdr:col>4</xdr:col>
      <xdr:colOff>819150</xdr:colOff>
      <xdr:row>46</xdr:row>
      <xdr:rowOff>142875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16</xdr:row>
      <xdr:rowOff>66675</xdr:rowOff>
    </xdr:from>
    <xdr:to>
      <xdr:col>4</xdr:col>
      <xdr:colOff>788670</xdr:colOff>
      <xdr:row>42</xdr:row>
      <xdr:rowOff>49530</xdr:rowOff>
    </xdr:to>
    <xdr:graphicFrame macro="">
      <xdr:nvGraphicFramePr>
        <xdr:cNvPr id="2" name="Chart 1">
          <a:extLst>
            <a:ext uri="{FF2B5EF4-FFF2-40B4-BE49-F238E27FC236}">
              <a16:creationId xmlns:a16="http://schemas.microsoft.com/office/drawing/2014/main" id="{2B62F96A-69C4-4336-8D4D-4432C84E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28</xdr:row>
      <xdr:rowOff>19049</xdr:rowOff>
    </xdr:from>
    <xdr:to>
      <xdr:col>4</xdr:col>
      <xdr:colOff>321400</xdr:colOff>
      <xdr:row>62</xdr:row>
      <xdr:rowOff>16600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77</xdr:row>
      <xdr:rowOff>0</xdr:rowOff>
    </xdr:from>
    <xdr:to>
      <xdr:col>2</xdr:col>
      <xdr:colOff>352426</xdr:colOff>
      <xdr:row>112</xdr:row>
      <xdr:rowOff>38101</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6</xdr:col>
      <xdr:colOff>320585</xdr:colOff>
      <xdr:row>81</xdr:row>
      <xdr:rowOff>97845</xdr:rowOff>
    </xdr:from>
    <xdr:ext cx="7273418" cy="7198305"/>
    <xdr:graphicFrame macro="">
      <xdr:nvGraphicFramePr>
        <xdr:cNvPr id="2" name="Chart 1">
          <a:extLst>
            <a:ext uri="{FF2B5EF4-FFF2-40B4-BE49-F238E27FC236}">
              <a16:creationId xmlns:a16="http://schemas.microsoft.com/office/drawing/2014/main" id="{89ED2140-9AA1-4999-9647-AA83AA7BB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367394</xdr:colOff>
      <xdr:row>30</xdr:row>
      <xdr:rowOff>95252</xdr:rowOff>
    </xdr:from>
    <xdr:to>
      <xdr:col>9</xdr:col>
      <xdr:colOff>208191</xdr:colOff>
      <xdr:row>63</xdr:row>
      <xdr:rowOff>57023</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0</xdr:colOff>
      <xdr:row>28</xdr:row>
      <xdr:rowOff>1242</xdr:rowOff>
    </xdr:from>
    <xdr:to>
      <xdr:col>41</xdr:col>
      <xdr:colOff>361951</xdr:colOff>
      <xdr:row>53</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29</xdr:row>
      <xdr:rowOff>0</xdr:rowOff>
    </xdr:from>
    <xdr:to>
      <xdr:col>53</xdr:col>
      <xdr:colOff>447262</xdr:colOff>
      <xdr:row>54</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opLeftCell="A22" workbookViewId="0">
      <selection activeCell="A18" sqref="A18"/>
    </sheetView>
  </sheetViews>
  <sheetFormatPr defaultColWidth="9.109375" defaultRowHeight="14.4"/>
  <cols>
    <col min="1" max="1" width="63.109375" style="76" bestFit="1" customWidth="1"/>
    <col min="2" max="2" width="9.5546875" style="76" bestFit="1" customWidth="1"/>
    <col min="3" max="3" width="5.6640625" style="76" customWidth="1"/>
    <col min="4" max="4" width="17.109375" style="76" customWidth="1"/>
    <col min="5" max="5" width="9.109375" style="76"/>
    <col min="6" max="6" width="31.109375" style="76" customWidth="1"/>
    <col min="7" max="7" width="18.44140625" style="76" customWidth="1"/>
    <col min="8" max="16384" width="9.109375" style="76"/>
  </cols>
  <sheetData>
    <row r="1" spans="1:9" ht="25.5" customHeight="1">
      <c r="A1" s="376" t="s">
        <v>448</v>
      </c>
      <c r="B1" s="376"/>
      <c r="C1" s="376"/>
      <c r="D1" s="376"/>
      <c r="E1" s="376"/>
      <c r="F1" s="376"/>
      <c r="G1" s="376"/>
      <c r="H1" s="376"/>
      <c r="I1" s="376"/>
    </row>
    <row r="2" spans="1:9">
      <c r="A2" s="76" t="s">
        <v>324</v>
      </c>
    </row>
    <row r="4" spans="1:9" ht="15.6">
      <c r="A4" s="202" t="s">
        <v>447</v>
      </c>
      <c r="B4" s="154"/>
      <c r="E4" s="154"/>
    </row>
    <row r="6" spans="1:9">
      <c r="A6" s="21"/>
      <c r="B6" s="21"/>
      <c r="F6" s="76" t="s">
        <v>335</v>
      </c>
    </row>
    <row r="7" spans="1:9">
      <c r="A7" s="21" t="s">
        <v>174</v>
      </c>
      <c r="B7" s="130">
        <v>253.6</v>
      </c>
      <c r="G7" s="154" t="s">
        <v>333</v>
      </c>
    </row>
    <row r="8" spans="1:9">
      <c r="A8" s="21" t="s">
        <v>400</v>
      </c>
      <c r="B8" s="128">
        <v>190.6</v>
      </c>
      <c r="G8" s="154" t="s">
        <v>325</v>
      </c>
    </row>
    <row r="9" spans="1:9">
      <c r="A9" s="21" t="s">
        <v>176</v>
      </c>
      <c r="B9" s="123">
        <v>48.3</v>
      </c>
      <c r="C9" s="381" t="s">
        <v>220</v>
      </c>
      <c r="D9" s="378" t="s">
        <v>429</v>
      </c>
      <c r="E9" s="379">
        <f>SUM(B9:B12)</f>
        <v>91</v>
      </c>
      <c r="G9" s="154" t="s">
        <v>329</v>
      </c>
    </row>
    <row r="10" spans="1:9">
      <c r="A10" s="21" t="s">
        <v>175</v>
      </c>
      <c r="B10" s="123">
        <v>30.7</v>
      </c>
      <c r="C10" s="382"/>
      <c r="D10" s="378"/>
      <c r="E10" s="379"/>
      <c r="G10" s="154" t="s">
        <v>330</v>
      </c>
    </row>
    <row r="11" spans="1:9">
      <c r="A11" s="21" t="s">
        <v>177</v>
      </c>
      <c r="B11" s="123">
        <v>6.5</v>
      </c>
      <c r="C11" s="382"/>
      <c r="D11" s="378"/>
      <c r="E11" s="379"/>
      <c r="G11" s="154" t="s">
        <v>331</v>
      </c>
    </row>
    <row r="12" spans="1:9">
      <c r="A12" s="21" t="s">
        <v>178</v>
      </c>
      <c r="B12" s="123">
        <v>5.5</v>
      </c>
      <c r="C12" s="382"/>
      <c r="D12" s="378"/>
      <c r="E12" s="379"/>
      <c r="F12" s="76" t="str">
        <f>"Reimbursable expenses, "&amp;TEXT(E9,"$0.0")&amp;" million"</f>
        <v>Reimbursable expenses, $91.0 million</v>
      </c>
      <c r="G12" s="154" t="s">
        <v>332</v>
      </c>
    </row>
    <row r="13" spans="1:9">
      <c r="A13" s="21" t="s">
        <v>179</v>
      </c>
      <c r="B13" s="129">
        <v>29.3</v>
      </c>
      <c r="C13" s="383" t="s">
        <v>220</v>
      </c>
      <c r="D13" s="380" t="s">
        <v>430</v>
      </c>
      <c r="E13" s="385">
        <f>SUM(B13:B14)</f>
        <v>98.7</v>
      </c>
      <c r="F13" s="76" t="str">
        <f>"Fixed expenses, "&amp;TEXT(E13,"$0.0")&amp;" million"</f>
        <v>Fixed expenses, $98.7 million</v>
      </c>
      <c r="G13" s="154" t="s">
        <v>326</v>
      </c>
    </row>
    <row r="14" spans="1:9">
      <c r="A14" s="21" t="s">
        <v>455</v>
      </c>
      <c r="B14" s="129">
        <v>69.400000000000006</v>
      </c>
      <c r="C14" s="384"/>
      <c r="D14" s="380"/>
      <c r="E14" s="384"/>
      <c r="G14" s="154" t="s">
        <v>327</v>
      </c>
    </row>
    <row r="15" spans="1:9">
      <c r="A15" s="21" t="s">
        <v>180</v>
      </c>
      <c r="B15" s="131">
        <v>110.6</v>
      </c>
      <c r="G15" s="154" t="s">
        <v>328</v>
      </c>
    </row>
    <row r="16" spans="1:9">
      <c r="A16" s="25" t="s">
        <v>37</v>
      </c>
      <c r="B16" s="198">
        <f>SUM(B7:B15)</f>
        <v>744.5</v>
      </c>
    </row>
    <row r="17" spans="1:28">
      <c r="A17" s="21"/>
      <c r="B17" s="147"/>
    </row>
    <row r="18" spans="1:28">
      <c r="A18" s="153"/>
      <c r="B18" s="21"/>
    </row>
    <row r="19" spans="1:28" ht="16.5" customHeight="1">
      <c r="A19" s="151" t="s">
        <v>390</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0" spans="1:28" ht="16.5" customHeight="1">
      <c r="A20" s="125" t="s">
        <v>217</v>
      </c>
      <c r="B20" s="136"/>
      <c r="C20" s="136"/>
      <c r="D20" s="136"/>
      <c r="E20" s="136"/>
      <c r="F20" s="136"/>
      <c r="G20" s="136"/>
      <c r="H20" s="136"/>
      <c r="I20" s="136"/>
      <c r="J20" s="136"/>
      <c r="K20" s="136"/>
      <c r="L20" s="136"/>
      <c r="M20" s="136"/>
      <c r="N20" s="136"/>
      <c r="O20" s="136"/>
      <c r="P20" s="137"/>
      <c r="Q20" s="137"/>
      <c r="R20" s="137"/>
      <c r="S20" s="137"/>
      <c r="T20" s="137"/>
      <c r="U20" s="137"/>
      <c r="V20" s="137"/>
      <c r="W20" s="137"/>
      <c r="X20" s="137"/>
      <c r="Y20" s="137"/>
      <c r="Z20" s="137"/>
      <c r="AA20" s="137"/>
      <c r="AB20" s="124"/>
    </row>
    <row r="21" spans="1:28">
      <c r="A21" s="125" t="s">
        <v>218</v>
      </c>
      <c r="B21" s="125"/>
      <c r="C21" s="125"/>
      <c r="D21" s="125"/>
      <c r="E21" s="125"/>
      <c r="F21" s="125"/>
      <c r="G21" s="125"/>
      <c r="H21" s="125"/>
      <c r="I21" s="125"/>
      <c r="J21" s="125"/>
      <c r="K21" s="125"/>
      <c r="L21" s="125"/>
      <c r="M21" s="125"/>
      <c r="N21" s="125"/>
      <c r="O21" s="125"/>
      <c r="P21" s="137"/>
      <c r="Q21" s="137"/>
      <c r="R21" s="137"/>
      <c r="S21" s="137"/>
      <c r="T21" s="137"/>
      <c r="U21" s="137"/>
      <c r="V21" s="137"/>
      <c r="W21" s="137"/>
      <c r="X21" s="137"/>
      <c r="Y21" s="137"/>
      <c r="Z21" s="137"/>
      <c r="AA21" s="137"/>
      <c r="AB21" s="126"/>
    </row>
    <row r="22" spans="1:28" ht="16.5" customHeight="1">
      <c r="A22" s="125" t="s">
        <v>431</v>
      </c>
      <c r="B22" s="136"/>
      <c r="C22" s="136"/>
      <c r="D22" s="136"/>
      <c r="E22" s="136"/>
      <c r="F22" s="136"/>
      <c r="G22" s="136"/>
      <c r="H22" s="136"/>
      <c r="I22" s="136"/>
      <c r="J22" s="136"/>
      <c r="K22" s="136"/>
      <c r="L22" s="136"/>
      <c r="M22" s="136"/>
      <c r="N22" s="136"/>
      <c r="O22" s="136"/>
      <c r="P22" s="137"/>
      <c r="Q22" s="137"/>
      <c r="R22" s="137"/>
      <c r="S22" s="137"/>
      <c r="T22" s="137"/>
      <c r="U22" s="137"/>
      <c r="V22" s="137"/>
      <c r="W22" s="137"/>
      <c r="X22" s="137"/>
      <c r="Y22" s="137"/>
      <c r="Z22" s="137"/>
      <c r="AA22" s="137"/>
      <c r="AB22" s="126"/>
    </row>
    <row r="23" spans="1:28" ht="16.5" customHeight="1">
      <c r="A23" s="152" t="s">
        <v>219</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27"/>
      <c r="AA23" s="127"/>
      <c r="AB23" s="126"/>
    </row>
    <row r="24" spans="1:28">
      <c r="A24" s="21"/>
      <c r="B24" s="21"/>
    </row>
    <row r="25" spans="1:28">
      <c r="A25" s="21" t="s">
        <v>221</v>
      </c>
      <c r="B25" s="147">
        <v>108.6</v>
      </c>
      <c r="D25" s="154" t="s">
        <v>344</v>
      </c>
    </row>
    <row r="26" spans="1:28">
      <c r="A26" s="21" t="s">
        <v>222</v>
      </c>
      <c r="B26" s="147">
        <v>-90.560300000000012</v>
      </c>
      <c r="D26" s="154" t="s">
        <v>334</v>
      </c>
    </row>
    <row r="27" spans="1:28">
      <c r="A27" s="21"/>
      <c r="B27" s="133"/>
    </row>
    <row r="28" spans="1:28">
      <c r="A28" s="21" t="s">
        <v>74</v>
      </c>
      <c r="B28" s="133"/>
    </row>
    <row r="29" spans="1:28" ht="16.5" customHeight="1">
      <c r="A29" s="377" t="str">
        <f>"Total of "&amp;TEXT(B16,"$#0.0")&amp;" million does not reflect "&amp;TEXT(B25,"$#0.0")&amp;" million in obligations to capital projects for fish and wildlife projects, software development, and structures at dams, or "&amp;TEXT(ABS(B26),"$#0.0")&amp;" million federal credits Bonneville receives from the U.S. Treasury"</f>
        <v>Total of $744.5 million does not reflect $108.6 million in obligations to capital projects for fish and wildlife projects, software development, and structures at dams, or $90.6 million federal credits Bonneville receives from the U.S. Treasury</v>
      </c>
      <c r="B29" s="377"/>
      <c r="C29" s="377"/>
      <c r="D29" s="377"/>
      <c r="E29" s="377"/>
      <c r="F29" s="377"/>
      <c r="G29" s="377"/>
      <c r="H29" s="377"/>
      <c r="I29" s="377"/>
      <c r="J29" s="377"/>
    </row>
    <row r="30" spans="1:28" ht="16.5" customHeight="1">
      <c r="A30" s="377"/>
      <c r="B30" s="377"/>
      <c r="C30" s="377"/>
      <c r="D30" s="377"/>
      <c r="E30" s="377"/>
      <c r="F30" s="377"/>
      <c r="G30" s="377"/>
      <c r="H30" s="377"/>
      <c r="I30" s="377"/>
      <c r="J30" s="377"/>
    </row>
    <row r="31" spans="1:28">
      <c r="A31" s="21"/>
      <c r="B31" s="133"/>
    </row>
    <row r="41" spans="1:1">
      <c r="A41" s="148"/>
    </row>
  </sheetData>
  <mergeCells count="8">
    <mergeCell ref="A1:I1"/>
    <mergeCell ref="A29:J30"/>
    <mergeCell ref="D9:D12"/>
    <mergeCell ref="E9:E12"/>
    <mergeCell ref="D13:D14"/>
    <mergeCell ref="C9:C12"/>
    <mergeCell ref="C13:C14"/>
    <mergeCell ref="E13:E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6C48-AF23-4A90-A6FB-D574EFEE9C5E}">
  <dimension ref="A1:A3"/>
  <sheetViews>
    <sheetView topLeftCell="A22" workbookViewId="0"/>
  </sheetViews>
  <sheetFormatPr defaultRowHeight="12.6"/>
  <sheetData>
    <row r="1" spans="1:1" ht="15">
      <c r="A1" s="259" t="s">
        <v>449</v>
      </c>
    </row>
    <row r="2" spans="1:1" ht="15">
      <c r="A2" s="259"/>
    </row>
    <row r="3" spans="1:1" ht="13.2">
      <c r="A3" s="352" t="s">
        <v>385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9"/>
  <sheetViews>
    <sheetView tabSelected="1" zoomScale="85" zoomScaleNormal="85" workbookViewId="0">
      <selection activeCell="A29" sqref="A29"/>
    </sheetView>
  </sheetViews>
  <sheetFormatPr defaultColWidth="9.109375" defaultRowHeight="10.199999999999999"/>
  <cols>
    <col min="1" max="1" width="22.109375" style="2" customWidth="1"/>
    <col min="2" max="12" width="15.44140625" style="1" customWidth="1"/>
    <col min="13" max="13" width="15.88671875" style="1" customWidth="1"/>
    <col min="14" max="18" width="17.33203125" style="1" customWidth="1"/>
    <col min="19" max="16384" width="9.109375" style="1"/>
  </cols>
  <sheetData>
    <row r="1" spans="1:21" ht="27" customHeight="1">
      <c r="A1" s="389" t="str">
        <f>"Figure 2: Costs by Types of Species, FY"&amp;Q3</f>
        <v>Figure 2: Costs by Types of Species, FY2021</v>
      </c>
      <c r="B1" s="389"/>
      <c r="C1" s="389"/>
      <c r="D1" s="389"/>
      <c r="E1" s="389"/>
      <c r="F1" s="389"/>
      <c r="G1" s="389"/>
      <c r="H1" s="389"/>
      <c r="I1" s="389"/>
      <c r="J1" s="389"/>
      <c r="K1" s="389"/>
      <c r="L1" s="389"/>
      <c r="M1" s="389"/>
    </row>
    <row r="2" spans="1:21" ht="20.25" customHeight="1">
      <c r="A2" s="159"/>
      <c r="B2" s="139"/>
      <c r="C2" s="139"/>
      <c r="D2" s="139"/>
      <c r="E2" s="139"/>
      <c r="F2" s="139"/>
      <c r="G2" s="139"/>
      <c r="H2" s="139"/>
      <c r="I2" s="179"/>
      <c r="J2" s="223"/>
      <c r="K2" s="359"/>
      <c r="L2" s="139"/>
      <c r="M2" s="139"/>
    </row>
    <row r="3" spans="1:21" ht="24" customHeight="1">
      <c r="A3" s="221" t="s">
        <v>9</v>
      </c>
      <c r="B3" s="222">
        <v>2006</v>
      </c>
      <c r="C3" s="222">
        <v>2007</v>
      </c>
      <c r="D3" s="222">
        <v>20081</v>
      </c>
      <c r="E3" s="222">
        <v>2009</v>
      </c>
      <c r="F3" s="222">
        <v>2010</v>
      </c>
      <c r="G3" s="222">
        <v>2011</v>
      </c>
      <c r="H3" s="222">
        <v>2012</v>
      </c>
      <c r="I3" s="222">
        <v>2013</v>
      </c>
      <c r="J3" s="222">
        <v>2014</v>
      </c>
      <c r="K3" s="222">
        <v>2015</v>
      </c>
      <c r="L3" s="222">
        <v>2016</v>
      </c>
      <c r="M3" s="222">
        <v>2017</v>
      </c>
      <c r="N3" s="222">
        <v>20182</v>
      </c>
      <c r="O3" s="222">
        <v>2019</v>
      </c>
      <c r="P3" s="222">
        <v>2020</v>
      </c>
      <c r="Q3" s="222">
        <v>2021</v>
      </c>
      <c r="R3" s="157" t="s">
        <v>236</v>
      </c>
      <c r="S3" s="12"/>
      <c r="T3" s="12"/>
      <c r="U3" s="11"/>
    </row>
    <row r="4" spans="1:21" ht="15">
      <c r="A4" s="9" t="s">
        <v>8</v>
      </c>
      <c r="B4" s="9"/>
      <c r="C4" s="9"/>
      <c r="D4" s="9"/>
      <c r="E4" s="9"/>
      <c r="F4" s="9"/>
      <c r="G4" s="41"/>
      <c r="H4" s="41"/>
      <c r="I4" s="41"/>
      <c r="J4" s="41"/>
      <c r="K4" s="41"/>
      <c r="L4" s="41"/>
      <c r="M4" s="41"/>
      <c r="N4" s="41"/>
      <c r="O4" s="41"/>
      <c r="P4" s="41"/>
      <c r="Q4" s="41"/>
      <c r="R4" s="6"/>
      <c r="S4" s="6"/>
      <c r="T4" s="6"/>
    </row>
    <row r="5" spans="1:21" ht="15">
      <c r="A5" s="10" t="s">
        <v>6</v>
      </c>
      <c r="B5" s="111">
        <v>97220988.599999994</v>
      </c>
      <c r="C5" s="111">
        <v>95383738.870000005</v>
      </c>
      <c r="D5" s="111">
        <v>93937949</v>
      </c>
      <c r="E5" s="111">
        <v>115447417.25</v>
      </c>
      <c r="F5" s="111">
        <v>133710043</v>
      </c>
      <c r="G5" s="111">
        <v>152268151.75</v>
      </c>
      <c r="H5" s="111">
        <v>172625716.75</v>
      </c>
      <c r="I5" s="111">
        <v>162598812.96000001</v>
      </c>
      <c r="J5" s="112">
        <v>160287940</v>
      </c>
      <c r="K5" s="111">
        <v>181979402</v>
      </c>
      <c r="L5" s="181">
        <v>187926100.50999999</v>
      </c>
      <c r="M5" s="181">
        <v>174955973</v>
      </c>
      <c r="N5" s="181">
        <v>181907429</v>
      </c>
      <c r="O5" s="181">
        <v>168490894</v>
      </c>
      <c r="P5" s="181">
        <v>163848363</v>
      </c>
      <c r="Q5" s="181">
        <v>173556193</v>
      </c>
      <c r="R5" s="6"/>
      <c r="S5" s="6"/>
      <c r="T5" s="6"/>
    </row>
    <row r="6" spans="1:21" ht="15">
      <c r="A6" s="10" t="s">
        <v>5</v>
      </c>
      <c r="B6" s="111">
        <v>19147677.510000002</v>
      </c>
      <c r="C6" s="111">
        <v>20466940.75</v>
      </c>
      <c r="D6" s="111">
        <v>30166347</v>
      </c>
      <c r="E6" s="111">
        <v>30945648.239999998</v>
      </c>
      <c r="F6" s="111">
        <v>33492947</v>
      </c>
      <c r="G6" s="111">
        <v>38469679.740000002</v>
      </c>
      <c r="H6" s="111">
        <v>41986003.759999998</v>
      </c>
      <c r="I6" s="111">
        <v>39747604.240000002</v>
      </c>
      <c r="J6" s="112">
        <v>34671529</v>
      </c>
      <c r="K6" s="111">
        <v>36131999</v>
      </c>
      <c r="L6" s="181">
        <v>42949758.75</v>
      </c>
      <c r="M6" s="181">
        <v>41626757</v>
      </c>
      <c r="N6" s="181">
        <v>41544634</v>
      </c>
      <c r="O6" s="181">
        <v>34601360</v>
      </c>
      <c r="P6" s="181">
        <v>35251201</v>
      </c>
      <c r="Q6" s="181">
        <v>33209380</v>
      </c>
      <c r="R6" s="6"/>
      <c r="S6" s="6"/>
      <c r="T6" s="6"/>
    </row>
    <row r="7" spans="1:21" ht="15">
      <c r="A7" s="10" t="s">
        <v>4</v>
      </c>
      <c r="B7" s="111">
        <v>7380451.6200000001</v>
      </c>
      <c r="C7" s="111">
        <v>8894313.6999999993</v>
      </c>
      <c r="D7" s="111">
        <v>10153866</v>
      </c>
      <c r="E7" s="111">
        <v>11491287.24</v>
      </c>
      <c r="F7" s="111">
        <v>12105809</v>
      </c>
      <c r="G7" s="111">
        <v>12032226</v>
      </c>
      <c r="H7" s="111">
        <v>13214569.75</v>
      </c>
      <c r="I7" s="111">
        <v>11401470.98</v>
      </c>
      <c r="J7" s="112">
        <v>11970486</v>
      </c>
      <c r="K7" s="111">
        <v>16630031</v>
      </c>
      <c r="L7" s="181">
        <v>14091922</v>
      </c>
      <c r="M7" s="181">
        <v>12514234</v>
      </c>
      <c r="N7" s="181">
        <v>12569629</v>
      </c>
      <c r="O7" s="181">
        <v>13576360</v>
      </c>
      <c r="P7" s="181">
        <v>17035067</v>
      </c>
      <c r="Q7" s="181">
        <v>15107376</v>
      </c>
      <c r="R7" s="6"/>
      <c r="S7" s="6"/>
      <c r="T7" s="6"/>
    </row>
    <row r="8" spans="1:21" ht="15">
      <c r="A8" s="10" t="s">
        <v>3</v>
      </c>
      <c r="B8" s="111">
        <v>14113270.869999999</v>
      </c>
      <c r="C8" s="111">
        <v>14499335.869999999</v>
      </c>
      <c r="D8" s="111">
        <v>14620375</v>
      </c>
      <c r="E8" s="111">
        <v>19975090</v>
      </c>
      <c r="F8" s="111">
        <v>20280762.440000001</v>
      </c>
      <c r="G8" s="111">
        <v>18278218</v>
      </c>
      <c r="H8" s="111">
        <v>21130595.140000001</v>
      </c>
      <c r="I8" s="111">
        <v>25235638.289999999</v>
      </c>
      <c r="J8" s="112">
        <v>24850807</v>
      </c>
      <c r="K8" s="111">
        <v>23435779.190000001</v>
      </c>
      <c r="L8" s="181">
        <v>13174408.65</v>
      </c>
      <c r="M8" s="181">
        <v>25458652</v>
      </c>
      <c r="N8" s="181">
        <v>12009661</v>
      </c>
      <c r="O8" s="181">
        <v>11871288</v>
      </c>
      <c r="P8" s="181">
        <v>10101627</v>
      </c>
      <c r="Q8" s="181">
        <v>19236230</v>
      </c>
      <c r="R8" s="6"/>
      <c r="S8" s="6"/>
      <c r="T8" s="6"/>
    </row>
    <row r="9" spans="1:21" ht="17.399999999999999">
      <c r="A9" s="10" t="s">
        <v>406</v>
      </c>
      <c r="B9" s="111"/>
      <c r="C9" s="111"/>
      <c r="D9" s="111"/>
      <c r="E9" s="111"/>
      <c r="F9" s="111"/>
      <c r="G9" s="111"/>
      <c r="H9" s="111"/>
      <c r="I9" s="111"/>
      <c r="J9" s="112"/>
      <c r="K9" s="111"/>
      <c r="L9" s="112"/>
      <c r="M9" s="112"/>
      <c r="N9" s="112">
        <v>10367580</v>
      </c>
      <c r="O9" s="181">
        <v>11607301</v>
      </c>
      <c r="P9" s="181">
        <v>11601030</v>
      </c>
      <c r="Q9" s="181">
        <v>12327352</v>
      </c>
      <c r="R9" s="6"/>
      <c r="S9" s="6"/>
      <c r="T9" s="6"/>
    </row>
    <row r="10" spans="1:21" ht="15">
      <c r="A10" s="10" t="s">
        <v>239</v>
      </c>
      <c r="B10" s="111"/>
      <c r="C10" s="111"/>
      <c r="D10" s="111"/>
      <c r="E10" s="111"/>
      <c r="F10" s="111"/>
      <c r="G10" s="111"/>
      <c r="H10" s="111"/>
      <c r="I10" s="111"/>
      <c r="J10" s="112"/>
      <c r="K10" s="111"/>
      <c r="L10" s="112"/>
      <c r="M10" s="112"/>
      <c r="N10" s="112">
        <v>304457</v>
      </c>
      <c r="O10" s="181">
        <v>254957</v>
      </c>
      <c r="P10" s="181">
        <v>213881</v>
      </c>
      <c r="Q10" s="181">
        <v>179587</v>
      </c>
      <c r="R10" s="6"/>
      <c r="S10" s="6"/>
      <c r="T10" s="6"/>
    </row>
    <row r="11" spans="1:21" ht="15">
      <c r="A11" s="9" t="s">
        <v>7</v>
      </c>
      <c r="B11" s="111"/>
      <c r="C11" s="111"/>
      <c r="D11" s="111"/>
      <c r="E11" s="111"/>
      <c r="F11" s="111"/>
      <c r="G11" s="41"/>
      <c r="H11" s="41"/>
      <c r="I11" s="41"/>
      <c r="J11" s="41"/>
      <c r="K11" s="41"/>
      <c r="L11" s="41"/>
      <c r="M11" s="41"/>
      <c r="N11" s="41"/>
      <c r="O11" s="182"/>
      <c r="P11" s="182"/>
      <c r="Q11" s="182"/>
      <c r="R11" s="6"/>
      <c r="S11" s="6"/>
      <c r="T11" s="6"/>
    </row>
    <row r="12" spans="1:21" ht="15">
      <c r="A12" s="8" t="s">
        <v>6</v>
      </c>
      <c r="B12" s="111">
        <v>9409948.5899999999</v>
      </c>
      <c r="C12" s="111">
        <v>9738655.0700000003</v>
      </c>
      <c r="D12" s="111">
        <v>8817105</v>
      </c>
      <c r="E12" s="111">
        <v>11123909</v>
      </c>
      <c r="F12" s="111">
        <v>26914846.25</v>
      </c>
      <c r="G12" s="111">
        <v>56777878.75</v>
      </c>
      <c r="H12" s="111">
        <v>33006552</v>
      </c>
      <c r="I12" s="111">
        <v>32488550.530000001</v>
      </c>
      <c r="J12" s="112">
        <v>6079913</v>
      </c>
      <c r="K12" s="111">
        <v>10173686</v>
      </c>
      <c r="L12" s="112">
        <v>4896855</v>
      </c>
      <c r="M12" s="112">
        <v>122159</v>
      </c>
      <c r="N12" s="112">
        <v>5368928</v>
      </c>
      <c r="O12" s="181">
        <v>12711401</v>
      </c>
      <c r="P12" s="181">
        <v>27436953</v>
      </c>
      <c r="Q12" s="181">
        <v>19779123</v>
      </c>
      <c r="R12" s="6"/>
      <c r="S12" s="6"/>
      <c r="T12" s="6"/>
    </row>
    <row r="13" spans="1:21" ht="15">
      <c r="A13" s="8" t="s">
        <v>5</v>
      </c>
      <c r="B13" s="111">
        <v>6540613.0099999998</v>
      </c>
      <c r="C13" s="111">
        <v>977723.81</v>
      </c>
      <c r="D13" s="111">
        <v>843692</v>
      </c>
      <c r="E13" s="111">
        <v>10279652</v>
      </c>
      <c r="F13" s="111">
        <v>3163912.24</v>
      </c>
      <c r="G13" s="111">
        <v>20472137.739999998</v>
      </c>
      <c r="H13" s="111">
        <v>11692569</v>
      </c>
      <c r="I13" s="111">
        <v>8440507.1400000006</v>
      </c>
      <c r="J13" s="112">
        <v>16958535</v>
      </c>
      <c r="K13" s="111">
        <v>2603188</v>
      </c>
      <c r="L13" s="112">
        <v>2164485</v>
      </c>
      <c r="M13" s="112">
        <v>241080</v>
      </c>
      <c r="N13" s="112">
        <v>13564447</v>
      </c>
      <c r="O13" s="181">
        <v>455850</v>
      </c>
      <c r="P13" s="181">
        <v>2320569</v>
      </c>
      <c r="Q13" s="181">
        <v>11091883</v>
      </c>
      <c r="R13" s="6"/>
      <c r="S13" s="6"/>
      <c r="T13" s="6"/>
    </row>
    <row r="14" spans="1:21" ht="15">
      <c r="A14" s="8" t="s">
        <v>4</v>
      </c>
      <c r="B14" s="111">
        <v>19462456.739999998</v>
      </c>
      <c r="C14" s="111">
        <v>24469221.629999999</v>
      </c>
      <c r="D14" s="111">
        <v>6525720</v>
      </c>
      <c r="E14" s="111">
        <v>2261438</v>
      </c>
      <c r="F14" s="111">
        <v>9564849.2400000002</v>
      </c>
      <c r="G14" s="111">
        <v>18676436.75</v>
      </c>
      <c r="H14" s="111">
        <v>15853187</v>
      </c>
      <c r="I14" s="111">
        <v>10813833.08</v>
      </c>
      <c r="J14" s="112">
        <v>14438818</v>
      </c>
      <c r="K14" s="111">
        <v>9789350</v>
      </c>
      <c r="L14" s="112">
        <v>8973342</v>
      </c>
      <c r="M14" s="112">
        <v>5038680</v>
      </c>
      <c r="N14" s="112">
        <v>11735362</v>
      </c>
      <c r="O14" s="181">
        <v>9795748</v>
      </c>
      <c r="P14" s="181">
        <v>9602782</v>
      </c>
      <c r="Q14" s="181">
        <v>10707995</v>
      </c>
      <c r="S14" s="6"/>
      <c r="T14" s="6"/>
    </row>
    <row r="15" spans="1:21" ht="17.25" customHeight="1">
      <c r="A15" s="8" t="s">
        <v>405</v>
      </c>
      <c r="B15" s="111">
        <v>1141.49</v>
      </c>
      <c r="C15" s="111">
        <v>0</v>
      </c>
      <c r="D15" s="111">
        <v>9347954</v>
      </c>
      <c r="E15" s="111">
        <v>3747363</v>
      </c>
      <c r="F15" s="111">
        <v>354783.85</v>
      </c>
      <c r="G15" s="111">
        <v>-101012.25</v>
      </c>
      <c r="H15" s="111">
        <v>42215.48</v>
      </c>
      <c r="I15" s="111">
        <v>375475.23</v>
      </c>
      <c r="J15" s="112">
        <v>-123917.97</v>
      </c>
      <c r="K15" s="112">
        <v>-1192886.3999999999</v>
      </c>
      <c r="L15" s="112">
        <v>-4698.03</v>
      </c>
      <c r="M15" s="112">
        <v>0</v>
      </c>
      <c r="N15" s="112">
        <v>0</v>
      </c>
      <c r="O15" s="181">
        <v>-650000</v>
      </c>
      <c r="P15" s="181">
        <v>824395</v>
      </c>
      <c r="Q15" s="181">
        <v>318146</v>
      </c>
      <c r="R15" s="164" t="s">
        <v>391</v>
      </c>
      <c r="S15" s="6"/>
      <c r="T15" s="6"/>
    </row>
    <row r="16" spans="1:21" ht="17.399999999999999">
      <c r="A16" s="8" t="s">
        <v>407</v>
      </c>
      <c r="B16" s="8"/>
      <c r="C16" s="8"/>
      <c r="D16" s="8"/>
      <c r="E16" s="8"/>
      <c r="F16" s="8"/>
      <c r="G16" s="111">
        <v>-5658821</v>
      </c>
      <c r="H16" s="111">
        <v>-3141637</v>
      </c>
      <c r="I16" s="111"/>
      <c r="J16" s="111"/>
      <c r="K16" s="112"/>
      <c r="L16" s="111"/>
      <c r="M16" s="111"/>
      <c r="N16" s="111"/>
      <c r="O16" s="111"/>
      <c r="P16" s="111"/>
      <c r="Q16" s="111"/>
      <c r="R16" s="165">
        <f>SUM(Q12:Q16)</f>
        <v>41897147</v>
      </c>
      <c r="S16" s="6"/>
      <c r="T16" s="6"/>
    </row>
    <row r="17" spans="1:20" ht="15">
      <c r="A17" s="5" t="s">
        <v>1</v>
      </c>
      <c r="B17" s="43">
        <f t="shared" ref="B17:F17" si="0">SUM(B4:B16)</f>
        <v>173276548.43000001</v>
      </c>
      <c r="C17" s="43">
        <f t="shared" si="0"/>
        <v>174429929.69999999</v>
      </c>
      <c r="D17" s="43">
        <f t="shared" si="0"/>
        <v>174413008</v>
      </c>
      <c r="E17" s="43">
        <f t="shared" si="0"/>
        <v>205271804.73000002</v>
      </c>
      <c r="F17" s="43">
        <f t="shared" si="0"/>
        <v>239587953.02000001</v>
      </c>
      <c r="G17" s="43">
        <f t="shared" ref="G17:Q17" si="1">SUM(G4:G16)</f>
        <v>311214895.48000002</v>
      </c>
      <c r="H17" s="43">
        <f t="shared" si="1"/>
        <v>306409771.88</v>
      </c>
      <c r="I17" s="43">
        <f t="shared" si="1"/>
        <v>291101892.44999999</v>
      </c>
      <c r="J17" s="43">
        <f t="shared" si="1"/>
        <v>269134110.02999997</v>
      </c>
      <c r="K17" s="43">
        <f t="shared" si="1"/>
        <v>279550548.79000002</v>
      </c>
      <c r="L17" s="43">
        <f t="shared" si="1"/>
        <v>274172173.88</v>
      </c>
      <c r="M17" s="43">
        <f t="shared" si="1"/>
        <v>259957535</v>
      </c>
      <c r="N17" s="43">
        <f t="shared" ref="N17:P17" si="2">SUM(N4:N16)</f>
        <v>289372127</v>
      </c>
      <c r="O17" s="43">
        <f t="shared" si="2"/>
        <v>262715159</v>
      </c>
      <c r="P17" s="43">
        <f t="shared" si="2"/>
        <v>278235868</v>
      </c>
      <c r="Q17" s="43">
        <f t="shared" si="1"/>
        <v>295513265</v>
      </c>
      <c r="R17" s="6"/>
      <c r="S17" s="6"/>
      <c r="T17" s="6"/>
    </row>
    <row r="18" spans="1:20" ht="15">
      <c r="A18" s="4"/>
      <c r="B18" s="4"/>
      <c r="C18" s="4"/>
      <c r="D18" s="4"/>
      <c r="E18" s="4"/>
      <c r="F18" s="4"/>
      <c r="G18" s="3"/>
      <c r="H18" s="3"/>
      <c r="I18" s="3"/>
      <c r="J18" s="3"/>
      <c r="K18" s="3"/>
      <c r="L18" s="3"/>
    </row>
    <row r="19" spans="1:20" ht="15">
      <c r="A19" s="158" t="s">
        <v>235</v>
      </c>
      <c r="B19" s="158"/>
      <c r="C19" s="158"/>
      <c r="D19" s="158"/>
      <c r="E19" s="158"/>
      <c r="F19" s="158"/>
      <c r="G19" s="3"/>
      <c r="H19" s="3"/>
      <c r="I19" s="3"/>
      <c r="J19" s="3"/>
      <c r="K19" s="3"/>
      <c r="L19" s="3"/>
    </row>
    <row r="20" spans="1:20" ht="15">
      <c r="A20" s="221" t="s">
        <v>9</v>
      </c>
      <c r="B20" s="222">
        <v>2006</v>
      </c>
      <c r="C20" s="222">
        <v>2007</v>
      </c>
      <c r="D20" s="222">
        <v>2008</v>
      </c>
      <c r="E20" s="222">
        <v>2009</v>
      </c>
      <c r="F20" s="222">
        <v>2010</v>
      </c>
      <c r="G20" s="222">
        <f t="shared" ref="G20:Q20" si="3">G3</f>
        <v>2011</v>
      </c>
      <c r="H20" s="222">
        <f t="shared" si="3"/>
        <v>2012</v>
      </c>
      <c r="I20" s="222">
        <f t="shared" si="3"/>
        <v>2013</v>
      </c>
      <c r="J20" s="222">
        <f t="shared" si="3"/>
        <v>2014</v>
      </c>
      <c r="K20" s="222">
        <f t="shared" si="3"/>
        <v>2015</v>
      </c>
      <c r="L20" s="222">
        <f t="shared" si="3"/>
        <v>2016</v>
      </c>
      <c r="M20" s="222">
        <f t="shared" si="3"/>
        <v>2017</v>
      </c>
      <c r="N20" s="222">
        <f t="shared" ref="N20:P20" si="4">N3</f>
        <v>20182</v>
      </c>
      <c r="O20" s="222">
        <f t="shared" si="4"/>
        <v>2019</v>
      </c>
      <c r="P20" s="222">
        <f t="shared" si="4"/>
        <v>2020</v>
      </c>
      <c r="Q20" s="222">
        <f t="shared" si="3"/>
        <v>2021</v>
      </c>
    </row>
    <row r="21" spans="1:20" ht="15">
      <c r="A21" s="8" t="s">
        <v>6</v>
      </c>
      <c r="B21" s="7">
        <f t="shared" ref="B21:F21" si="5">B5+B12</f>
        <v>106630937.19</v>
      </c>
      <c r="C21" s="7">
        <f t="shared" si="5"/>
        <v>105122393.94</v>
      </c>
      <c r="D21" s="7">
        <f t="shared" si="5"/>
        <v>102755054</v>
      </c>
      <c r="E21" s="7">
        <f t="shared" si="5"/>
        <v>126571326.25</v>
      </c>
      <c r="F21" s="7">
        <f t="shared" si="5"/>
        <v>160624889.25</v>
      </c>
      <c r="G21" s="7">
        <f t="shared" ref="G21:Q22" si="6">G5+G12</f>
        <v>209046030.5</v>
      </c>
      <c r="H21" s="7">
        <f t="shared" si="6"/>
        <v>205632268.75</v>
      </c>
      <c r="I21" s="7">
        <f t="shared" si="6"/>
        <v>195087363.49000001</v>
      </c>
      <c r="J21" s="7">
        <f t="shared" si="6"/>
        <v>166367853</v>
      </c>
      <c r="K21" s="7">
        <f t="shared" si="6"/>
        <v>192153088</v>
      </c>
      <c r="L21" s="7">
        <f t="shared" si="6"/>
        <v>192822955.50999999</v>
      </c>
      <c r="M21" s="7">
        <f t="shared" si="6"/>
        <v>175078132</v>
      </c>
      <c r="N21" s="7">
        <f t="shared" ref="N21:P21" si="7">N5+N12</f>
        <v>187276357</v>
      </c>
      <c r="O21" s="7">
        <f t="shared" si="7"/>
        <v>181202295</v>
      </c>
      <c r="P21" s="7">
        <f t="shared" si="7"/>
        <v>191285316</v>
      </c>
      <c r="Q21" s="7">
        <f t="shared" si="6"/>
        <v>193335316</v>
      </c>
    </row>
    <row r="22" spans="1:20" ht="15">
      <c r="A22" s="8" t="s">
        <v>5</v>
      </c>
      <c r="B22" s="7">
        <f t="shared" ref="B22:F22" si="8">B6+B13</f>
        <v>25688290.520000003</v>
      </c>
      <c r="C22" s="7">
        <f t="shared" si="8"/>
        <v>21444664.559999999</v>
      </c>
      <c r="D22" s="7">
        <f t="shared" si="8"/>
        <v>31010039</v>
      </c>
      <c r="E22" s="7">
        <f t="shared" si="8"/>
        <v>41225300.239999995</v>
      </c>
      <c r="F22" s="7">
        <f t="shared" si="8"/>
        <v>36656859.240000002</v>
      </c>
      <c r="G22" s="7">
        <f t="shared" si="6"/>
        <v>58941817.480000004</v>
      </c>
      <c r="H22" s="7">
        <f t="shared" si="6"/>
        <v>53678572.759999998</v>
      </c>
      <c r="I22" s="7">
        <f t="shared" si="6"/>
        <v>48188111.380000003</v>
      </c>
      <c r="J22" s="7">
        <f t="shared" si="6"/>
        <v>51630064</v>
      </c>
      <c r="K22" s="7">
        <f t="shared" si="6"/>
        <v>38735187</v>
      </c>
      <c r="L22" s="7">
        <f t="shared" si="6"/>
        <v>45114243.75</v>
      </c>
      <c r="M22" s="7">
        <f t="shared" si="6"/>
        <v>41867837</v>
      </c>
      <c r="N22" s="7">
        <f t="shared" ref="N22:P22" si="9">N6+N13</f>
        <v>55109081</v>
      </c>
      <c r="O22" s="7">
        <f t="shared" si="9"/>
        <v>35057210</v>
      </c>
      <c r="P22" s="7">
        <f t="shared" si="9"/>
        <v>37571770</v>
      </c>
      <c r="Q22" s="7">
        <f t="shared" si="6"/>
        <v>44301263</v>
      </c>
    </row>
    <row r="23" spans="1:20" ht="15">
      <c r="A23" s="8" t="s">
        <v>4</v>
      </c>
      <c r="B23" s="7">
        <f t="shared" ref="B23:F23" si="10">B7+B14</f>
        <v>26842908.359999999</v>
      </c>
      <c r="C23" s="7">
        <f t="shared" si="10"/>
        <v>33363535.329999998</v>
      </c>
      <c r="D23" s="7">
        <f t="shared" si="10"/>
        <v>16679586</v>
      </c>
      <c r="E23" s="7">
        <f t="shared" si="10"/>
        <v>13752725.24</v>
      </c>
      <c r="F23" s="7">
        <f t="shared" si="10"/>
        <v>21670658.240000002</v>
      </c>
      <c r="G23" s="7">
        <f t="shared" ref="G23:Q23" si="11">G7+G14</f>
        <v>30708662.75</v>
      </c>
      <c r="H23" s="7">
        <f t="shared" si="11"/>
        <v>29067756.75</v>
      </c>
      <c r="I23" s="7">
        <f t="shared" si="11"/>
        <v>22215304.060000002</v>
      </c>
      <c r="J23" s="7">
        <f t="shared" si="11"/>
        <v>26409304</v>
      </c>
      <c r="K23" s="7">
        <f t="shared" si="11"/>
        <v>26419381</v>
      </c>
      <c r="L23" s="7">
        <f t="shared" si="11"/>
        <v>23065264</v>
      </c>
      <c r="M23" s="7">
        <f t="shared" ref="M23:P23" si="12">M7+M14</f>
        <v>17552914</v>
      </c>
      <c r="N23" s="7">
        <f t="shared" si="12"/>
        <v>24304991</v>
      </c>
      <c r="O23" s="7">
        <f t="shared" si="12"/>
        <v>23372108</v>
      </c>
      <c r="P23" s="7">
        <f t="shared" si="12"/>
        <v>26637849</v>
      </c>
      <c r="Q23" s="7">
        <f t="shared" si="11"/>
        <v>25815371</v>
      </c>
    </row>
    <row r="24" spans="1:20" ht="15">
      <c r="A24" s="8" t="s">
        <v>3</v>
      </c>
      <c r="B24" s="7">
        <f t="shared" ref="B24:F24" si="13">B8+B15</f>
        <v>14114412.359999999</v>
      </c>
      <c r="C24" s="7">
        <f t="shared" si="13"/>
        <v>14499335.869999999</v>
      </c>
      <c r="D24" s="7">
        <f t="shared" si="13"/>
        <v>23968329</v>
      </c>
      <c r="E24" s="7">
        <f t="shared" si="13"/>
        <v>23722453</v>
      </c>
      <c r="F24" s="7">
        <f t="shared" si="13"/>
        <v>20635546.290000003</v>
      </c>
      <c r="G24" s="7">
        <f t="shared" ref="G24:Q24" si="14">G8+G15</f>
        <v>18177205.75</v>
      </c>
      <c r="H24" s="7">
        <f t="shared" si="14"/>
        <v>21172810.620000001</v>
      </c>
      <c r="I24" s="7">
        <f t="shared" si="14"/>
        <v>25611113.52</v>
      </c>
      <c r="J24" s="7">
        <f t="shared" si="14"/>
        <v>24726889.030000001</v>
      </c>
      <c r="K24" s="7">
        <f t="shared" si="14"/>
        <v>22242892.790000003</v>
      </c>
      <c r="L24" s="7">
        <f t="shared" si="14"/>
        <v>13169710.620000001</v>
      </c>
      <c r="M24" s="7">
        <f t="shared" ref="M24:P24" si="15">M8+M15</f>
        <v>25458652</v>
      </c>
      <c r="N24" s="7">
        <f t="shared" si="15"/>
        <v>12009661</v>
      </c>
      <c r="O24" s="7">
        <f t="shared" si="15"/>
        <v>11221288</v>
      </c>
      <c r="P24" s="7">
        <f t="shared" si="15"/>
        <v>10926022</v>
      </c>
      <c r="Q24" s="7">
        <f t="shared" si="14"/>
        <v>19554376</v>
      </c>
    </row>
    <row r="25" spans="1:20" ht="15">
      <c r="A25" s="8" t="s">
        <v>2</v>
      </c>
      <c r="B25" s="7">
        <f t="shared" ref="B25:F25" si="16">B16</f>
        <v>0</v>
      </c>
      <c r="C25" s="7">
        <f t="shared" si="16"/>
        <v>0</v>
      </c>
      <c r="D25" s="7">
        <f t="shared" si="16"/>
        <v>0</v>
      </c>
      <c r="E25" s="7">
        <f t="shared" si="16"/>
        <v>0</v>
      </c>
      <c r="F25" s="7">
        <f t="shared" si="16"/>
        <v>0</v>
      </c>
      <c r="G25" s="7">
        <f t="shared" ref="G25:Q25" si="17">G16</f>
        <v>-5658821</v>
      </c>
      <c r="H25" s="7">
        <f t="shared" si="17"/>
        <v>-3141637</v>
      </c>
      <c r="I25" s="7">
        <f t="shared" si="17"/>
        <v>0</v>
      </c>
      <c r="J25" s="7">
        <f t="shared" si="17"/>
        <v>0</v>
      </c>
      <c r="K25" s="7">
        <f t="shared" si="17"/>
        <v>0</v>
      </c>
      <c r="L25" s="7">
        <f t="shared" si="17"/>
        <v>0</v>
      </c>
      <c r="M25" s="7">
        <f t="shared" ref="M25:P25" si="18">M16</f>
        <v>0</v>
      </c>
      <c r="N25" s="7">
        <f t="shared" si="18"/>
        <v>0</v>
      </c>
      <c r="O25" s="7">
        <f t="shared" si="18"/>
        <v>0</v>
      </c>
      <c r="P25" s="7">
        <f t="shared" si="18"/>
        <v>0</v>
      </c>
      <c r="Q25" s="7">
        <f t="shared" si="17"/>
        <v>0</v>
      </c>
    </row>
    <row r="26" spans="1:20" ht="15">
      <c r="A26" s="8" t="s">
        <v>245</v>
      </c>
      <c r="B26" s="7"/>
      <c r="C26" s="7"/>
      <c r="D26" s="7"/>
      <c r="E26" s="7"/>
      <c r="F26" s="7"/>
      <c r="G26" s="7"/>
      <c r="H26" s="7"/>
      <c r="I26" s="7"/>
      <c r="J26" s="7"/>
      <c r="K26" s="7"/>
      <c r="L26" s="7"/>
      <c r="M26" s="7"/>
      <c r="N26" s="7">
        <f>N9+N10</f>
        <v>10672037</v>
      </c>
      <c r="O26" s="7">
        <f>O9+O10</f>
        <v>11862258</v>
      </c>
      <c r="P26" s="7">
        <f>P9+P10</f>
        <v>11814911</v>
      </c>
      <c r="Q26" s="7">
        <f>Q9+Q10</f>
        <v>12506939</v>
      </c>
    </row>
    <row r="27" spans="1:20" ht="15">
      <c r="A27" s="5" t="s">
        <v>1</v>
      </c>
      <c r="B27" s="43">
        <f t="shared" ref="B27:F27" si="19">B17</f>
        <v>173276548.43000001</v>
      </c>
      <c r="C27" s="43">
        <f t="shared" si="19"/>
        <v>174429929.69999999</v>
      </c>
      <c r="D27" s="43">
        <f t="shared" si="19"/>
        <v>174413008</v>
      </c>
      <c r="E27" s="43">
        <f t="shared" si="19"/>
        <v>205271804.73000002</v>
      </c>
      <c r="F27" s="43">
        <f t="shared" si="19"/>
        <v>239587953.02000001</v>
      </c>
      <c r="G27" s="43">
        <f t="shared" ref="G27:Q27" si="20">G17</f>
        <v>311214895.48000002</v>
      </c>
      <c r="H27" s="43">
        <f t="shared" si="20"/>
        <v>306409771.88</v>
      </c>
      <c r="I27" s="43">
        <f t="shared" si="20"/>
        <v>291101892.44999999</v>
      </c>
      <c r="J27" s="43">
        <f t="shared" si="20"/>
        <v>269134110.02999997</v>
      </c>
      <c r="K27" s="43">
        <f t="shared" si="20"/>
        <v>279550548.79000002</v>
      </c>
      <c r="L27" s="43">
        <f t="shared" si="20"/>
        <v>274172173.88</v>
      </c>
      <c r="M27" s="43">
        <f t="shared" ref="M27:P27" si="21">M17</f>
        <v>259957535</v>
      </c>
      <c r="N27" s="43">
        <f t="shared" si="21"/>
        <v>289372127</v>
      </c>
      <c r="O27" s="43">
        <f t="shared" si="21"/>
        <v>262715159</v>
      </c>
      <c r="P27" s="43">
        <f t="shared" si="21"/>
        <v>278235868</v>
      </c>
      <c r="Q27" s="43">
        <f t="shared" si="20"/>
        <v>295513265</v>
      </c>
    </row>
    <row r="28" spans="1:20" ht="15">
      <c r="A28" s="4"/>
      <c r="B28" s="3"/>
      <c r="C28" s="3"/>
      <c r="D28" s="3"/>
      <c r="E28" s="3"/>
      <c r="F28" s="3"/>
      <c r="G28" s="3"/>
      <c r="H28" s="3"/>
      <c r="I28" s="3"/>
      <c r="J28" s="3"/>
      <c r="K28" s="3"/>
      <c r="L28" s="3"/>
    </row>
    <row r="29" spans="1:20" ht="15">
      <c r="A29" s="159"/>
      <c r="B29" s="3"/>
      <c r="C29" s="3"/>
      <c r="D29" s="3"/>
      <c r="E29" s="3"/>
      <c r="F29" s="3"/>
      <c r="G29" s="3"/>
      <c r="H29" s="3"/>
      <c r="I29" s="3"/>
      <c r="J29" s="3"/>
      <c r="K29" s="3"/>
      <c r="L29" s="3"/>
    </row>
    <row r="30" spans="1:20" ht="15">
      <c r="A30" s="44" t="s">
        <v>0</v>
      </c>
      <c r="B30" s="45"/>
      <c r="C30" s="45"/>
      <c r="D30" s="45"/>
      <c r="E30" s="45"/>
      <c r="F30" s="45"/>
      <c r="G30" s="45"/>
      <c r="H30" s="45"/>
      <c r="I30" s="45"/>
      <c r="J30" s="45"/>
      <c r="K30" s="45"/>
      <c r="L30" s="45"/>
      <c r="M30" s="46"/>
      <c r="N30" s="46"/>
    </row>
    <row r="31" spans="1:20" s="160" customFormat="1" ht="19.5" customHeight="1">
      <c r="A31" s="227" t="s">
        <v>401</v>
      </c>
      <c r="B31" s="227"/>
      <c r="C31" s="227"/>
      <c r="D31" s="227"/>
      <c r="E31" s="227"/>
      <c r="F31" s="227"/>
      <c r="G31" s="227"/>
      <c r="H31" s="227"/>
      <c r="I31" s="227"/>
      <c r="J31" s="227"/>
      <c r="K31" s="227"/>
      <c r="L31" s="227"/>
      <c r="M31" s="227"/>
      <c r="N31" s="227"/>
      <c r="O31" s="227"/>
      <c r="P31" s="227"/>
      <c r="Q31" s="227"/>
    </row>
    <row r="32" spans="1:20" s="160" customFormat="1" ht="19.5" customHeight="1">
      <c r="A32" s="227" t="s">
        <v>432</v>
      </c>
      <c r="B32" s="227"/>
      <c r="C32" s="227"/>
      <c r="D32" s="227"/>
      <c r="E32" s="227"/>
      <c r="F32" s="227"/>
      <c r="G32" s="227"/>
      <c r="H32" s="227"/>
      <c r="I32" s="227"/>
      <c r="J32" s="227"/>
      <c r="K32" s="227"/>
      <c r="L32" s="227"/>
      <c r="M32" s="227"/>
      <c r="N32" s="227"/>
      <c r="O32" s="227"/>
      <c r="P32" s="227"/>
      <c r="Q32" s="227"/>
    </row>
    <row r="33" spans="1:17" s="160" customFormat="1" ht="19.5" customHeight="1">
      <c r="A33" s="227" t="s">
        <v>410</v>
      </c>
      <c r="B33" s="227"/>
      <c r="C33" s="227"/>
      <c r="D33" s="227"/>
      <c r="E33" s="227"/>
      <c r="F33" s="227"/>
      <c r="G33" s="227"/>
      <c r="H33" s="227"/>
      <c r="I33" s="227"/>
      <c r="J33" s="227"/>
      <c r="K33" s="227"/>
      <c r="L33" s="227"/>
      <c r="M33" s="227"/>
      <c r="N33" s="227"/>
      <c r="O33" s="227"/>
      <c r="P33" s="227"/>
      <c r="Q33" s="227"/>
    </row>
    <row r="34" spans="1:17" s="160" customFormat="1" ht="19.5" customHeight="1">
      <c r="A34" s="227" t="s">
        <v>408</v>
      </c>
      <c r="B34" s="227"/>
      <c r="C34" s="227"/>
      <c r="D34" s="227"/>
      <c r="E34" s="227"/>
      <c r="F34" s="227"/>
      <c r="G34" s="227"/>
      <c r="H34" s="227"/>
      <c r="I34" s="227"/>
      <c r="J34" s="227"/>
      <c r="K34" s="227"/>
      <c r="L34" s="227"/>
      <c r="M34" s="227"/>
      <c r="N34" s="227"/>
      <c r="O34" s="227"/>
      <c r="P34" s="227"/>
      <c r="Q34" s="227"/>
    </row>
    <row r="35" spans="1:17" s="160" customFormat="1" ht="19.5" customHeight="1">
      <c r="A35" s="227" t="s">
        <v>416</v>
      </c>
      <c r="B35" s="227"/>
      <c r="C35" s="227"/>
      <c r="D35" s="227"/>
      <c r="E35" s="227"/>
      <c r="F35" s="227"/>
      <c r="G35" s="227"/>
      <c r="H35" s="227"/>
      <c r="I35" s="227"/>
      <c r="J35" s="227"/>
      <c r="K35" s="227"/>
      <c r="L35" s="227"/>
      <c r="M35" s="227"/>
      <c r="N35" s="227"/>
      <c r="O35" s="225"/>
      <c r="P35" s="226"/>
      <c r="Q35" s="226"/>
    </row>
    <row r="36" spans="1:17" s="160" customFormat="1" ht="19.5" customHeight="1">
      <c r="A36" s="227" t="s">
        <v>415</v>
      </c>
      <c r="B36" s="227"/>
      <c r="C36" s="227"/>
      <c r="D36" s="227"/>
      <c r="E36" s="227"/>
      <c r="F36" s="227"/>
      <c r="G36" s="227"/>
      <c r="H36" s="227"/>
      <c r="I36" s="227"/>
      <c r="J36" s="227"/>
      <c r="K36" s="227"/>
      <c r="L36" s="227"/>
      <c r="M36" s="227"/>
      <c r="N36" s="227"/>
      <c r="O36" s="225"/>
      <c r="P36" s="226"/>
      <c r="Q36" s="226"/>
    </row>
    <row r="37" spans="1:17">
      <c r="B37" s="160"/>
      <c r="C37" s="160"/>
      <c r="D37" s="160"/>
      <c r="E37" s="160"/>
      <c r="F37" s="160"/>
      <c r="G37" s="160"/>
      <c r="H37" s="160"/>
      <c r="I37" s="160"/>
      <c r="J37" s="160"/>
      <c r="K37" s="160"/>
      <c r="L37" s="160"/>
      <c r="M37" s="160"/>
      <c r="N37" s="160"/>
      <c r="O37" s="160"/>
      <c r="P37" s="160"/>
    </row>
    <row r="38" spans="1:17" ht="15">
      <c r="A38" s="390"/>
      <c r="B38" s="391"/>
      <c r="C38" s="391"/>
      <c r="D38" s="391"/>
      <c r="E38" s="391"/>
      <c r="F38" s="391"/>
      <c r="G38" s="391"/>
      <c r="H38" s="391"/>
      <c r="I38" s="391"/>
      <c r="J38" s="391"/>
      <c r="K38" s="391"/>
      <c r="L38" s="391"/>
    </row>
    <row r="39" spans="1:17" ht="15">
      <c r="A39" s="47"/>
      <c r="B39" s="48" t="str">
        <f>TEXT(Q20,0)&amp;" exp+capital"</f>
        <v>2021 exp+capital</v>
      </c>
      <c r="D39" s="163" t="s">
        <v>182</v>
      </c>
    </row>
    <row r="40" spans="1:17" ht="15">
      <c r="A40" s="47" t="s">
        <v>6</v>
      </c>
      <c r="B40" s="49">
        <f>Q21</f>
        <v>193335316</v>
      </c>
    </row>
    <row r="41" spans="1:17" ht="15">
      <c r="A41" s="47" t="s">
        <v>5</v>
      </c>
      <c r="B41" s="49">
        <f t="shared" ref="B41:B43" si="22">Q22</f>
        <v>44301263</v>
      </c>
      <c r="D41" s="387"/>
      <c r="E41" s="388"/>
      <c r="F41" s="388"/>
      <c r="G41" s="388"/>
      <c r="H41" s="388"/>
      <c r="I41" s="388"/>
      <c r="J41" s="388"/>
      <c r="K41" s="388"/>
      <c r="L41" s="388"/>
      <c r="M41" s="388"/>
      <c r="N41" s="388"/>
      <c r="O41" s="388"/>
    </row>
    <row r="42" spans="1:17" ht="17.25" customHeight="1">
      <c r="A42" s="47" t="s">
        <v>4</v>
      </c>
      <c r="B42" s="49">
        <f t="shared" si="22"/>
        <v>25815371</v>
      </c>
      <c r="D42" s="386" t="str">
        <f>"Total: $" &amp; TEXT(Q27,"#0.0,,") &amp; " million includes $" &amp; TEXT(R16,"#0.0,,") &amp; " million in obligations to capital projects, plus General and Administrative (G&amp;A) expenses ($"&amp;TEXT(Q9,"#0.0,,")&amp;" million, not included), and Columbia River System Operations Review/Environmental Impact Statement expenses ($"&amp;TEXT(ROUND(Q10,-2),"#0.0,,")&amp;" million, not included)"</f>
        <v>Total: $295.5 million includes $41.9 million in obligations to capital projects, plus General and Administrative (G&amp;A) expenses ($12.3 million, not included), and Columbia River System Operations Review/Environmental Impact Statement expenses ($0.2 million, not included)</v>
      </c>
      <c r="E42" s="386"/>
      <c r="F42" s="386"/>
      <c r="G42" s="386"/>
      <c r="H42" s="386"/>
      <c r="I42" s="386"/>
      <c r="J42" s="386"/>
      <c r="K42" s="386"/>
      <c r="L42" s="386"/>
      <c r="M42" s="386"/>
      <c r="N42" s="386"/>
      <c r="O42" s="386"/>
    </row>
    <row r="43" spans="1:17" ht="15">
      <c r="A43" s="47" t="s">
        <v>3</v>
      </c>
      <c r="B43" s="49">
        <f t="shared" si="22"/>
        <v>19554376</v>
      </c>
      <c r="D43" s="386"/>
      <c r="E43" s="386"/>
      <c r="F43" s="386"/>
      <c r="G43" s="386"/>
      <c r="H43" s="386"/>
      <c r="I43" s="386"/>
      <c r="J43" s="386"/>
      <c r="K43" s="386"/>
      <c r="L43" s="386"/>
      <c r="M43" s="386"/>
      <c r="N43" s="386"/>
      <c r="O43" s="386"/>
    </row>
    <row r="44" spans="1:17" ht="15">
      <c r="A44" s="47"/>
      <c r="B44" s="49"/>
    </row>
    <row r="45" spans="1:17" ht="15">
      <c r="A45" s="47"/>
      <c r="B45" s="47"/>
    </row>
    <row r="46" spans="1:17" ht="15">
      <c r="A46" s="47"/>
      <c r="B46" s="49">
        <f>Q17-SUM(B40:B43)</f>
        <v>12506939</v>
      </c>
    </row>
    <row r="47" spans="1:17" ht="15">
      <c r="A47" s="47"/>
      <c r="B47" s="47"/>
    </row>
    <row r="48" spans="1:17" ht="15">
      <c r="A48" s="47"/>
      <c r="B48" s="47"/>
    </row>
    <row r="49" spans="1:2" ht="15">
      <c r="A49" s="1"/>
      <c r="B49" s="47"/>
    </row>
  </sheetData>
  <mergeCells count="4">
    <mergeCell ref="D42:O43"/>
    <mergeCell ref="D41:O41"/>
    <mergeCell ref="A1:M1"/>
    <mergeCell ref="A38:L38"/>
  </mergeCells>
  <pageMargins left="0.36" right="0.35" top="0.82" bottom="0.28000000000000003" header="0.21" footer="0.16"/>
  <pageSetup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topLeftCell="A7" workbookViewId="0">
      <selection activeCell="A6" sqref="A6"/>
    </sheetView>
  </sheetViews>
  <sheetFormatPr defaultColWidth="9.109375" defaultRowHeight="15"/>
  <cols>
    <col min="1" max="5" width="16.33203125" style="14" customWidth="1"/>
    <col min="6" max="10" width="15.44140625" style="14" bestFit="1" customWidth="1"/>
    <col min="11" max="15" width="15.44140625" style="13" customWidth="1"/>
    <col min="16" max="17" width="15.5546875" style="13" customWidth="1"/>
    <col min="18" max="16384" width="9.109375" style="13"/>
  </cols>
  <sheetData>
    <row r="1" spans="1:19" ht="30.75" customHeight="1">
      <c r="A1" s="20" t="str">
        <f>"Figure 3: FCRPS BiOp Project Costs, FY"&amp;B2&amp;"-"&amp;Q2</f>
        <v>Figure 3: FCRPS BiOp Project Costs, FY2006-2021</v>
      </c>
      <c r="B1" s="20"/>
      <c r="C1" s="20"/>
      <c r="D1" s="20"/>
      <c r="E1" s="20"/>
    </row>
    <row r="2" spans="1:19" ht="21.75" customHeight="1">
      <c r="A2" s="220" t="s">
        <v>12</v>
      </c>
      <c r="B2" s="215">
        <v>2006</v>
      </c>
      <c r="C2" s="215">
        <v>2007</v>
      </c>
      <c r="D2" s="215">
        <v>2008</v>
      </c>
      <c r="E2" s="215">
        <v>2009</v>
      </c>
      <c r="F2" s="215">
        <v>2010</v>
      </c>
      <c r="G2" s="215">
        <v>2011</v>
      </c>
      <c r="H2" s="215">
        <v>2012</v>
      </c>
      <c r="I2" s="215">
        <v>2013</v>
      </c>
      <c r="J2" s="215">
        <v>2014</v>
      </c>
      <c r="K2" s="215">
        <v>2015</v>
      </c>
      <c r="L2" s="215" t="s">
        <v>338</v>
      </c>
      <c r="M2" s="215">
        <v>2017</v>
      </c>
      <c r="N2" s="215">
        <v>2018</v>
      </c>
      <c r="O2" s="215">
        <v>2019</v>
      </c>
      <c r="P2" s="215">
        <v>2020</v>
      </c>
      <c r="Q2" s="215">
        <v>2021</v>
      </c>
    </row>
    <row r="3" spans="1:19">
      <c r="A3" s="50" t="s">
        <v>11</v>
      </c>
      <c r="B3" s="42">
        <v>74024959.329999998</v>
      </c>
      <c r="C3" s="42">
        <v>78219265.00000003</v>
      </c>
      <c r="D3" s="42">
        <v>91806508</v>
      </c>
      <c r="E3" s="42">
        <v>113900603</v>
      </c>
      <c r="F3" s="42">
        <v>129758323</v>
      </c>
      <c r="G3" s="42">
        <v>143477289</v>
      </c>
      <c r="H3" s="42">
        <v>162060445</v>
      </c>
      <c r="I3" s="42">
        <v>151177409</v>
      </c>
      <c r="J3" s="42">
        <v>143128947.90000001</v>
      </c>
      <c r="K3" s="42">
        <v>165362220.78999999</v>
      </c>
      <c r="L3" s="113">
        <v>159987743.56999999</v>
      </c>
      <c r="M3" s="113">
        <v>156828472.72999999</v>
      </c>
      <c r="N3" s="113">
        <v>153679667</v>
      </c>
      <c r="O3" s="114">
        <v>137887504</v>
      </c>
      <c r="P3" s="114">
        <v>132646392</v>
      </c>
      <c r="Q3" s="114">
        <v>146563109</v>
      </c>
    </row>
    <row r="4" spans="1:19">
      <c r="A4" s="50" t="s">
        <v>10</v>
      </c>
      <c r="B4" s="42">
        <v>5086155.01</v>
      </c>
      <c r="C4" s="42">
        <v>8839587.0300000012</v>
      </c>
      <c r="D4" s="42">
        <v>9869097</v>
      </c>
      <c r="E4" s="42">
        <v>11668863</v>
      </c>
      <c r="F4" s="42">
        <v>21761323</v>
      </c>
      <c r="G4" s="42">
        <v>31297548</v>
      </c>
      <c r="H4" s="42">
        <v>29240867</v>
      </c>
      <c r="I4" s="42">
        <v>29683425</v>
      </c>
      <c r="J4" s="42">
        <v>5925196.1100000003</v>
      </c>
      <c r="K4" s="42">
        <v>7703153.2699999996</v>
      </c>
      <c r="L4" s="113">
        <v>1249955.1399999999</v>
      </c>
      <c r="M4" s="113">
        <v>-396792.47</v>
      </c>
      <c r="N4" s="113">
        <v>25343</v>
      </c>
      <c r="O4" s="114">
        <v>1470148</v>
      </c>
      <c r="P4" s="114">
        <v>8024833</v>
      </c>
      <c r="Q4" s="114">
        <v>9249428</v>
      </c>
    </row>
    <row r="5" spans="1:19" s="16" customFormat="1">
      <c r="A5" s="19" t="s">
        <v>1</v>
      </c>
      <c r="B5" s="18">
        <f t="shared" ref="B5:E5" si="0">SUM(B3:B4)</f>
        <v>79111114.340000004</v>
      </c>
      <c r="C5" s="18">
        <f t="shared" si="0"/>
        <v>87058852.030000031</v>
      </c>
      <c r="D5" s="18">
        <f t="shared" si="0"/>
        <v>101675605</v>
      </c>
      <c r="E5" s="18">
        <f t="shared" si="0"/>
        <v>125569466</v>
      </c>
      <c r="F5" s="18">
        <f t="shared" ref="F5:Q5" si="1">SUM(F3:F4)</f>
        <v>151519646</v>
      </c>
      <c r="G5" s="18">
        <f t="shared" si="1"/>
        <v>174774837</v>
      </c>
      <c r="H5" s="18">
        <f t="shared" si="1"/>
        <v>191301312</v>
      </c>
      <c r="I5" s="18">
        <f t="shared" si="1"/>
        <v>180860834</v>
      </c>
      <c r="J5" s="17">
        <f t="shared" si="1"/>
        <v>149054144.01000002</v>
      </c>
      <c r="K5" s="17">
        <f t="shared" si="1"/>
        <v>173065374.06</v>
      </c>
      <c r="L5" s="17">
        <f t="shared" si="1"/>
        <v>161237698.70999998</v>
      </c>
      <c r="M5" s="17">
        <f t="shared" ref="M5:P5" si="2">SUM(M3:M4)</f>
        <v>156431680.25999999</v>
      </c>
      <c r="N5" s="17">
        <f t="shared" si="2"/>
        <v>153705010</v>
      </c>
      <c r="O5" s="17">
        <f t="shared" si="2"/>
        <v>139357652</v>
      </c>
      <c r="P5" s="17">
        <f t="shared" si="2"/>
        <v>140671225</v>
      </c>
      <c r="Q5" s="17">
        <f t="shared" si="1"/>
        <v>155812537</v>
      </c>
    </row>
    <row r="6" spans="1:19" s="16" customFormat="1">
      <c r="A6" s="15"/>
      <c r="B6" s="15"/>
      <c r="C6" s="15"/>
      <c r="D6" s="15"/>
      <c r="E6" s="15"/>
      <c r="F6" s="51"/>
      <c r="G6" s="51"/>
      <c r="H6" s="51"/>
      <c r="I6" s="51"/>
      <c r="J6" s="51"/>
      <c r="K6" s="51"/>
      <c r="L6" s="51"/>
      <c r="M6" s="51"/>
      <c r="N6" s="51"/>
      <c r="O6" s="51"/>
      <c r="P6" s="51"/>
      <c r="Q6" s="51"/>
    </row>
    <row r="7" spans="1:19" s="16" customFormat="1">
      <c r="A7" s="15"/>
      <c r="B7" s="15"/>
      <c r="C7" s="15"/>
      <c r="D7" s="15"/>
      <c r="E7" s="15"/>
      <c r="F7" s="51"/>
      <c r="G7" s="51"/>
      <c r="H7" s="51"/>
      <c r="I7" s="51"/>
      <c r="J7" s="51"/>
      <c r="K7" s="51"/>
      <c r="L7" s="51"/>
      <c r="M7" s="51"/>
      <c r="N7" s="51"/>
      <c r="O7" s="51"/>
      <c r="P7" s="51"/>
      <c r="Q7" s="51"/>
    </row>
    <row r="8" spans="1:19" hidden="1">
      <c r="B8" s="14" t="str">
        <f t="shared" ref="B8:E8" si="3">LEFT(B2,4)</f>
        <v>2006</v>
      </c>
      <c r="C8" s="14" t="str">
        <f t="shared" si="3"/>
        <v>2007</v>
      </c>
      <c r="D8" s="14" t="str">
        <f t="shared" si="3"/>
        <v>2008</v>
      </c>
      <c r="E8" s="14" t="str">
        <f t="shared" si="3"/>
        <v>2009</v>
      </c>
      <c r="F8" s="14" t="str">
        <f>LEFT(F2,4)</f>
        <v>2010</v>
      </c>
      <c r="G8" s="14" t="str">
        <f t="shared" ref="G8:Q8" si="4">LEFT(G2,4)</f>
        <v>2011</v>
      </c>
      <c r="H8" s="14" t="str">
        <f t="shared" si="4"/>
        <v>2012</v>
      </c>
      <c r="I8" s="14" t="str">
        <f t="shared" si="4"/>
        <v>2013</v>
      </c>
      <c r="J8" s="14" t="str">
        <f t="shared" si="4"/>
        <v>2014</v>
      </c>
      <c r="K8" s="14" t="str">
        <f t="shared" si="4"/>
        <v>2015</v>
      </c>
      <c r="L8" s="14" t="str">
        <f t="shared" si="4"/>
        <v>2016</v>
      </c>
      <c r="M8" s="14" t="str">
        <f t="shared" ref="M8:P8" si="5">LEFT(M2,4)</f>
        <v>2017</v>
      </c>
      <c r="N8" s="14" t="str">
        <f t="shared" si="5"/>
        <v>2018</v>
      </c>
      <c r="O8" s="14" t="str">
        <f t="shared" si="5"/>
        <v>2019</v>
      </c>
      <c r="P8" s="14" t="str">
        <f t="shared" si="5"/>
        <v>2020</v>
      </c>
      <c r="Q8" s="14" t="str">
        <f t="shared" si="4"/>
        <v>2021</v>
      </c>
    </row>
    <row r="9" spans="1:19">
      <c r="A9" s="15" t="s">
        <v>0</v>
      </c>
      <c r="B9" s="15"/>
      <c r="C9" s="15"/>
      <c r="D9" s="15"/>
      <c r="E9" s="15"/>
    </row>
    <row r="10" spans="1:19" ht="20.25" customHeight="1">
      <c r="A10" s="228" t="s">
        <v>181</v>
      </c>
      <c r="B10" s="228"/>
      <c r="C10" s="228"/>
      <c r="D10" s="228"/>
      <c r="E10" s="228"/>
      <c r="F10" s="228"/>
      <c r="G10" s="228"/>
      <c r="H10" s="228"/>
      <c r="I10" s="228"/>
      <c r="J10" s="228"/>
      <c r="K10" s="228"/>
      <c r="L10" s="228"/>
      <c r="M10" s="228"/>
      <c r="N10" s="228"/>
      <c r="O10" s="228"/>
      <c r="P10" s="228"/>
      <c r="Q10" s="228"/>
      <c r="R10" s="228"/>
      <c r="S10" s="228"/>
    </row>
    <row r="11" spans="1:19" ht="18" customHeight="1">
      <c r="A11" s="228" t="s">
        <v>209</v>
      </c>
      <c r="B11" s="228"/>
      <c r="C11" s="228"/>
      <c r="D11" s="228"/>
      <c r="E11" s="228"/>
      <c r="F11" s="228"/>
      <c r="G11" s="228"/>
      <c r="H11" s="228"/>
      <c r="I11" s="228"/>
      <c r="J11" s="228"/>
      <c r="K11" s="228"/>
      <c r="L11" s="228"/>
      <c r="M11" s="228"/>
      <c r="N11" s="228"/>
      <c r="O11" s="228"/>
      <c r="P11" s="228"/>
      <c r="Q11" s="228"/>
      <c r="R11" s="228"/>
      <c r="S11" s="228"/>
    </row>
    <row r="12" spans="1:19">
      <c r="A12" s="161"/>
      <c r="B12" s="161"/>
      <c r="C12" s="161"/>
      <c r="D12" s="161"/>
      <c r="E12" s="161"/>
      <c r="F12" s="161"/>
      <c r="G12" s="161"/>
      <c r="H12" s="161"/>
      <c r="I12" s="161"/>
      <c r="J12" s="161"/>
      <c r="K12" s="162"/>
      <c r="L12" s="162"/>
      <c r="M12" s="162"/>
      <c r="N12" s="162"/>
      <c r="O12" s="162"/>
      <c r="P12" s="162"/>
      <c r="Q12" s="162"/>
      <c r="R12" s="162"/>
    </row>
    <row r="13" spans="1:19">
      <c r="A13" s="161"/>
      <c r="B13" s="161"/>
      <c r="C13" s="161"/>
      <c r="D13" s="161"/>
      <c r="E13" s="161"/>
      <c r="F13" s="161"/>
      <c r="G13" s="161"/>
      <c r="H13" s="161"/>
      <c r="I13" s="161"/>
      <c r="J13" s="161"/>
      <c r="K13" s="162"/>
      <c r="L13" s="162"/>
      <c r="M13" s="162"/>
      <c r="N13" s="162"/>
      <c r="O13" s="162"/>
      <c r="P13" s="162"/>
      <c r="Q13" s="162"/>
      <c r="R13" s="162"/>
    </row>
    <row r="14" spans="1:19">
      <c r="A14" s="132"/>
      <c r="B14" s="135"/>
      <c r="C14" s="135"/>
      <c r="D14" s="134"/>
      <c r="E14" s="134"/>
      <c r="F14" s="132"/>
      <c r="G14" s="132"/>
      <c r="H14" s="132"/>
      <c r="I14" s="132"/>
      <c r="J14" s="132"/>
      <c r="K14"/>
      <c r="L14"/>
      <c r="M14"/>
      <c r="N14"/>
      <c r="O14"/>
      <c r="P14"/>
      <c r="Q14"/>
      <c r="R14"/>
    </row>
  </sheetData>
  <pageMargins left="0.56000000000000005" right="0.5" top="1.03" bottom="1.08" header="0.16" footer="0.2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
  <sheetViews>
    <sheetView workbookViewId="0">
      <selection activeCell="A26" sqref="A26"/>
    </sheetView>
  </sheetViews>
  <sheetFormatPr defaultColWidth="9.109375" defaultRowHeight="13.8"/>
  <cols>
    <col min="1" max="1" width="62.88671875" style="21" bestFit="1" customWidth="1"/>
    <col min="2" max="2" width="14.5546875" style="24" bestFit="1" customWidth="1"/>
    <col min="3" max="3" width="16.6640625" style="24" bestFit="1" customWidth="1"/>
    <col min="4" max="4" width="16.44140625" style="23" bestFit="1" customWidth="1"/>
    <col min="5" max="5" width="17.44140625" style="24" customWidth="1"/>
    <col min="6" max="6" width="16.6640625" style="24" bestFit="1" customWidth="1"/>
    <col min="7" max="7" width="15.44140625" style="23" bestFit="1" customWidth="1"/>
    <col min="8" max="8" width="14.5546875" style="22" bestFit="1" customWidth="1"/>
    <col min="9" max="16384" width="9.109375" style="21"/>
  </cols>
  <sheetData>
    <row r="1" spans="1:8" ht="33" customHeight="1">
      <c r="A1" s="392" t="s">
        <v>450</v>
      </c>
      <c r="B1" s="392"/>
      <c r="C1" s="392"/>
      <c r="D1" s="392"/>
      <c r="E1" s="392"/>
      <c r="F1" s="392"/>
      <c r="G1" s="392"/>
      <c r="H1" s="392"/>
    </row>
    <row r="2" spans="1:8" s="27" customFormat="1" ht="55.2">
      <c r="A2" s="217" t="s">
        <v>36</v>
      </c>
      <c r="B2" s="218" t="s">
        <v>35</v>
      </c>
      <c r="C2" s="218" t="s">
        <v>34</v>
      </c>
      <c r="D2" s="219" t="s">
        <v>33</v>
      </c>
      <c r="E2" s="218" t="s">
        <v>32</v>
      </c>
      <c r="F2" s="218" t="s">
        <v>31</v>
      </c>
      <c r="G2" s="219" t="s">
        <v>30</v>
      </c>
      <c r="H2" s="218" t="s">
        <v>29</v>
      </c>
    </row>
    <row r="3" spans="1:8">
      <c r="A3" s="183" t="s">
        <v>28</v>
      </c>
      <c r="B3" s="184">
        <v>4748700</v>
      </c>
      <c r="C3" s="184">
        <v>1418181</v>
      </c>
      <c r="D3" s="185">
        <v>6166881</v>
      </c>
      <c r="E3" s="184">
        <v>1565470</v>
      </c>
      <c r="F3" s="184">
        <v>25694</v>
      </c>
      <c r="G3" s="185">
        <v>1591164</v>
      </c>
      <c r="H3" s="186">
        <v>7758045</v>
      </c>
    </row>
    <row r="4" spans="1:8">
      <c r="A4" s="183" t="s">
        <v>27</v>
      </c>
      <c r="B4" s="184">
        <v>8240730</v>
      </c>
      <c r="C4" s="184">
        <v>3152406</v>
      </c>
      <c r="D4" s="185">
        <v>11393135</v>
      </c>
      <c r="E4" s="184">
        <v>1661729</v>
      </c>
      <c r="F4" s="184">
        <v>26137</v>
      </c>
      <c r="G4" s="185">
        <v>1687866</v>
      </c>
      <c r="H4" s="186">
        <v>13081001</v>
      </c>
    </row>
    <row r="5" spans="1:8">
      <c r="A5" s="183" t="s">
        <v>26</v>
      </c>
      <c r="B5" s="184">
        <v>18608732</v>
      </c>
      <c r="C5" s="184">
        <v>5553855</v>
      </c>
      <c r="D5" s="185">
        <v>24162588</v>
      </c>
      <c r="E5" s="184">
        <v>115373</v>
      </c>
      <c r="F5" s="184">
        <v>1821</v>
      </c>
      <c r="G5" s="185">
        <v>117195</v>
      </c>
      <c r="H5" s="186">
        <v>24279783</v>
      </c>
    </row>
    <row r="6" spans="1:8">
      <c r="A6" s="183" t="s">
        <v>25</v>
      </c>
      <c r="B6" s="184">
        <v>9256092</v>
      </c>
      <c r="C6" s="184">
        <v>6298458</v>
      </c>
      <c r="D6" s="185">
        <v>15554550</v>
      </c>
      <c r="E6" s="184">
        <v>115373</v>
      </c>
      <c r="F6" s="184">
        <v>1821</v>
      </c>
      <c r="G6" s="185">
        <v>117195</v>
      </c>
      <c r="H6" s="186">
        <v>15671745</v>
      </c>
    </row>
    <row r="7" spans="1:8">
      <c r="A7" s="183" t="s">
        <v>24</v>
      </c>
      <c r="B7" s="184">
        <v>3980458</v>
      </c>
      <c r="C7" s="184">
        <v>1312151</v>
      </c>
      <c r="D7" s="185">
        <v>5292609</v>
      </c>
      <c r="E7" s="184">
        <v>115373</v>
      </c>
      <c r="F7" s="184">
        <v>1821</v>
      </c>
      <c r="G7" s="185">
        <v>117195</v>
      </c>
      <c r="H7" s="186">
        <v>5409804</v>
      </c>
    </row>
    <row r="8" spans="1:8">
      <c r="A8" s="183" t="s">
        <v>23</v>
      </c>
      <c r="B8" s="184">
        <v>2979236</v>
      </c>
      <c r="C8" s="184">
        <v>395384</v>
      </c>
      <c r="D8" s="185">
        <v>3374620</v>
      </c>
      <c r="E8" s="184">
        <v>1631721</v>
      </c>
      <c r="F8" s="184">
        <v>25659</v>
      </c>
      <c r="G8" s="185">
        <v>1657380</v>
      </c>
      <c r="H8" s="186">
        <v>5032000</v>
      </c>
    </row>
    <row r="9" spans="1:8">
      <c r="A9" s="183" t="s">
        <v>22</v>
      </c>
      <c r="B9" s="184">
        <v>3477644</v>
      </c>
      <c r="C9" s="184">
        <v>758530</v>
      </c>
      <c r="D9" s="185">
        <v>4236175</v>
      </c>
      <c r="E9" s="184">
        <v>1633967</v>
      </c>
      <c r="F9" s="184">
        <v>25694</v>
      </c>
      <c r="G9" s="185">
        <v>1659660</v>
      </c>
      <c r="H9" s="186">
        <v>5895835</v>
      </c>
    </row>
    <row r="10" spans="1:8">
      <c r="A10" s="183" t="s">
        <v>21</v>
      </c>
      <c r="B10" s="184">
        <v>7314850</v>
      </c>
      <c r="C10" s="184">
        <v>2430956</v>
      </c>
      <c r="D10" s="185">
        <v>9745805</v>
      </c>
      <c r="E10" s="184">
        <v>115810</v>
      </c>
      <c r="F10" s="184">
        <v>1821</v>
      </c>
      <c r="G10" s="185">
        <v>117632</v>
      </c>
      <c r="H10" s="186">
        <v>9863437</v>
      </c>
    </row>
    <row r="11" spans="1:8">
      <c r="A11" s="183" t="s">
        <v>20</v>
      </c>
      <c r="B11" s="184">
        <v>3980479</v>
      </c>
      <c r="C11" s="184">
        <v>1273569</v>
      </c>
      <c r="D11" s="185">
        <v>5254048</v>
      </c>
      <c r="E11" s="184">
        <v>1622680</v>
      </c>
      <c r="F11" s="184">
        <v>25694</v>
      </c>
      <c r="G11" s="185">
        <v>1648374</v>
      </c>
      <c r="H11" s="186">
        <v>6902422</v>
      </c>
    </row>
    <row r="12" spans="1:8">
      <c r="A12" s="183" t="s">
        <v>19</v>
      </c>
      <c r="B12" s="184">
        <v>25576915</v>
      </c>
      <c r="C12" s="184">
        <v>10754201</v>
      </c>
      <c r="D12" s="185">
        <v>36331116</v>
      </c>
      <c r="E12" s="184">
        <v>115522</v>
      </c>
      <c r="F12" s="184">
        <v>1821</v>
      </c>
      <c r="G12" s="185">
        <v>117343</v>
      </c>
      <c r="H12" s="186">
        <v>36448459</v>
      </c>
    </row>
    <row r="13" spans="1:8">
      <c r="A13" s="183" t="s">
        <v>18</v>
      </c>
      <c r="B13" s="184">
        <v>18868858</v>
      </c>
      <c r="C13" s="184">
        <v>5413971</v>
      </c>
      <c r="D13" s="185">
        <v>24282828</v>
      </c>
      <c r="E13" s="184">
        <v>145967</v>
      </c>
      <c r="F13" s="184">
        <v>2300</v>
      </c>
      <c r="G13" s="185">
        <v>148266</v>
      </c>
      <c r="H13" s="186">
        <v>24431094</v>
      </c>
    </row>
    <row r="14" spans="1:8">
      <c r="A14" s="183" t="s">
        <v>211</v>
      </c>
      <c r="B14" s="184">
        <v>8757836</v>
      </c>
      <c r="C14" s="184">
        <v>5020793</v>
      </c>
      <c r="D14" s="185">
        <v>13778630</v>
      </c>
      <c r="E14" s="184">
        <v>146564</v>
      </c>
      <c r="F14" s="184">
        <v>5853</v>
      </c>
      <c r="G14" s="185">
        <v>152417</v>
      </c>
      <c r="H14" s="186">
        <v>13931047</v>
      </c>
    </row>
    <row r="15" spans="1:8">
      <c r="A15" s="183" t="s">
        <v>17</v>
      </c>
      <c r="B15" s="184">
        <v>3099417</v>
      </c>
      <c r="C15" s="184">
        <v>1020377</v>
      </c>
      <c r="D15" s="185">
        <v>4119794</v>
      </c>
      <c r="E15" s="184">
        <v>115522</v>
      </c>
      <c r="F15" s="184">
        <v>1821</v>
      </c>
      <c r="G15" s="185">
        <v>117343</v>
      </c>
      <c r="H15" s="186">
        <v>4237137</v>
      </c>
    </row>
    <row r="16" spans="1:8">
      <c r="A16" s="183" t="s">
        <v>16</v>
      </c>
      <c r="B16" s="184">
        <v>753074</v>
      </c>
      <c r="C16" s="184">
        <v>729897</v>
      </c>
      <c r="D16" s="185">
        <v>1482971</v>
      </c>
      <c r="E16" s="184">
        <v>0</v>
      </c>
      <c r="F16" s="184">
        <v>0</v>
      </c>
      <c r="G16" s="185">
        <v>0</v>
      </c>
      <c r="H16" s="186">
        <v>1482971</v>
      </c>
    </row>
    <row r="17" spans="1:8">
      <c r="A17" s="183" t="s">
        <v>15</v>
      </c>
      <c r="B17" s="184">
        <v>4808542</v>
      </c>
      <c r="C17" s="184">
        <v>4557633</v>
      </c>
      <c r="D17" s="185">
        <v>9366175</v>
      </c>
      <c r="E17" s="184">
        <v>0</v>
      </c>
      <c r="F17" s="184">
        <v>0</v>
      </c>
      <c r="G17" s="185">
        <v>0</v>
      </c>
      <c r="H17" s="186">
        <v>9366175</v>
      </c>
    </row>
    <row r="18" spans="1:8">
      <c r="A18" s="183" t="s">
        <v>14</v>
      </c>
      <c r="B18" s="187">
        <v>8515661</v>
      </c>
      <c r="C18" s="187">
        <v>5820455</v>
      </c>
      <c r="D18" s="360">
        <v>14336116</v>
      </c>
      <c r="E18" s="187">
        <v>10320000</v>
      </c>
      <c r="F18" s="187">
        <v>0</v>
      </c>
      <c r="G18" s="360">
        <v>10320000</v>
      </c>
      <c r="H18" s="188">
        <v>24656116</v>
      </c>
    </row>
    <row r="19" spans="1:8" s="25" customFormat="1">
      <c r="A19" s="25" t="s">
        <v>1</v>
      </c>
      <c r="B19" s="26">
        <f t="shared" ref="B19:G19" si="0">SUM(B3:B18)</f>
        <v>132967224</v>
      </c>
      <c r="C19" s="26">
        <f t="shared" si="0"/>
        <v>55910817</v>
      </c>
      <c r="D19" s="26">
        <f t="shared" si="0"/>
        <v>188878041</v>
      </c>
      <c r="E19" s="26">
        <f t="shared" si="0"/>
        <v>19421071</v>
      </c>
      <c r="F19" s="26">
        <f t="shared" si="0"/>
        <v>147957</v>
      </c>
      <c r="G19" s="26">
        <f t="shared" si="0"/>
        <v>19569030</v>
      </c>
      <c r="H19" s="26">
        <f t="shared" ref="H19" si="1">D19+G19</f>
        <v>208447071</v>
      </c>
    </row>
    <row r="21" spans="1:8">
      <c r="A21" s="25" t="s">
        <v>0</v>
      </c>
    </row>
    <row r="22" spans="1:8" ht="16.5" customHeight="1">
      <c r="A22" s="229" t="s">
        <v>212</v>
      </c>
      <c r="B22" s="229"/>
      <c r="C22" s="229"/>
      <c r="D22" s="229"/>
      <c r="E22" s="229"/>
      <c r="F22" s="229"/>
      <c r="G22" s="229"/>
      <c r="H22" s="229"/>
    </row>
    <row r="23" spans="1:8" ht="17.25" customHeight="1">
      <c r="A23" s="229" t="s">
        <v>13</v>
      </c>
      <c r="B23" s="229"/>
      <c r="C23" s="229"/>
      <c r="D23" s="229"/>
      <c r="E23" s="229"/>
      <c r="F23" s="229"/>
      <c r="G23" s="229"/>
      <c r="H23" s="229"/>
    </row>
    <row r="24" spans="1:8">
      <c r="A24" s="96"/>
      <c r="B24" s="96"/>
      <c r="C24" s="96"/>
      <c r="D24" s="96"/>
      <c r="E24" s="96"/>
      <c r="F24" s="96"/>
      <c r="G24" s="96"/>
      <c r="H24" s="96"/>
    </row>
    <row r="25" spans="1:8">
      <c r="A25" s="21" t="s">
        <v>73</v>
      </c>
    </row>
    <row r="26" spans="1:8" ht="26.4" customHeight="1">
      <c r="A26" s="374" t="str">
        <f>"Total: $" &amp; TEXT(H19,"#.0,,") &amp; " million (Expense: $" &amp; TEXT(D19,"#.0,,") &amp; " million, Capital: $" &amp; TEXT(G19,"#.0,,") &amp; " million)"</f>
        <v>Total: $208.4 million (Expense: $188.9 million, Capital: $19.6 million)</v>
      </c>
      <c r="B26" s="374"/>
      <c r="C26" s="374"/>
      <c r="D26" s="374"/>
    </row>
  </sheetData>
  <mergeCells count="1">
    <mergeCell ref="A1:H1"/>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1"/>
  <sheetViews>
    <sheetView workbookViewId="0">
      <selection activeCell="A22" sqref="A22:XFD22"/>
    </sheetView>
  </sheetViews>
  <sheetFormatPr defaultColWidth="9.109375" defaultRowHeight="15"/>
  <cols>
    <col min="1" max="1" width="32.88671875" style="52" customWidth="1"/>
    <col min="2" max="2" width="17.109375" style="52" customWidth="1"/>
    <col min="3" max="6" width="17.109375" style="52" bestFit="1" customWidth="1"/>
    <col min="7" max="12" width="17.6640625" style="52" customWidth="1"/>
    <col min="13" max="14" width="18.44140625" style="52" customWidth="1"/>
    <col min="15" max="16384" width="9.109375" style="52"/>
  </cols>
  <sheetData>
    <row r="1" spans="1:16">
      <c r="A1" s="393" t="str">
        <f>"Figure 5: Costs by Fund, FY"&amp;N4</f>
        <v>Figure 5: Costs by Fund, FY2021</v>
      </c>
      <c r="B1" s="393"/>
      <c r="C1" s="393"/>
      <c r="D1" s="393"/>
      <c r="E1" s="393"/>
      <c r="F1" s="393"/>
      <c r="G1" s="393"/>
      <c r="H1" s="393"/>
      <c r="I1" s="393"/>
      <c r="J1" s="393"/>
      <c r="K1" s="393"/>
      <c r="L1" s="393"/>
    </row>
    <row r="2" spans="1:16">
      <c r="A2" s="54"/>
      <c r="B2" s="53"/>
      <c r="C2" s="53"/>
      <c r="D2" s="53"/>
      <c r="E2" s="53"/>
      <c r="F2" s="53"/>
    </row>
    <row r="3" spans="1:16">
      <c r="A3" s="53"/>
      <c r="B3" s="53"/>
      <c r="C3" s="53"/>
      <c r="D3" s="53"/>
      <c r="E3" s="53"/>
      <c r="F3" s="53"/>
    </row>
    <row r="4" spans="1:16" ht="17.399999999999999">
      <c r="A4" s="216" t="s">
        <v>337</v>
      </c>
      <c r="B4" s="215">
        <v>2008</v>
      </c>
      <c r="C4" s="215">
        <v>2010</v>
      </c>
      <c r="D4" s="215">
        <v>2011</v>
      </c>
      <c r="E4" s="215">
        <v>2012</v>
      </c>
      <c r="F4" s="215">
        <v>2013</v>
      </c>
      <c r="G4" s="215">
        <v>2014</v>
      </c>
      <c r="H4" s="215">
        <v>2015</v>
      </c>
      <c r="I4" s="215" t="s">
        <v>210</v>
      </c>
      <c r="J4" s="215">
        <v>2017</v>
      </c>
      <c r="K4" s="215">
        <v>2018</v>
      </c>
      <c r="L4" s="215">
        <v>2019</v>
      </c>
      <c r="M4" s="215">
        <v>2020</v>
      </c>
      <c r="N4" s="215">
        <v>2021</v>
      </c>
    </row>
    <row r="5" spans="1:16">
      <c r="A5" s="3" t="s">
        <v>183</v>
      </c>
      <c r="B5" s="199"/>
      <c r="C5" s="199">
        <v>88120408</v>
      </c>
      <c r="D5" s="199">
        <v>105257648</v>
      </c>
      <c r="E5" s="199">
        <v>109818406</v>
      </c>
      <c r="F5" s="200">
        <v>102742463.01000001</v>
      </c>
      <c r="G5" s="200">
        <v>93422644</v>
      </c>
      <c r="H5" s="200">
        <v>102350719.14</v>
      </c>
      <c r="I5" s="200">
        <v>103824064</v>
      </c>
      <c r="J5" s="200">
        <v>98720366</v>
      </c>
      <c r="K5" s="200">
        <v>96641476</v>
      </c>
      <c r="L5" s="200">
        <v>84178235</v>
      </c>
      <c r="M5" s="200">
        <v>75452137</v>
      </c>
      <c r="N5" s="200">
        <v>94918509</v>
      </c>
    </row>
    <row r="6" spans="1:16" ht="17.399999999999999">
      <c r="A6" s="3" t="s">
        <v>413</v>
      </c>
      <c r="B6" s="199">
        <v>31917878</v>
      </c>
      <c r="C6" s="199"/>
      <c r="D6" s="199"/>
      <c r="E6" s="199"/>
      <c r="F6" s="200"/>
      <c r="G6" s="200"/>
      <c r="H6" s="200"/>
      <c r="I6" s="200"/>
      <c r="J6" s="200"/>
      <c r="K6" s="200"/>
      <c r="L6" s="200"/>
      <c r="M6" s="200"/>
      <c r="N6" s="200"/>
      <c r="P6" s="58"/>
    </row>
    <row r="7" spans="1:16">
      <c r="A7" s="57" t="s">
        <v>411</v>
      </c>
      <c r="B7" s="199"/>
      <c r="C7" s="199">
        <v>64187623</v>
      </c>
      <c r="D7" s="199">
        <v>79829739</v>
      </c>
      <c r="E7" s="199">
        <v>76351240</v>
      </c>
      <c r="F7" s="200">
        <v>75238564.810000002</v>
      </c>
      <c r="G7" s="200">
        <v>53057116.689999998</v>
      </c>
      <c r="H7" s="200">
        <v>78332688.890000001</v>
      </c>
      <c r="I7" s="200">
        <v>56932653</v>
      </c>
      <c r="J7" s="200">
        <v>57033262</v>
      </c>
      <c r="K7" s="200">
        <v>57573752</v>
      </c>
      <c r="L7" s="200">
        <v>57509278</v>
      </c>
      <c r="M7" s="200">
        <v>54086446</v>
      </c>
      <c r="N7" s="200">
        <v>61146071.131080814</v>
      </c>
    </row>
    <row r="8" spans="1:16">
      <c r="A8" s="57" t="s">
        <v>412</v>
      </c>
      <c r="B8" s="199"/>
      <c r="C8" s="199">
        <v>20983783</v>
      </c>
      <c r="D8" s="199">
        <v>37606835</v>
      </c>
      <c r="E8" s="199">
        <v>45782424</v>
      </c>
      <c r="F8" s="200">
        <v>48583014.189999998</v>
      </c>
      <c r="G8" s="200">
        <v>50913614.200000003</v>
      </c>
      <c r="H8" s="200">
        <v>36986093.710000001</v>
      </c>
      <c r="I8" s="200">
        <v>48793368</v>
      </c>
      <c r="J8" s="200">
        <v>46988392</v>
      </c>
      <c r="K8" s="200">
        <v>66808002</v>
      </c>
      <c r="L8" s="200">
        <v>70365137</v>
      </c>
      <c r="M8" s="200">
        <v>80266680</v>
      </c>
      <c r="N8" s="200">
        <v>76218148.868919179</v>
      </c>
    </row>
    <row r="9" spans="1:16">
      <c r="A9" s="3" t="s">
        <v>72</v>
      </c>
      <c r="B9" s="199">
        <v>130932844.03999999</v>
      </c>
      <c r="C9" s="199">
        <v>51765457</v>
      </c>
      <c r="D9" s="199">
        <v>73608793</v>
      </c>
      <c r="E9" s="199">
        <v>58956587</v>
      </c>
      <c r="F9" s="200">
        <v>48813940.990000002</v>
      </c>
      <c r="G9" s="200">
        <v>54828830</v>
      </c>
      <c r="H9" s="200">
        <v>44748863.060000002</v>
      </c>
      <c r="I9" s="200">
        <v>47558238</v>
      </c>
      <c r="J9" s="200">
        <v>40649455</v>
      </c>
      <c r="K9" s="200">
        <v>45108946</v>
      </c>
      <c r="L9" s="200">
        <v>23354937</v>
      </c>
      <c r="M9" s="200">
        <v>41369889</v>
      </c>
      <c r="N9" s="200">
        <v>35229779</v>
      </c>
    </row>
    <row r="10" spans="1:16" ht="17.399999999999999">
      <c r="A10" s="3" t="s">
        <v>402</v>
      </c>
      <c r="B10" s="199">
        <v>11562285</v>
      </c>
      <c r="C10" s="199">
        <v>14530682</v>
      </c>
      <c r="D10" s="199">
        <v>14911880</v>
      </c>
      <c r="E10" s="199">
        <v>15501115</v>
      </c>
      <c r="F10" s="200">
        <v>15723909</v>
      </c>
      <c r="G10" s="200">
        <v>16911905</v>
      </c>
      <c r="H10" s="200">
        <v>17132184</v>
      </c>
      <c r="I10" s="200">
        <v>17063851</v>
      </c>
      <c r="J10" s="200">
        <v>16566061</v>
      </c>
      <c r="K10" s="200">
        <v>12567914</v>
      </c>
      <c r="L10" s="200">
        <v>15445314</v>
      </c>
      <c r="M10" s="200">
        <v>15245805</v>
      </c>
      <c r="N10" s="200">
        <v>15493817</v>
      </c>
    </row>
    <row r="11" spans="1:16">
      <c r="A11" s="3" t="s">
        <v>238</v>
      </c>
      <c r="B11" s="199"/>
      <c r="C11" s="199"/>
      <c r="D11" s="199"/>
      <c r="E11" s="199"/>
      <c r="F11" s="200"/>
      <c r="G11" s="200"/>
      <c r="H11" s="200"/>
      <c r="I11" s="200"/>
      <c r="J11" s="200"/>
      <c r="K11" s="200">
        <v>10367580</v>
      </c>
      <c r="L11" s="200">
        <v>11607301</v>
      </c>
      <c r="M11" s="200">
        <v>11601030</v>
      </c>
      <c r="N11" s="200">
        <v>12327352</v>
      </c>
    </row>
    <row r="12" spans="1:16">
      <c r="A12" s="56" t="s">
        <v>71</v>
      </c>
      <c r="B12" s="55">
        <f t="shared" ref="B12:N12" si="0">SUM(B5:B11)</f>
        <v>174413007.03999999</v>
      </c>
      <c r="C12" s="55">
        <f t="shared" si="0"/>
        <v>239587953</v>
      </c>
      <c r="D12" s="55">
        <f t="shared" si="0"/>
        <v>311214895</v>
      </c>
      <c r="E12" s="55">
        <f t="shared" si="0"/>
        <v>306409772</v>
      </c>
      <c r="F12" s="55">
        <f t="shared" si="0"/>
        <v>291101892</v>
      </c>
      <c r="G12" s="55">
        <f t="shared" si="0"/>
        <v>269134109.88999999</v>
      </c>
      <c r="H12" s="55">
        <f t="shared" si="0"/>
        <v>279550548.80000001</v>
      </c>
      <c r="I12" s="55">
        <f t="shared" si="0"/>
        <v>274172174</v>
      </c>
      <c r="J12" s="55">
        <f t="shared" si="0"/>
        <v>259957536</v>
      </c>
      <c r="K12" s="55">
        <f t="shared" ref="K12" si="1">SUM(K5:K11)</f>
        <v>289067670</v>
      </c>
      <c r="L12" s="55">
        <f t="shared" ref="L12" si="2">SUM(L5:L11)</f>
        <v>262460202</v>
      </c>
      <c r="M12" s="55">
        <f t="shared" ref="M12" si="3">SUM(M5:M11)</f>
        <v>278021987</v>
      </c>
      <c r="N12" s="55">
        <f t="shared" si="0"/>
        <v>295333677</v>
      </c>
    </row>
    <row r="13" spans="1:16">
      <c r="A13" s="53"/>
      <c r="B13" s="53"/>
      <c r="C13" s="53"/>
      <c r="D13" s="53"/>
      <c r="E13" s="53"/>
      <c r="F13" s="53"/>
    </row>
    <row r="14" spans="1:16">
      <c r="A14" s="53"/>
      <c r="B14" s="53"/>
      <c r="C14" s="53"/>
      <c r="D14" s="53"/>
      <c r="E14" s="53"/>
      <c r="F14" s="53"/>
    </row>
    <row r="15" spans="1:16">
      <c r="A15" s="54" t="s">
        <v>0</v>
      </c>
      <c r="B15" s="53"/>
      <c r="C15" s="53"/>
      <c r="D15" s="53"/>
      <c r="E15" s="53"/>
      <c r="F15" s="53"/>
    </row>
    <row r="16" spans="1:16" ht="17.25" customHeight="1">
      <c r="A16" s="231" t="s">
        <v>339</v>
      </c>
      <c r="B16" s="224"/>
      <c r="C16" s="224"/>
      <c r="D16" s="224"/>
      <c r="E16" s="224"/>
      <c r="F16" s="224"/>
      <c r="G16" s="224"/>
      <c r="H16" s="224"/>
      <c r="I16" s="224"/>
      <c r="J16" s="224"/>
      <c r="K16" s="224"/>
      <c r="L16" s="224"/>
      <c r="M16" s="224"/>
      <c r="N16" s="224"/>
    </row>
    <row r="17" spans="1:15" ht="18.600000000000001" customHeight="1">
      <c r="A17" s="231" t="s">
        <v>414</v>
      </c>
      <c r="B17" s="224"/>
      <c r="C17" s="224"/>
      <c r="D17" s="224"/>
      <c r="E17" s="224"/>
      <c r="F17" s="224"/>
      <c r="G17" s="224"/>
      <c r="H17" s="224"/>
      <c r="I17" s="224"/>
      <c r="J17" s="224"/>
      <c r="K17" s="224"/>
      <c r="L17" s="224"/>
      <c r="M17" s="224"/>
      <c r="N17" s="224"/>
    </row>
    <row r="18" spans="1:15" ht="18.600000000000001" customHeight="1">
      <c r="A18" s="231" t="s">
        <v>403</v>
      </c>
      <c r="B18" s="224"/>
      <c r="C18" s="224"/>
      <c r="D18" s="224"/>
      <c r="E18" s="224"/>
      <c r="F18" s="224"/>
      <c r="G18" s="224"/>
      <c r="H18" s="224"/>
      <c r="I18" s="224"/>
      <c r="J18" s="224"/>
      <c r="K18" s="224"/>
      <c r="L18" s="224"/>
      <c r="M18" s="224"/>
      <c r="N18" s="224"/>
    </row>
    <row r="19" spans="1:15" ht="18.600000000000001" customHeight="1">
      <c r="A19" s="231" t="s">
        <v>433</v>
      </c>
      <c r="B19" s="230"/>
      <c r="C19" s="230"/>
      <c r="D19" s="230"/>
      <c r="E19" s="230"/>
      <c r="F19" s="230"/>
      <c r="G19" s="230"/>
      <c r="H19" s="230"/>
      <c r="I19" s="230"/>
      <c r="J19" s="230"/>
      <c r="K19" s="230"/>
      <c r="L19" s="230"/>
      <c r="M19" s="230"/>
      <c r="N19" s="230"/>
      <c r="O19" s="180"/>
    </row>
    <row r="20" spans="1:15" ht="18.600000000000001" customHeight="1">
      <c r="A20" s="231"/>
      <c r="B20" s="224"/>
      <c r="C20" s="224"/>
      <c r="D20" s="224"/>
      <c r="E20" s="224"/>
      <c r="F20" s="224"/>
      <c r="G20" s="224"/>
      <c r="H20" s="224"/>
      <c r="I20" s="224"/>
      <c r="J20" s="224"/>
      <c r="K20" s="224"/>
      <c r="L20" s="224"/>
      <c r="M20" s="224"/>
      <c r="N20" s="224"/>
      <c r="O20" s="180"/>
    </row>
    <row r="22" spans="1:15" hidden="1">
      <c r="A22" s="102" t="str">
        <f>N4&amp;" (make sure these formulas catch last column)"</f>
        <v>2021 (make sure these formulas catch last column)</v>
      </c>
    </row>
    <row r="23" spans="1:15">
      <c r="A23" s="52" t="s">
        <v>442</v>
      </c>
      <c r="B23" s="59">
        <f>N5</f>
        <v>94918509</v>
      </c>
    </row>
    <row r="24" spans="1:15">
      <c r="A24" s="52" t="s">
        <v>451</v>
      </c>
      <c r="B24" s="59">
        <f>N7</f>
        <v>61146071.131080814</v>
      </c>
    </row>
    <row r="25" spans="1:15">
      <c r="A25" s="52" t="s">
        <v>452</v>
      </c>
      <c r="B25" s="59">
        <f>N8</f>
        <v>76218148.868919179</v>
      </c>
    </row>
    <row r="26" spans="1:15">
      <c r="A26" s="52" t="s">
        <v>443</v>
      </c>
      <c r="B26" s="59">
        <f>N9</f>
        <v>35229779</v>
      </c>
    </row>
    <row r="27" spans="1:15">
      <c r="A27" s="52" t="s">
        <v>444</v>
      </c>
      <c r="B27" s="59">
        <f t="shared" ref="B27" si="4">N10</f>
        <v>15493817</v>
      </c>
    </row>
    <row r="28" spans="1:15">
      <c r="A28" s="52" t="s">
        <v>238</v>
      </c>
      <c r="B28" s="59">
        <f t="shared" ref="B28" si="5">N11</f>
        <v>12327352</v>
      </c>
    </row>
    <row r="30" spans="1:15">
      <c r="A30" s="102" t="s">
        <v>74</v>
      </c>
    </row>
    <row r="31" spans="1:15">
      <c r="A31" s="52" t="str">
        <f>SUBSTITUTE(subtitle,", not included","")</f>
        <v>Total: $295.5 million includes $41.9 million in obligations to capital projects, plus General and Administrative (G&amp;A) expenses ($12.3 million), and Columbia River System Operations Review/Environmental Impact Statement expenses ($0.2 million)</v>
      </c>
    </row>
    <row r="51" ht="30" customHeight="1"/>
  </sheetData>
  <mergeCells count="1">
    <mergeCell ref="A1:L1"/>
  </mergeCells>
  <pageMargins left="0.34" right="0.37" top="1" bottom="1" header="0.5" footer="0.5"/>
  <pageSetup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3"/>
  <sheetViews>
    <sheetView topLeftCell="A25" workbookViewId="0">
      <selection activeCell="B23" sqref="B23"/>
    </sheetView>
  </sheetViews>
  <sheetFormatPr defaultColWidth="9.109375" defaultRowHeight="13.2"/>
  <cols>
    <col min="1" max="1" width="41.88671875" style="1" customWidth="1"/>
    <col min="2" max="2" width="15.44140625" style="61" customWidth="1"/>
    <col min="3" max="3" width="15.44140625" style="1" bestFit="1" customWidth="1"/>
    <col min="4" max="4" width="15.44140625" style="60" bestFit="1" customWidth="1"/>
    <col min="5" max="6" width="15.44140625" style="1" bestFit="1" customWidth="1"/>
    <col min="7" max="12" width="15.44140625" style="1" customWidth="1"/>
    <col min="13" max="13" width="17.6640625" style="1" customWidth="1"/>
    <col min="14" max="16" width="16.6640625" style="1" customWidth="1"/>
    <col min="17" max="17" width="17.33203125" style="1" customWidth="1"/>
    <col min="18" max="16384" width="9.109375" style="1"/>
  </cols>
  <sheetData>
    <row r="1" spans="1:18" s="63" customFormat="1" ht="30.75" customHeight="1">
      <c r="A1" s="394" t="str">
        <f>"Figure 6A: Costs by Category, FY"&amp;P2</f>
        <v>Figure 6A: Costs by Category, FY2021</v>
      </c>
      <c r="B1" s="394"/>
      <c r="C1" s="394"/>
      <c r="D1" s="394"/>
      <c r="E1" s="394"/>
      <c r="F1" s="394"/>
      <c r="G1" s="394"/>
      <c r="H1" s="394"/>
      <c r="I1" s="394"/>
      <c r="J1" s="394"/>
      <c r="K1" s="394"/>
      <c r="L1" s="394"/>
    </row>
    <row r="2" spans="1:18" s="72" customFormat="1" ht="17.399999999999999">
      <c r="A2" s="214" t="s">
        <v>12</v>
      </c>
      <c r="B2" s="214">
        <v>2007</v>
      </c>
      <c r="C2" s="214">
        <v>2008</v>
      </c>
      <c r="D2" s="214">
        <v>2009</v>
      </c>
      <c r="E2" s="214">
        <v>2010</v>
      </c>
      <c r="F2" s="214">
        <v>2011</v>
      </c>
      <c r="G2" s="214">
        <v>2012</v>
      </c>
      <c r="H2" s="214">
        <v>2013</v>
      </c>
      <c r="I2" s="214">
        <v>2014</v>
      </c>
      <c r="J2" s="214">
        <v>2015</v>
      </c>
      <c r="K2" s="214" t="s">
        <v>214</v>
      </c>
      <c r="L2" s="214">
        <v>2017</v>
      </c>
      <c r="M2" s="214">
        <v>2018</v>
      </c>
      <c r="N2" s="214">
        <v>2019</v>
      </c>
      <c r="O2" s="214">
        <v>2020</v>
      </c>
      <c r="P2" s="214">
        <v>2021</v>
      </c>
      <c r="Q2" s="75" t="s">
        <v>78</v>
      </c>
      <c r="R2" s="75" t="s">
        <v>202</v>
      </c>
    </row>
    <row r="3" spans="1:18" s="63" customFormat="1" ht="15">
      <c r="A3" s="71" t="s">
        <v>184</v>
      </c>
      <c r="B3" s="114">
        <v>7393716.5499999467</v>
      </c>
      <c r="C3" s="114">
        <v>15227116</v>
      </c>
      <c r="D3" s="114">
        <v>18618170</v>
      </c>
      <c r="E3" s="114">
        <v>22462594.310000002</v>
      </c>
      <c r="F3" s="114">
        <v>25185796</v>
      </c>
      <c r="G3" s="114">
        <v>28135259</v>
      </c>
      <c r="H3" s="114">
        <v>30074159.880000003</v>
      </c>
      <c r="I3" s="114">
        <v>13294304.619999999</v>
      </c>
      <c r="J3" s="115">
        <v>13500244.51</v>
      </c>
      <c r="K3" s="114">
        <v>13778450</v>
      </c>
      <c r="L3" s="115">
        <v>13866904.550000001</v>
      </c>
      <c r="M3" s="115">
        <v>12490178</v>
      </c>
      <c r="N3" s="115">
        <v>11396071</v>
      </c>
      <c r="O3" s="189">
        <v>11440413</v>
      </c>
      <c r="P3" s="189">
        <v>11096346</v>
      </c>
      <c r="Q3" s="119">
        <f>P3</f>
        <v>11096346</v>
      </c>
      <c r="R3" s="71" t="s">
        <v>184</v>
      </c>
    </row>
    <row r="4" spans="1:18" s="63" customFormat="1" ht="17.399999999999999">
      <c r="A4" s="71" t="s">
        <v>213</v>
      </c>
      <c r="B4" s="114"/>
      <c r="C4" s="114"/>
      <c r="D4" s="114"/>
      <c r="E4" s="114"/>
      <c r="F4" s="114"/>
      <c r="G4" s="114"/>
      <c r="H4" s="114"/>
      <c r="I4" s="114">
        <v>14616141.960000001</v>
      </c>
      <c r="J4" s="115">
        <v>14404354.34</v>
      </c>
      <c r="K4" s="114">
        <v>15213335</v>
      </c>
      <c r="L4" s="115">
        <v>14542930.67</v>
      </c>
      <c r="M4" s="115">
        <v>11036776</v>
      </c>
      <c r="N4" s="115">
        <v>11677755</v>
      </c>
      <c r="O4" s="189">
        <v>11642926</v>
      </c>
      <c r="P4" s="189">
        <v>11906296</v>
      </c>
      <c r="Q4" s="119">
        <f>P4</f>
        <v>11906296</v>
      </c>
      <c r="R4" s="71" t="s">
        <v>445</v>
      </c>
    </row>
    <row r="5" spans="1:18" s="63" customFormat="1" ht="15">
      <c r="A5" s="71" t="s">
        <v>41</v>
      </c>
      <c r="B5" s="114">
        <v>206545.32</v>
      </c>
      <c r="C5" s="114">
        <v>2803385</v>
      </c>
      <c r="D5" s="114">
        <v>3964851</v>
      </c>
      <c r="E5" s="114">
        <v>4199379.4000000004</v>
      </c>
      <c r="F5" s="65">
        <v>4319007</v>
      </c>
      <c r="G5" s="65">
        <v>4130748</v>
      </c>
      <c r="H5" s="65">
        <v>3980350.71</v>
      </c>
      <c r="I5" s="65">
        <v>4244806.68</v>
      </c>
      <c r="J5" s="65">
        <v>4077673.9</v>
      </c>
      <c r="K5" s="65">
        <v>7152515</v>
      </c>
      <c r="L5" s="65">
        <v>6798515.7999999998</v>
      </c>
      <c r="M5" s="65">
        <v>5980713</v>
      </c>
      <c r="N5" s="65">
        <v>4792926</v>
      </c>
      <c r="O5" s="189">
        <v>4000012</v>
      </c>
      <c r="P5" s="189">
        <v>5141190.7600000007</v>
      </c>
      <c r="Q5" s="119">
        <f t="shared" ref="Q5:Q11" si="0">P5</f>
        <v>5141190.7600000007</v>
      </c>
      <c r="R5" s="71" t="s">
        <v>41</v>
      </c>
    </row>
    <row r="6" spans="1:18" s="63" customFormat="1" ht="15">
      <c r="A6" s="71" t="s">
        <v>185</v>
      </c>
      <c r="B6" s="114">
        <v>65391134.799999997</v>
      </c>
      <c r="C6" s="114">
        <v>60793513</v>
      </c>
      <c r="D6" s="114">
        <v>76781454</v>
      </c>
      <c r="E6" s="114">
        <v>80386908.619999975</v>
      </c>
      <c r="F6" s="65">
        <v>123373947</v>
      </c>
      <c r="G6" s="65">
        <v>122609228</v>
      </c>
      <c r="H6" s="65">
        <v>118831308.82000001</v>
      </c>
      <c r="I6" s="65">
        <v>102422790.40000001</v>
      </c>
      <c r="J6" s="65">
        <v>124435134.92</v>
      </c>
      <c r="K6" s="65">
        <v>117933009</v>
      </c>
      <c r="L6" s="65">
        <v>98185616.640000001</v>
      </c>
      <c r="M6" s="65">
        <v>123250425</v>
      </c>
      <c r="N6" s="65">
        <v>95407540</v>
      </c>
      <c r="O6" s="189">
        <v>102910269</v>
      </c>
      <c r="P6" s="189">
        <v>122044125.41000001</v>
      </c>
      <c r="Q6" s="119">
        <f t="shared" si="0"/>
        <v>122044125.41000001</v>
      </c>
      <c r="R6" s="71" t="s">
        <v>185</v>
      </c>
    </row>
    <row r="7" spans="1:18" s="63" customFormat="1" ht="36.75" customHeight="1">
      <c r="A7" s="71" t="s">
        <v>40</v>
      </c>
      <c r="B7" s="114">
        <v>447384.8</v>
      </c>
      <c r="C7" s="114">
        <v>3674945</v>
      </c>
      <c r="D7" s="114">
        <v>3417255</v>
      </c>
      <c r="E7" s="114">
        <v>3241565.96</v>
      </c>
      <c r="F7" s="65">
        <v>3599302</v>
      </c>
      <c r="G7" s="65">
        <v>4429624</v>
      </c>
      <c r="H7" s="65">
        <v>4077995.11</v>
      </c>
      <c r="I7" s="65">
        <v>4062872.09</v>
      </c>
      <c r="J7" s="65">
        <v>4248774.49</v>
      </c>
      <c r="K7" s="65">
        <v>4206148</v>
      </c>
      <c r="L7" s="65">
        <v>4321384.6500000004</v>
      </c>
      <c r="M7" s="65">
        <v>6599734</v>
      </c>
      <c r="N7" s="65">
        <v>4345080</v>
      </c>
      <c r="O7" s="189">
        <v>4367674</v>
      </c>
      <c r="P7" s="189">
        <v>5246418.55</v>
      </c>
      <c r="Q7" s="119">
        <f t="shared" si="0"/>
        <v>5246418.55</v>
      </c>
      <c r="R7" s="71" t="s">
        <v>40</v>
      </c>
    </row>
    <row r="8" spans="1:18" s="63" customFormat="1" ht="37.5" customHeight="1">
      <c r="A8" s="71" t="s">
        <v>77</v>
      </c>
      <c r="B8" s="114">
        <v>36296239.659999982</v>
      </c>
      <c r="C8" s="114">
        <v>25638528</v>
      </c>
      <c r="D8" s="114">
        <v>28175648</v>
      </c>
      <c r="E8" s="114">
        <v>45271831.170000017</v>
      </c>
      <c r="F8" s="65">
        <v>61846889</v>
      </c>
      <c r="G8" s="65">
        <v>53165835</v>
      </c>
      <c r="H8" s="65">
        <v>50024766.200000003</v>
      </c>
      <c r="I8" s="65">
        <v>45146278.850000001</v>
      </c>
      <c r="J8" s="116">
        <v>32202008.149999999</v>
      </c>
      <c r="K8" s="65">
        <v>31490426</v>
      </c>
      <c r="L8" s="116">
        <v>34872455.259999998</v>
      </c>
      <c r="M8" s="116">
        <v>36978108</v>
      </c>
      <c r="N8" s="116">
        <v>41775457</v>
      </c>
      <c r="O8" s="189">
        <v>55046556</v>
      </c>
      <c r="P8" s="189">
        <v>46496391.919999987</v>
      </c>
      <c r="Q8" s="119">
        <f t="shared" si="0"/>
        <v>46496391.919999987</v>
      </c>
      <c r="R8" s="71" t="s">
        <v>77</v>
      </c>
    </row>
    <row r="9" spans="1:18" s="63" customFormat="1" ht="15">
      <c r="A9" s="71" t="s">
        <v>39</v>
      </c>
      <c r="B9" s="114"/>
      <c r="C9" s="114">
        <v>1119159</v>
      </c>
      <c r="D9" s="114">
        <v>705064</v>
      </c>
      <c r="E9" s="114">
        <v>656356.34</v>
      </c>
      <c r="F9" s="65">
        <v>805250</v>
      </c>
      <c r="G9" s="65">
        <v>853122</v>
      </c>
      <c r="H9" s="65">
        <v>750779.54</v>
      </c>
      <c r="I9" s="65">
        <v>883679.1</v>
      </c>
      <c r="J9" s="65">
        <v>865989.83</v>
      </c>
      <c r="K9" s="65">
        <v>800717</v>
      </c>
      <c r="L9" s="65">
        <v>1007595</v>
      </c>
      <c r="M9" s="65">
        <v>939310</v>
      </c>
      <c r="N9" s="65">
        <v>921482</v>
      </c>
      <c r="O9" s="189">
        <v>1078454</v>
      </c>
      <c r="P9" s="189">
        <v>937863.16</v>
      </c>
      <c r="Q9" s="119">
        <f t="shared" si="0"/>
        <v>937863.16</v>
      </c>
      <c r="R9" s="71" t="s">
        <v>39</v>
      </c>
    </row>
    <row r="10" spans="1:18" s="63" customFormat="1" ht="15">
      <c r="A10" s="71" t="s">
        <v>38</v>
      </c>
      <c r="B10" s="114"/>
      <c r="C10" s="114">
        <v>3208172</v>
      </c>
      <c r="D10" s="114">
        <v>3284130</v>
      </c>
      <c r="E10" s="114">
        <v>3549111.76</v>
      </c>
      <c r="F10" s="65">
        <v>2983190</v>
      </c>
      <c r="G10" s="65">
        <v>3558732</v>
      </c>
      <c r="H10" s="65">
        <v>3309063.57</v>
      </c>
      <c r="I10" s="65">
        <v>3879435.13</v>
      </c>
      <c r="J10" s="65">
        <v>3614166.46</v>
      </c>
      <c r="K10" s="65">
        <v>4251762</v>
      </c>
      <c r="L10" s="65">
        <v>4211395.18</v>
      </c>
      <c r="M10" s="65">
        <v>3392431</v>
      </c>
      <c r="N10" s="65">
        <v>5301185</v>
      </c>
      <c r="O10" s="189">
        <v>3733535</v>
      </c>
      <c r="P10" s="189">
        <v>4087548.31</v>
      </c>
      <c r="Q10" s="119">
        <f t="shared" si="0"/>
        <v>4087548.31</v>
      </c>
      <c r="R10" s="71" t="s">
        <v>38</v>
      </c>
    </row>
    <row r="11" spans="1:18" s="63" customFormat="1" ht="15">
      <c r="A11" s="71" t="s">
        <v>76</v>
      </c>
      <c r="B11" s="114"/>
      <c r="C11" s="114">
        <v>61948189</v>
      </c>
      <c r="D11" s="114">
        <v>70325233</v>
      </c>
      <c r="E11" s="114">
        <v>79820205.509999946</v>
      </c>
      <c r="F11" s="166">
        <v>89101514</v>
      </c>
      <c r="G11" s="166">
        <v>89527224</v>
      </c>
      <c r="H11" s="166">
        <v>80053468.640000001</v>
      </c>
      <c r="I11" s="166">
        <v>80583800.829999998</v>
      </c>
      <c r="J11" s="166">
        <v>82202202.650000006</v>
      </c>
      <c r="K11" s="166">
        <v>79345812</v>
      </c>
      <c r="L11" s="166">
        <v>82150738.269999996</v>
      </c>
      <c r="M11" s="166">
        <v>78032415</v>
      </c>
      <c r="N11" s="166">
        <v>75235405</v>
      </c>
      <c r="O11" s="189">
        <v>72201118</v>
      </c>
      <c r="P11" s="189">
        <v>76050145.24999997</v>
      </c>
      <c r="Q11" s="167">
        <f t="shared" si="0"/>
        <v>76050145.24999997</v>
      </c>
      <c r="R11" s="71" t="s">
        <v>76</v>
      </c>
    </row>
    <row r="12" spans="1:18" s="63" customFormat="1" ht="15">
      <c r="A12" s="71" t="s">
        <v>238</v>
      </c>
      <c r="B12" s="114"/>
      <c r="C12" s="114"/>
      <c r="D12" s="114"/>
      <c r="E12" s="114"/>
      <c r="F12" s="166"/>
      <c r="G12" s="166"/>
      <c r="H12" s="166"/>
      <c r="I12" s="166"/>
      <c r="J12" s="166"/>
      <c r="K12" s="166"/>
      <c r="L12" s="166"/>
      <c r="M12" s="166">
        <v>10367580</v>
      </c>
      <c r="N12" s="166">
        <v>11607301</v>
      </c>
      <c r="O12" s="189">
        <v>11601030</v>
      </c>
      <c r="P12" s="189">
        <v>12327352</v>
      </c>
      <c r="Q12" s="167">
        <f t="shared" ref="Q12:Q13" si="1">P12</f>
        <v>12327352</v>
      </c>
      <c r="R12" s="71" t="s">
        <v>238</v>
      </c>
    </row>
    <row r="13" spans="1:18" s="63" customFormat="1" ht="15">
      <c r="A13" s="70" t="s">
        <v>239</v>
      </c>
      <c r="B13" s="114"/>
      <c r="C13" s="114"/>
      <c r="D13" s="114"/>
      <c r="E13" s="114"/>
      <c r="F13" s="65"/>
      <c r="G13" s="65"/>
      <c r="H13" s="65"/>
      <c r="I13" s="65"/>
      <c r="J13" s="65"/>
      <c r="K13" s="65"/>
      <c r="L13" s="65"/>
      <c r="M13" s="65">
        <v>304457</v>
      </c>
      <c r="N13" s="65">
        <v>254958</v>
      </c>
      <c r="O13" s="189">
        <v>213881</v>
      </c>
      <c r="P13" s="189">
        <v>179587</v>
      </c>
      <c r="Q13" s="119">
        <f t="shared" si="1"/>
        <v>179587</v>
      </c>
      <c r="R13" s="71" t="s">
        <v>239</v>
      </c>
    </row>
    <row r="14" spans="1:18" s="66" customFormat="1" ht="15">
      <c r="A14" s="69" t="s">
        <v>37</v>
      </c>
      <c r="B14" s="68">
        <f t="shared" ref="B14:E14" si="2">SUM(B3:B13)</f>
        <v>109735021.12999992</v>
      </c>
      <c r="C14" s="68">
        <f t="shared" si="2"/>
        <v>174413007</v>
      </c>
      <c r="D14" s="68">
        <f t="shared" si="2"/>
        <v>205271805</v>
      </c>
      <c r="E14" s="68">
        <f t="shared" si="2"/>
        <v>239587953.06999993</v>
      </c>
      <c r="F14" s="68">
        <f>SUM(F3:F13)</f>
        <v>311214895</v>
      </c>
      <c r="G14" s="68">
        <f t="shared" ref="G14:P14" si="3">SUM(G3:G13)</f>
        <v>306409772</v>
      </c>
      <c r="H14" s="68">
        <f t="shared" si="3"/>
        <v>291101892.47000003</v>
      </c>
      <c r="I14" s="68">
        <f t="shared" si="3"/>
        <v>269134109.65999997</v>
      </c>
      <c r="J14" s="68">
        <f t="shared" si="3"/>
        <v>279550549.25000006</v>
      </c>
      <c r="K14" s="68">
        <f t="shared" si="3"/>
        <v>274172174</v>
      </c>
      <c r="L14" s="68">
        <f t="shared" si="3"/>
        <v>259957536.01999998</v>
      </c>
      <c r="M14" s="68">
        <f t="shared" ref="M14:N14" si="4">SUM(M3:M13)</f>
        <v>289372127</v>
      </c>
      <c r="N14" s="68">
        <f t="shared" si="4"/>
        <v>262715160</v>
      </c>
      <c r="O14" s="68"/>
      <c r="P14" s="68">
        <f t="shared" si="3"/>
        <v>295513264.36000001</v>
      </c>
    </row>
    <row r="15" spans="1:18" s="63" customFormat="1" ht="15">
      <c r="A15" s="64"/>
      <c r="B15" s="65"/>
      <c r="C15" s="64"/>
      <c r="D15" s="65"/>
      <c r="E15" s="64"/>
      <c r="F15" s="64"/>
    </row>
    <row r="16" spans="1:18" ht="15">
      <c r="A16" s="47" t="s">
        <v>0</v>
      </c>
      <c r="B16" s="49"/>
      <c r="C16" s="47"/>
      <c r="D16" s="49"/>
      <c r="E16" s="47"/>
      <c r="F16" s="47"/>
    </row>
    <row r="17" spans="1:16" ht="15">
      <c r="A17" s="395" t="s">
        <v>237</v>
      </c>
      <c r="B17" s="395"/>
      <c r="C17" s="395"/>
      <c r="D17" s="395"/>
      <c r="E17" s="395"/>
      <c r="F17" s="395"/>
      <c r="G17" s="395"/>
      <c r="H17" s="395"/>
      <c r="I17" s="395"/>
      <c r="J17" s="395"/>
      <c r="K17" s="395"/>
      <c r="L17" s="395"/>
      <c r="M17" s="395"/>
      <c r="N17" s="395"/>
      <c r="O17" s="395"/>
      <c r="P17" s="395"/>
    </row>
    <row r="18" spans="1:16" ht="15">
      <c r="A18" s="396" t="s">
        <v>75</v>
      </c>
      <c r="B18" s="396"/>
      <c r="C18" s="396"/>
      <c r="D18" s="396"/>
      <c r="E18" s="396"/>
      <c r="F18" s="396"/>
      <c r="G18" s="396"/>
      <c r="H18" s="396"/>
      <c r="I18" s="396"/>
      <c r="J18" s="396"/>
      <c r="K18" s="396"/>
      <c r="L18" s="396"/>
      <c r="M18" s="396"/>
      <c r="N18" s="396"/>
      <c r="O18" s="396"/>
      <c r="P18" s="396"/>
    </row>
    <row r="19" spans="1:16" ht="17.25" customHeight="1">
      <c r="A19" s="396" t="s">
        <v>434</v>
      </c>
      <c r="B19" s="396"/>
      <c r="C19" s="396"/>
      <c r="D19" s="396"/>
      <c r="E19" s="396"/>
      <c r="F19" s="396"/>
      <c r="G19" s="396"/>
      <c r="H19" s="396"/>
      <c r="I19" s="396"/>
      <c r="J19" s="396"/>
      <c r="K19" s="396"/>
      <c r="L19" s="396"/>
      <c r="M19" s="396"/>
      <c r="N19" s="396"/>
      <c r="O19" s="396"/>
      <c r="P19" s="396"/>
    </row>
    <row r="20" spans="1:16" ht="17.25" customHeight="1">
      <c r="A20" s="396" t="s">
        <v>404</v>
      </c>
      <c r="B20" s="396"/>
      <c r="C20" s="396"/>
      <c r="D20" s="396"/>
      <c r="E20" s="396"/>
      <c r="F20" s="396"/>
      <c r="G20" s="396"/>
      <c r="H20" s="396"/>
      <c r="I20" s="396"/>
      <c r="J20" s="396"/>
      <c r="K20" s="396"/>
      <c r="L20" s="396"/>
      <c r="M20" s="396"/>
      <c r="N20" s="396"/>
      <c r="O20" s="396"/>
      <c r="P20" s="396"/>
    </row>
    <row r="21" spans="1:16" ht="15">
      <c r="A21" s="97"/>
      <c r="B21" s="97"/>
      <c r="C21" s="97"/>
      <c r="D21" s="97"/>
      <c r="E21" s="97"/>
      <c r="F21" s="97"/>
      <c r="G21" s="97"/>
      <c r="H21" s="140"/>
      <c r="I21" s="180"/>
      <c r="J21" s="180"/>
      <c r="K21" s="180"/>
      <c r="L21" s="97"/>
      <c r="M21" s="97"/>
      <c r="N21" s="97"/>
    </row>
    <row r="22" spans="1:16" ht="15">
      <c r="A22" s="73" t="s">
        <v>74</v>
      </c>
      <c r="B22" s="74" t="str">
        <f>SUBSTITUTE(subtitle,", not included","")</f>
        <v>Total: $295.5 million includes $41.9 million in obligations to capital projects, plus General and Administrative (G&amp;A) expenses ($12.3 million), and Columbia River System Operations Review/Environmental Impact Statement expenses ($0.2 million)</v>
      </c>
      <c r="C22" s="73"/>
      <c r="D22" s="73"/>
      <c r="E22" s="73"/>
      <c r="F22" s="73"/>
      <c r="G22" s="73"/>
      <c r="H22" s="73"/>
      <c r="I22" s="73"/>
      <c r="J22" s="73"/>
      <c r="K22" s="73"/>
      <c r="L22" s="73"/>
    </row>
    <row r="23" spans="1:16">
      <c r="A23" s="62"/>
    </row>
  </sheetData>
  <mergeCells count="5">
    <mergeCell ref="A1:L1"/>
    <mergeCell ref="A17:P17"/>
    <mergeCell ref="A18:P18"/>
    <mergeCell ref="A19:P19"/>
    <mergeCell ref="A20:P20"/>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3"/>
  <sheetViews>
    <sheetView topLeftCell="A7" workbookViewId="0"/>
  </sheetViews>
  <sheetFormatPr defaultColWidth="9.109375" defaultRowHeight="13.2"/>
  <cols>
    <col min="1" max="1" width="41.88671875" style="1" customWidth="1"/>
    <col min="2" max="2" width="15.44140625" style="61" customWidth="1"/>
    <col min="3" max="3" width="15.44140625" style="1" bestFit="1" customWidth="1"/>
    <col min="4" max="4" width="15.44140625" style="60" bestFit="1" customWidth="1"/>
    <col min="5" max="6" width="15.44140625" style="1" bestFit="1" customWidth="1"/>
    <col min="7" max="12" width="15.44140625" style="1" customWidth="1"/>
    <col min="13" max="13" width="17.6640625" style="1" customWidth="1"/>
    <col min="14" max="16384" width="9.109375" style="1"/>
  </cols>
  <sheetData>
    <row r="1" spans="1:17" s="63" customFormat="1" ht="30.75" customHeight="1">
      <c r="A1" s="118" t="str">
        <f>"Figure 6B: Artificial Production Costs by Category, FY"&amp;P2</f>
        <v>Figure 6B: Artificial Production Costs by Category, FY2021</v>
      </c>
      <c r="B1" s="118"/>
      <c r="C1" s="118"/>
      <c r="D1" s="118"/>
      <c r="E1" s="118"/>
      <c r="F1" s="118"/>
      <c r="G1" s="118"/>
      <c r="H1" s="118"/>
      <c r="I1" s="118"/>
      <c r="J1" s="118"/>
      <c r="K1" s="118"/>
      <c r="L1" s="118"/>
      <c r="M1" s="118"/>
      <c r="N1" s="118"/>
    </row>
    <row r="2" spans="1:17" s="72" customFormat="1" ht="17.399999999999999">
      <c r="A2" s="214" t="s">
        <v>12</v>
      </c>
      <c r="B2" s="215">
        <v>2007</v>
      </c>
      <c r="C2" s="215">
        <v>2008</v>
      </c>
      <c r="D2" s="215">
        <v>2009</v>
      </c>
      <c r="E2" s="215">
        <v>2010</v>
      </c>
      <c r="F2" s="215">
        <v>2011</v>
      </c>
      <c r="G2" s="215">
        <v>2012</v>
      </c>
      <c r="H2" s="215">
        <v>2013</v>
      </c>
      <c r="I2" s="215">
        <v>2014</v>
      </c>
      <c r="J2" s="215">
        <v>2015</v>
      </c>
      <c r="K2" s="215" t="s">
        <v>216</v>
      </c>
      <c r="L2" s="215">
        <v>2017</v>
      </c>
      <c r="M2" s="215">
        <v>2018</v>
      </c>
      <c r="N2" s="215">
        <v>2019</v>
      </c>
      <c r="O2" s="215">
        <v>2020</v>
      </c>
      <c r="P2" s="215">
        <v>2021</v>
      </c>
      <c r="Q2" s="75" t="s">
        <v>78</v>
      </c>
    </row>
    <row r="3" spans="1:17" s="63" customFormat="1" ht="15">
      <c r="A3" s="71" t="s">
        <v>184</v>
      </c>
      <c r="B3" s="42">
        <v>641816.81000000006</v>
      </c>
      <c r="C3" s="42">
        <v>764148.4800000001</v>
      </c>
      <c r="D3" s="42">
        <v>-3902</v>
      </c>
      <c r="E3" s="42">
        <v>640554</v>
      </c>
      <c r="F3" s="42">
        <v>684891</v>
      </c>
      <c r="G3" s="42">
        <v>664088</v>
      </c>
      <c r="H3" s="42">
        <v>785308.52</v>
      </c>
      <c r="I3" s="42">
        <v>633508.71</v>
      </c>
      <c r="J3" s="42">
        <v>618853.43999999994</v>
      </c>
      <c r="K3" s="113">
        <v>703885.61</v>
      </c>
      <c r="L3" s="113">
        <v>690901</v>
      </c>
      <c r="M3" s="113">
        <v>598768</v>
      </c>
      <c r="N3" s="113">
        <v>636882</v>
      </c>
      <c r="O3" s="113">
        <v>513554</v>
      </c>
      <c r="P3" s="113">
        <v>501558.63</v>
      </c>
      <c r="Q3" s="119">
        <f>P3</f>
        <v>501558.63</v>
      </c>
    </row>
    <row r="4" spans="1:17" s="63" customFormat="1" ht="15">
      <c r="A4" s="109" t="s">
        <v>40</v>
      </c>
      <c r="B4" s="42">
        <v>3054888.35</v>
      </c>
      <c r="C4" s="42">
        <v>3256692.3110000002</v>
      </c>
      <c r="D4" s="42">
        <v>3417255.43</v>
      </c>
      <c r="E4" s="42">
        <v>3241566</v>
      </c>
      <c r="F4" s="42">
        <v>3599302</v>
      </c>
      <c r="G4" s="42">
        <v>4429624</v>
      </c>
      <c r="H4" s="42">
        <v>4077995.11</v>
      </c>
      <c r="I4" s="42">
        <v>4062872.09</v>
      </c>
      <c r="J4" s="42">
        <v>4248774.49</v>
      </c>
      <c r="K4" s="113">
        <v>4206148.1500000004</v>
      </c>
      <c r="L4" s="113">
        <v>4321385</v>
      </c>
      <c r="M4" s="113">
        <v>6599734</v>
      </c>
      <c r="N4" s="113">
        <v>4345080</v>
      </c>
      <c r="O4" s="113">
        <v>4367674</v>
      </c>
      <c r="P4" s="113">
        <v>5246418.55</v>
      </c>
      <c r="Q4" s="119">
        <f>P4</f>
        <v>5246418.55</v>
      </c>
    </row>
    <row r="5" spans="1:17" s="63" customFormat="1" ht="15">
      <c r="A5" s="109" t="s">
        <v>389</v>
      </c>
      <c r="B5" s="42">
        <v>19614679.890099999</v>
      </c>
      <c r="C5" s="42">
        <v>17739369.969999999</v>
      </c>
      <c r="D5" s="42">
        <v>17335477.820000004</v>
      </c>
      <c r="E5" s="42">
        <v>22318040</v>
      </c>
      <c r="F5" s="42">
        <v>22583163</v>
      </c>
      <c r="G5" s="42">
        <v>25176585</v>
      </c>
      <c r="H5" s="42">
        <v>23588530.18</v>
      </c>
      <c r="I5" s="42">
        <v>24046105.84</v>
      </c>
      <c r="J5" s="42">
        <v>24079654.359999999</v>
      </c>
      <c r="K5" s="113">
        <v>24391057.350000001</v>
      </c>
      <c r="L5" s="113">
        <v>24937524</v>
      </c>
      <c r="M5" s="113">
        <v>24832549</v>
      </c>
      <c r="N5" s="113">
        <v>25205995</v>
      </c>
      <c r="O5" s="113">
        <v>24309066</v>
      </c>
      <c r="P5" s="113">
        <v>19198616.699999999</v>
      </c>
      <c r="Q5" s="119">
        <f t="shared" ref="Q5:Q6" si="0">P5</f>
        <v>19198616.699999999</v>
      </c>
    </row>
    <row r="6" spans="1:17" s="63" customFormat="1" ht="15">
      <c r="A6" s="109" t="s">
        <v>208</v>
      </c>
      <c r="B6" s="42">
        <v>22334338.59</v>
      </c>
      <c r="C6" s="42">
        <v>26177768.739499994</v>
      </c>
      <c r="D6" s="42">
        <v>28175648.489999998</v>
      </c>
      <c r="E6" s="42">
        <v>45271831</v>
      </c>
      <c r="F6" s="42">
        <v>61846889</v>
      </c>
      <c r="G6" s="42">
        <v>53165835</v>
      </c>
      <c r="H6" s="42">
        <f>21326284.81+28698481.39</f>
        <v>50024766.200000003</v>
      </c>
      <c r="I6" s="42">
        <f>14595131.65+30551147.2</f>
        <v>45146278.850000001</v>
      </c>
      <c r="J6" s="42">
        <v>32202008.149999999</v>
      </c>
      <c r="K6" s="113">
        <v>31490426.289999999</v>
      </c>
      <c r="L6" s="113">
        <v>34872455</v>
      </c>
      <c r="M6" s="113">
        <v>36978108</v>
      </c>
      <c r="N6" s="113">
        <v>41775457</v>
      </c>
      <c r="O6" s="113">
        <v>55046556</v>
      </c>
      <c r="P6" s="113">
        <v>46496391.919999979</v>
      </c>
      <c r="Q6" s="119">
        <f t="shared" si="0"/>
        <v>46496391.919999979</v>
      </c>
    </row>
    <row r="7" spans="1:17" s="66" customFormat="1" ht="15">
      <c r="A7" s="69" t="s">
        <v>37</v>
      </c>
      <c r="B7" s="68">
        <f t="shared" ref="B7:E7" si="1">SUM(B3:B6)</f>
        <v>45645723.640100002</v>
      </c>
      <c r="C7" s="68">
        <f t="shared" si="1"/>
        <v>47937979.500499994</v>
      </c>
      <c r="D7" s="68">
        <f t="shared" si="1"/>
        <v>48924479.740000002</v>
      </c>
      <c r="E7" s="68">
        <f t="shared" si="1"/>
        <v>71471991</v>
      </c>
      <c r="F7" s="68">
        <f t="shared" ref="F7:P7" si="2">SUM(F3:F6)</f>
        <v>88714245</v>
      </c>
      <c r="G7" s="68">
        <f t="shared" si="2"/>
        <v>83436132</v>
      </c>
      <c r="H7" s="68">
        <f t="shared" si="2"/>
        <v>78476600.010000005</v>
      </c>
      <c r="I7" s="68">
        <f t="shared" si="2"/>
        <v>73888765.49000001</v>
      </c>
      <c r="J7" s="68">
        <f t="shared" si="2"/>
        <v>61149290.439999998</v>
      </c>
      <c r="K7" s="68">
        <f t="shared" si="2"/>
        <v>60791517.400000006</v>
      </c>
      <c r="L7" s="68">
        <f t="shared" ref="L7" si="3">SUM(L3:L6)</f>
        <v>64822265</v>
      </c>
      <c r="M7" s="67">
        <f t="shared" ref="M7" si="4">SUM(M3:M6)</f>
        <v>69009159</v>
      </c>
      <c r="N7" s="67">
        <f t="shared" ref="N7" si="5">SUM(N3:N6)</f>
        <v>71963414</v>
      </c>
      <c r="O7" s="67">
        <f t="shared" ref="O7" si="6">SUM(O3:O6)</f>
        <v>84236850</v>
      </c>
      <c r="P7" s="67">
        <f t="shared" si="2"/>
        <v>71442985.799999982</v>
      </c>
    </row>
    <row r="8" spans="1:17" s="63" customFormat="1" ht="15">
      <c r="A8" s="64"/>
      <c r="B8" s="65"/>
      <c r="C8" s="64"/>
      <c r="D8" s="65"/>
      <c r="E8" s="64"/>
      <c r="F8" s="64"/>
    </row>
    <row r="9" spans="1:17" ht="15">
      <c r="A9" s="47" t="s">
        <v>0</v>
      </c>
      <c r="B9" s="49"/>
      <c r="C9" s="47"/>
      <c r="D9" s="49"/>
      <c r="E9" s="47"/>
      <c r="F9" s="47"/>
    </row>
    <row r="10" spans="1:17" ht="15">
      <c r="A10" s="353" t="s">
        <v>409</v>
      </c>
      <c r="B10" s="353"/>
      <c r="C10" s="353"/>
      <c r="D10" s="353"/>
      <c r="E10" s="353"/>
      <c r="F10" s="353"/>
      <c r="G10" s="353"/>
      <c r="H10" s="353"/>
      <c r="I10" s="353"/>
      <c r="J10" s="353"/>
      <c r="K10" s="353"/>
      <c r="L10" s="353"/>
      <c r="M10" s="353"/>
      <c r="N10" s="353"/>
      <c r="O10" s="353"/>
      <c r="P10" s="353"/>
    </row>
    <row r="11" spans="1:17" ht="15">
      <c r="A11" s="110"/>
      <c r="B11" s="110"/>
      <c r="C11" s="110"/>
      <c r="D11" s="110"/>
      <c r="E11" s="110"/>
      <c r="F11" s="110"/>
      <c r="G11" s="110"/>
      <c r="H11" s="140"/>
      <c r="I11" s="180"/>
      <c r="J11" s="180"/>
      <c r="K11" s="180"/>
      <c r="L11" s="110"/>
      <c r="M11" s="110"/>
    </row>
    <row r="12" spans="1:17" ht="15">
      <c r="A12" s="73" t="s">
        <v>74</v>
      </c>
      <c r="B12" s="74" t="str">
        <f>"Total: $" &amp; TEXT(P7,"#0.0,,") &amp; " million does not include obligations to capital projects"</f>
        <v>Total: $71.4 million does not include obligations to capital projects</v>
      </c>
      <c r="C12" s="73"/>
      <c r="D12" s="73"/>
      <c r="E12" s="73"/>
      <c r="F12" s="73"/>
      <c r="G12" s="73"/>
      <c r="H12" s="73"/>
      <c r="I12" s="73"/>
      <c r="J12" s="73"/>
      <c r="K12" s="73"/>
      <c r="L12" s="73"/>
    </row>
    <row r="13" spans="1:17">
      <c r="A13" s="62"/>
    </row>
  </sheetData>
  <pageMargins left="0.41" right="0.39" top="0.55000000000000004" bottom="0.27" header="0.16" footer="0.16"/>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100-A688-4850-B292-B85ED7870BA4}">
  <sheetPr>
    <pageSetUpPr fitToPage="1"/>
  </sheetPr>
  <dimension ref="A1:M15"/>
  <sheetViews>
    <sheetView topLeftCell="A28" workbookViewId="0"/>
  </sheetViews>
  <sheetFormatPr defaultColWidth="9.109375" defaultRowHeight="13.8"/>
  <cols>
    <col min="1" max="1" width="31.6640625" style="98" customWidth="1"/>
    <col min="2" max="2" width="16.109375" style="99" bestFit="1" customWidth="1"/>
    <col min="3" max="3" width="14.5546875" style="99" customWidth="1"/>
    <col min="4" max="4" width="14.109375" style="99" customWidth="1"/>
    <col min="5" max="5" width="14.44140625" style="99" customWidth="1"/>
    <col min="6" max="6" width="13.6640625" style="98" customWidth="1"/>
    <col min="7" max="19" width="15" style="98" customWidth="1"/>
    <col min="20" max="16384" width="9.109375" style="98"/>
  </cols>
  <sheetData>
    <row r="1" spans="1:13" ht="15">
      <c r="A1" s="120" t="str">
        <f>"Figure 6C: Research, Monitoring and Evaluation (RM&amp;E) Costs, FY"&amp;L3</f>
        <v>Figure 6C: Research, Monitoring and Evaluation (RM&amp;E) Costs, FY2021</v>
      </c>
      <c r="B1" s="120"/>
      <c r="C1" s="120"/>
      <c r="D1" s="120"/>
      <c r="E1" s="120"/>
    </row>
    <row r="2" spans="1:13" ht="15">
      <c r="A2" s="120"/>
      <c r="B2" s="120"/>
      <c r="C2" s="120"/>
      <c r="D2" s="120"/>
      <c r="E2" s="120"/>
    </row>
    <row r="3" spans="1:13" ht="17.399999999999999">
      <c r="A3" s="213" t="s">
        <v>12</v>
      </c>
      <c r="B3" s="213">
        <v>2011</v>
      </c>
      <c r="C3" s="213">
        <v>2012</v>
      </c>
      <c r="D3" s="213">
        <v>2013</v>
      </c>
      <c r="E3" s="213">
        <v>2014</v>
      </c>
      <c r="F3" s="213">
        <v>2015</v>
      </c>
      <c r="G3" s="213" t="s">
        <v>223</v>
      </c>
      <c r="H3" s="213">
        <v>2017</v>
      </c>
      <c r="I3" s="213">
        <v>2018</v>
      </c>
      <c r="J3" s="213">
        <v>2019</v>
      </c>
      <c r="K3" s="213">
        <v>2020</v>
      </c>
      <c r="L3" s="213">
        <v>2021</v>
      </c>
      <c r="M3" s="98" t="s">
        <v>336</v>
      </c>
    </row>
    <row r="4" spans="1:13">
      <c r="A4" s="203" t="s">
        <v>47</v>
      </c>
      <c r="B4" s="190">
        <v>22583162.569999997</v>
      </c>
      <c r="C4" s="190">
        <v>25176585</v>
      </c>
      <c r="D4" s="190">
        <v>23588530</v>
      </c>
      <c r="E4" s="190">
        <v>24046105.84</v>
      </c>
      <c r="F4" s="190">
        <v>24079654.359999999</v>
      </c>
      <c r="G4" s="190">
        <v>24391057</v>
      </c>
      <c r="H4" s="190">
        <v>24937523.870000001</v>
      </c>
      <c r="I4" s="190">
        <v>24832549</v>
      </c>
      <c r="J4" s="190">
        <v>25205995</v>
      </c>
      <c r="K4" s="190">
        <v>24309066</v>
      </c>
      <c r="L4" s="190">
        <v>19198616.70000001</v>
      </c>
      <c r="M4" s="204">
        <f>L4</f>
        <v>19198616.70000001</v>
      </c>
    </row>
    <row r="5" spans="1:13">
      <c r="A5" s="203" t="s">
        <v>46</v>
      </c>
      <c r="B5" s="190">
        <v>15426001.169800008</v>
      </c>
      <c r="C5" s="190">
        <v>13469530</v>
      </c>
      <c r="D5" s="190">
        <v>12969684.76</v>
      </c>
      <c r="E5" s="190">
        <v>13133027.810000001</v>
      </c>
      <c r="F5" s="190">
        <v>13434942.029999999</v>
      </c>
      <c r="G5" s="190">
        <v>13332983</v>
      </c>
      <c r="H5" s="190">
        <v>13236006.130000001</v>
      </c>
      <c r="I5" s="190">
        <v>12924874</v>
      </c>
      <c r="J5" s="190">
        <v>12760509</v>
      </c>
      <c r="K5" s="190">
        <v>13399643</v>
      </c>
      <c r="L5" s="190">
        <v>12887138.150000002</v>
      </c>
      <c r="M5" s="204">
        <f t="shared" ref="M5:M9" si="0">L5</f>
        <v>12887138.150000002</v>
      </c>
    </row>
    <row r="6" spans="1:13">
      <c r="A6" s="203" t="s">
        <v>45</v>
      </c>
      <c r="B6" s="190">
        <v>1763066.9299999997</v>
      </c>
      <c r="C6" s="190">
        <v>1735888</v>
      </c>
      <c r="D6" s="190">
        <v>1053093.99</v>
      </c>
      <c r="E6" s="190">
        <v>1228057.49</v>
      </c>
      <c r="F6" s="190">
        <v>1098002.8799999999</v>
      </c>
      <c r="G6" s="190">
        <v>1216118</v>
      </c>
      <c r="H6" s="190">
        <v>1407032.65</v>
      </c>
      <c r="I6" s="190">
        <v>1129180</v>
      </c>
      <c r="J6" s="190">
        <v>1041615</v>
      </c>
      <c r="K6" s="190">
        <v>985607</v>
      </c>
      <c r="L6" s="190">
        <v>665946.26000000013</v>
      </c>
      <c r="M6" s="204">
        <f t="shared" si="0"/>
        <v>665946.26000000013</v>
      </c>
    </row>
    <row r="7" spans="1:13">
      <c r="A7" s="203" t="s">
        <v>44</v>
      </c>
      <c r="B7" s="190">
        <v>8489904.4299999997</v>
      </c>
      <c r="C7" s="190">
        <v>7982519</v>
      </c>
      <c r="D7" s="190">
        <v>7218237.5999999996</v>
      </c>
      <c r="E7" s="190">
        <v>6753429.7699999996</v>
      </c>
      <c r="F7" s="190">
        <v>8107150.2199999997</v>
      </c>
      <c r="G7" s="190">
        <v>7908829</v>
      </c>
      <c r="H7" s="190">
        <v>8864829.0299999993</v>
      </c>
      <c r="I7" s="190">
        <v>8297504</v>
      </c>
      <c r="J7" s="190">
        <v>7709131</v>
      </c>
      <c r="K7" s="190">
        <v>6683979</v>
      </c>
      <c r="L7" s="190">
        <v>6859234.2000000002</v>
      </c>
      <c r="M7" s="204">
        <f t="shared" si="0"/>
        <v>6859234.2000000002</v>
      </c>
    </row>
    <row r="8" spans="1:13">
      <c r="A8" s="203" t="s">
        <v>43</v>
      </c>
      <c r="B8" s="190">
        <v>2826954.2899999996</v>
      </c>
      <c r="C8" s="190">
        <v>2212363</v>
      </c>
      <c r="D8" s="190">
        <v>2062169.76</v>
      </c>
      <c r="E8" s="190">
        <v>1991052.54</v>
      </c>
      <c r="F8" s="190">
        <v>1553864.78</v>
      </c>
      <c r="G8" s="190">
        <v>1264152</v>
      </c>
      <c r="H8" s="190">
        <v>1246514</v>
      </c>
      <c r="I8" s="190">
        <v>1213338</v>
      </c>
      <c r="J8" s="190">
        <v>1157316</v>
      </c>
      <c r="K8" s="190">
        <v>1120424</v>
      </c>
      <c r="L8" s="190">
        <v>1816845.15</v>
      </c>
      <c r="M8" s="204">
        <f t="shared" si="0"/>
        <v>1816845.15</v>
      </c>
    </row>
    <row r="9" spans="1:13">
      <c r="A9" s="203" t="s">
        <v>42</v>
      </c>
      <c r="B9" s="190">
        <v>38012425.010000005</v>
      </c>
      <c r="C9" s="190">
        <v>38950340</v>
      </c>
      <c r="D9" s="190">
        <v>33161752.350000001</v>
      </c>
      <c r="E9" s="190">
        <v>33432127.379999999</v>
      </c>
      <c r="F9" s="190">
        <v>33928588.380000003</v>
      </c>
      <c r="G9" s="190">
        <v>31232673</v>
      </c>
      <c r="H9" s="190">
        <v>32458832.59</v>
      </c>
      <c r="I9" s="190">
        <v>29634970</v>
      </c>
      <c r="J9" s="190">
        <v>27360839</v>
      </c>
      <c r="K9" s="190">
        <v>25702399</v>
      </c>
      <c r="L9" s="190">
        <v>34622364.789999999</v>
      </c>
      <c r="M9" s="204">
        <f t="shared" si="0"/>
        <v>34622364.789999999</v>
      </c>
    </row>
    <row r="10" spans="1:13" ht="14.4" thickBot="1">
      <c r="A10" s="201"/>
      <c r="B10" s="191">
        <f t="shared" ref="B10:D10" si="1">SUM(B4:B9)</f>
        <v>89101514.399800003</v>
      </c>
      <c r="C10" s="191">
        <f t="shared" si="1"/>
        <v>89527225</v>
      </c>
      <c r="D10" s="191">
        <f t="shared" si="1"/>
        <v>80053468.460000008</v>
      </c>
      <c r="E10" s="191">
        <f>SUM(E4:E9)</f>
        <v>80583800.829999998</v>
      </c>
      <c r="F10" s="191">
        <f t="shared" ref="F10:G10" si="2">SUM(F4:F9)</f>
        <v>82202202.650000006</v>
      </c>
      <c r="G10" s="191">
        <f t="shared" si="2"/>
        <v>79345812</v>
      </c>
      <c r="H10" s="191">
        <f>SUM(H4:H9)</f>
        <v>82150738.269999996</v>
      </c>
      <c r="I10" s="191">
        <f>SUM(I4:I9)</f>
        <v>78032415</v>
      </c>
      <c r="J10" s="191">
        <f>SUM(J4:J9)</f>
        <v>75235405</v>
      </c>
      <c r="K10" s="191">
        <f>SUM(K4:K9)</f>
        <v>72201118</v>
      </c>
      <c r="L10" s="191">
        <f>SUM(L4:L9)</f>
        <v>76050145.250000015</v>
      </c>
    </row>
    <row r="12" spans="1:13">
      <c r="A12" s="100" t="s">
        <v>0</v>
      </c>
    </row>
    <row r="13" spans="1:13" ht="21.75" customHeight="1">
      <c r="A13" s="98" t="s">
        <v>409</v>
      </c>
      <c r="B13" s="98"/>
      <c r="C13" s="98"/>
      <c r="D13" s="98"/>
      <c r="E13" s="98"/>
    </row>
    <row r="15" spans="1:13">
      <c r="A15" s="100" t="s">
        <v>74</v>
      </c>
      <c r="B15" s="117" t="str">
        <f>"Total: $" &amp; TEXT(L10,"#0.0,,") &amp; " million does not include obligations to capital projects"</f>
        <v>Total: $76.1 million does not include obligations to capital projects</v>
      </c>
    </row>
  </sheetData>
  <pageMargins left="0.7" right="0.7" top="0.75" bottom="0.75" header="0.3" footer="0.3"/>
  <pageSetup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79"/>
  <sheetViews>
    <sheetView workbookViewId="0">
      <selection activeCell="H43" sqref="H43:H48"/>
    </sheetView>
  </sheetViews>
  <sheetFormatPr defaultColWidth="9.109375" defaultRowHeight="13.8"/>
  <cols>
    <col min="1" max="1" width="51.88671875" style="28" customWidth="1"/>
    <col min="2" max="2" width="14.5546875" style="29" customWidth="1"/>
    <col min="3" max="3" width="14.5546875" style="30" customWidth="1"/>
    <col min="4" max="6" width="14.5546875" style="29" customWidth="1"/>
    <col min="7" max="7" width="14.5546875" style="28" bestFit="1" customWidth="1"/>
    <col min="8" max="11" width="14.5546875" style="28" customWidth="1"/>
    <col min="12" max="12" width="14.88671875" style="28" customWidth="1"/>
    <col min="13" max="16" width="13.5546875" style="28" customWidth="1"/>
    <col min="17" max="16384" width="9.109375" style="28"/>
  </cols>
  <sheetData>
    <row r="1" spans="1:17" ht="30" customHeight="1">
      <c r="A1" s="38" t="str">
        <f>"Figure 7: Costs by Province, FY" &amp; P2</f>
        <v>Figure 7: Costs by Province, FY2021</v>
      </c>
      <c r="B1" s="37"/>
      <c r="G1" s="30"/>
      <c r="H1" s="30"/>
      <c r="I1" s="30"/>
      <c r="J1" s="30"/>
      <c r="K1" s="30"/>
    </row>
    <row r="2" spans="1:17">
      <c r="A2" s="36" t="s">
        <v>50</v>
      </c>
      <c r="B2" s="82">
        <v>2007</v>
      </c>
      <c r="C2" s="82">
        <v>2008</v>
      </c>
      <c r="D2" s="82">
        <v>2009</v>
      </c>
      <c r="E2" s="82">
        <v>2010</v>
      </c>
      <c r="F2" s="82">
        <v>2011</v>
      </c>
      <c r="G2" s="82">
        <v>2012</v>
      </c>
      <c r="H2" s="82">
        <v>2013</v>
      </c>
      <c r="I2" s="82">
        <v>2014</v>
      </c>
      <c r="J2" s="82">
        <v>2015</v>
      </c>
      <c r="K2" s="82">
        <v>2016</v>
      </c>
      <c r="L2" s="82">
        <v>2017</v>
      </c>
      <c r="M2" s="82">
        <v>2018</v>
      </c>
      <c r="N2" s="82">
        <v>2019</v>
      </c>
      <c r="O2" s="82">
        <v>2020</v>
      </c>
      <c r="P2" s="82">
        <v>2021</v>
      </c>
    </row>
    <row r="3" spans="1:17">
      <c r="A3" s="31" t="s">
        <v>186</v>
      </c>
      <c r="B3" s="84">
        <v>9489801.4999999963</v>
      </c>
      <c r="C3" s="84">
        <v>9336015</v>
      </c>
      <c r="D3" s="84">
        <v>10063271</v>
      </c>
      <c r="E3" s="84">
        <v>12243309</v>
      </c>
      <c r="F3" s="84">
        <v>13045831</v>
      </c>
      <c r="G3" s="84">
        <v>13498753.4</v>
      </c>
      <c r="H3" s="84">
        <v>13359733.73</v>
      </c>
      <c r="I3" s="84">
        <v>14630130</v>
      </c>
      <c r="J3" s="84">
        <v>16928838.199999999</v>
      </c>
      <c r="K3" s="84">
        <v>17898141</v>
      </c>
      <c r="L3" s="84">
        <v>15136556</v>
      </c>
      <c r="M3" s="84">
        <v>15971140</v>
      </c>
      <c r="N3" s="84">
        <v>15606694</v>
      </c>
      <c r="O3" s="84">
        <v>14608802</v>
      </c>
      <c r="P3" s="84">
        <v>16159299</v>
      </c>
      <c r="Q3" s="361"/>
    </row>
    <row r="4" spans="1:17">
      <c r="A4" s="31" t="s">
        <v>187</v>
      </c>
      <c r="B4" s="84">
        <v>7340355.379999998</v>
      </c>
      <c r="C4" s="84">
        <v>9192920</v>
      </c>
      <c r="D4" s="84">
        <v>18334391</v>
      </c>
      <c r="E4" s="84">
        <v>26543346</v>
      </c>
      <c r="F4" s="84">
        <v>52343560</v>
      </c>
      <c r="G4" s="84">
        <v>51216105.399999999</v>
      </c>
      <c r="H4" s="84">
        <v>36245776.280000001</v>
      </c>
      <c r="I4" s="84">
        <v>26801554</v>
      </c>
      <c r="J4" s="84">
        <v>28292736.699999999</v>
      </c>
      <c r="K4" s="84">
        <v>27088878</v>
      </c>
      <c r="L4" s="84">
        <v>23417021</v>
      </c>
      <c r="M4" s="84">
        <v>26971498</v>
      </c>
      <c r="N4" s="84">
        <v>20213837</v>
      </c>
      <c r="O4" s="84">
        <v>20804476</v>
      </c>
      <c r="P4" s="84">
        <v>21214325</v>
      </c>
      <c r="Q4" s="361"/>
    </row>
    <row r="5" spans="1:17">
      <c r="A5" s="31" t="s">
        <v>188</v>
      </c>
      <c r="B5" s="84">
        <v>4993259.890000008</v>
      </c>
      <c r="C5" s="84">
        <v>8354049</v>
      </c>
      <c r="D5" s="84">
        <v>13046970</v>
      </c>
      <c r="E5" s="84">
        <v>16165914</v>
      </c>
      <c r="F5" s="84">
        <v>19962308</v>
      </c>
      <c r="G5" s="84">
        <v>13560427.4</v>
      </c>
      <c r="H5" s="84">
        <v>14326142.01</v>
      </c>
      <c r="I5" s="84">
        <v>10014903</v>
      </c>
      <c r="J5" s="84">
        <v>11744583.01</v>
      </c>
      <c r="K5" s="84">
        <v>9724087</v>
      </c>
      <c r="L5" s="84">
        <v>11247539</v>
      </c>
      <c r="M5" s="84">
        <v>12057261</v>
      </c>
      <c r="N5" s="84">
        <v>11349981</v>
      </c>
      <c r="O5" s="84">
        <v>9721637</v>
      </c>
      <c r="P5" s="84">
        <v>8473674</v>
      </c>
      <c r="Q5" s="361"/>
    </row>
    <row r="6" spans="1:17">
      <c r="A6" s="31" t="s">
        <v>189</v>
      </c>
      <c r="B6" s="84">
        <v>28768911.599999998</v>
      </c>
      <c r="C6" s="84">
        <v>37188905</v>
      </c>
      <c r="D6" s="84">
        <v>42706871</v>
      </c>
      <c r="E6" s="84">
        <v>50405309</v>
      </c>
      <c r="F6" s="84">
        <v>59165613</v>
      </c>
      <c r="G6" s="84">
        <v>61637074.399999999</v>
      </c>
      <c r="H6" s="84">
        <v>61223676.229999997</v>
      </c>
      <c r="I6" s="84">
        <v>57654085</v>
      </c>
      <c r="J6" s="84">
        <v>67777655.400000006</v>
      </c>
      <c r="K6" s="84">
        <v>62214559</v>
      </c>
      <c r="L6" s="84">
        <v>62987617</v>
      </c>
      <c r="M6" s="84">
        <v>62147342</v>
      </c>
      <c r="N6" s="84">
        <v>70886382</v>
      </c>
      <c r="O6" s="84">
        <v>76390650</v>
      </c>
      <c r="P6" s="84">
        <v>73068145</v>
      </c>
      <c r="Q6" s="361"/>
    </row>
    <row r="7" spans="1:17">
      <c r="A7" s="31" t="s">
        <v>190</v>
      </c>
      <c r="B7" s="84">
        <v>5229671.92</v>
      </c>
      <c r="C7" s="84">
        <v>6075054</v>
      </c>
      <c r="D7" s="84">
        <v>8056193</v>
      </c>
      <c r="E7" s="84">
        <v>6848834</v>
      </c>
      <c r="F7" s="84">
        <v>9469437</v>
      </c>
      <c r="G7" s="84">
        <v>11109892</v>
      </c>
      <c r="H7" s="84">
        <v>15336657.32</v>
      </c>
      <c r="I7" s="84">
        <v>10819987</v>
      </c>
      <c r="J7" s="84">
        <v>11165031.380000001</v>
      </c>
      <c r="K7" s="84">
        <v>11471831</v>
      </c>
      <c r="L7" s="84">
        <v>10425322</v>
      </c>
      <c r="M7" s="84">
        <v>8368864</v>
      </c>
      <c r="N7" s="84">
        <v>6959520</v>
      </c>
      <c r="O7" s="84">
        <v>7170541</v>
      </c>
      <c r="P7" s="84">
        <v>8523017</v>
      </c>
      <c r="Q7" s="361"/>
    </row>
    <row r="8" spans="1:17">
      <c r="A8" s="31" t="s">
        <v>191</v>
      </c>
      <c r="B8" s="84">
        <v>25281128.979999978</v>
      </c>
      <c r="C8" s="84">
        <v>14497055</v>
      </c>
      <c r="D8" s="84">
        <v>12350282</v>
      </c>
      <c r="E8" s="84">
        <v>15702284</v>
      </c>
      <c r="F8" s="84">
        <v>17198718</v>
      </c>
      <c r="G8" s="84">
        <v>19784368</v>
      </c>
      <c r="H8" s="84">
        <v>16144887.76</v>
      </c>
      <c r="I8" s="84">
        <v>17769309</v>
      </c>
      <c r="J8" s="84">
        <v>17220237.800000001</v>
      </c>
      <c r="K8" s="84">
        <v>17995494</v>
      </c>
      <c r="L8" s="84">
        <v>20182310</v>
      </c>
      <c r="M8" s="84">
        <v>21730080</v>
      </c>
      <c r="N8" s="84">
        <v>19057687</v>
      </c>
      <c r="O8" s="84">
        <v>18810502</v>
      </c>
      <c r="P8" s="84">
        <v>18159996</v>
      </c>
      <c r="Q8" s="361"/>
    </row>
    <row r="9" spans="1:17">
      <c r="A9" s="31" t="s">
        <v>192</v>
      </c>
      <c r="B9" s="84">
        <v>13533874.44999999</v>
      </c>
      <c r="C9" s="84">
        <v>14744699</v>
      </c>
      <c r="D9" s="84">
        <v>11181219</v>
      </c>
      <c r="E9" s="84">
        <v>15259843</v>
      </c>
      <c r="F9" s="84">
        <v>41609286</v>
      </c>
      <c r="G9" s="84">
        <v>33899854</v>
      </c>
      <c r="H9" s="84">
        <v>44562895.789999999</v>
      </c>
      <c r="I9" s="84">
        <v>13867496</v>
      </c>
      <c r="J9" s="84">
        <v>39453337.270000003</v>
      </c>
      <c r="K9" s="84">
        <v>40819289</v>
      </c>
      <c r="L9" s="84">
        <v>32446965</v>
      </c>
      <c r="M9" s="84">
        <v>31737631</v>
      </c>
      <c r="N9" s="84">
        <v>33544646</v>
      </c>
      <c r="O9" s="84">
        <v>37143967</v>
      </c>
      <c r="P9" s="84">
        <v>36056424</v>
      </c>
      <c r="Q9" s="361"/>
    </row>
    <row r="10" spans="1:17">
      <c r="A10" s="31" t="s">
        <v>193</v>
      </c>
      <c r="B10" s="84">
        <v>1782913.18</v>
      </c>
      <c r="C10" s="84">
        <v>6659039</v>
      </c>
      <c r="D10" s="84">
        <v>3299192</v>
      </c>
      <c r="E10" s="84">
        <v>5224071</v>
      </c>
      <c r="F10" s="84">
        <v>4433754</v>
      </c>
      <c r="G10" s="84">
        <v>13235463</v>
      </c>
      <c r="H10" s="84">
        <v>3315759.24</v>
      </c>
      <c r="I10" s="84">
        <v>3817058</v>
      </c>
      <c r="J10" s="84">
        <v>4600725.0999999996</v>
      </c>
      <c r="K10" s="84">
        <v>4520947</v>
      </c>
      <c r="L10" s="84">
        <v>4516591</v>
      </c>
      <c r="M10" s="84">
        <v>4527680</v>
      </c>
      <c r="N10" s="84">
        <v>4404430</v>
      </c>
      <c r="O10" s="84">
        <v>4131290</v>
      </c>
      <c r="P10" s="84">
        <v>4194736</v>
      </c>
      <c r="Q10" s="361"/>
    </row>
    <row r="11" spans="1:17">
      <c r="A11" s="32" t="s">
        <v>194</v>
      </c>
      <c r="B11" s="84">
        <v>9497889.2199999988</v>
      </c>
      <c r="C11" s="84">
        <v>11347198</v>
      </c>
      <c r="D11" s="84">
        <v>21341820</v>
      </c>
      <c r="E11" s="84">
        <v>11427897</v>
      </c>
      <c r="F11" s="84">
        <v>24894377</v>
      </c>
      <c r="G11" s="84">
        <v>22160067</v>
      </c>
      <c r="H11" s="84">
        <v>20849802.890000001</v>
      </c>
      <c r="I11" s="84">
        <v>29293225</v>
      </c>
      <c r="J11" s="84">
        <v>19225549.199999999</v>
      </c>
      <c r="K11" s="84">
        <v>21252149</v>
      </c>
      <c r="L11" s="84">
        <v>15238992</v>
      </c>
      <c r="M11" s="84">
        <v>35985026</v>
      </c>
      <c r="N11" s="84">
        <v>14029481</v>
      </c>
      <c r="O11" s="84">
        <v>19968805</v>
      </c>
      <c r="P11" s="84">
        <v>24062705</v>
      </c>
      <c r="Q11" s="354"/>
    </row>
    <row r="12" spans="1:17">
      <c r="A12" s="31" t="s">
        <v>195</v>
      </c>
      <c r="B12" s="84">
        <v>16791815.219999991</v>
      </c>
      <c r="C12" s="84">
        <v>19398012</v>
      </c>
      <c r="D12" s="84">
        <v>21934884</v>
      </c>
      <c r="E12" s="84">
        <v>22917641</v>
      </c>
      <c r="F12" s="84">
        <v>28149960</v>
      </c>
      <c r="G12" s="84">
        <v>30311321</v>
      </c>
      <c r="H12" s="84">
        <v>28453558.780000001</v>
      </c>
      <c r="I12" s="84">
        <v>28224756</v>
      </c>
      <c r="J12" s="84">
        <v>40285555.630000003</v>
      </c>
      <c r="K12" s="84">
        <v>29114533</v>
      </c>
      <c r="L12" s="84">
        <v>34958776</v>
      </c>
      <c r="M12" s="84">
        <v>31667229</v>
      </c>
      <c r="N12" s="84">
        <v>27353317</v>
      </c>
      <c r="O12" s="84">
        <v>25975173</v>
      </c>
      <c r="P12" s="84">
        <v>27685383</v>
      </c>
      <c r="Q12" s="361"/>
    </row>
    <row r="13" spans="1:17">
      <c r="A13" s="31" t="s">
        <v>196</v>
      </c>
      <c r="B13" s="84">
        <v>701438.96</v>
      </c>
      <c r="C13" s="84">
        <v>1184634</v>
      </c>
      <c r="D13" s="84">
        <v>1466476</v>
      </c>
      <c r="E13" s="84">
        <v>7248075</v>
      </c>
      <c r="F13" s="84">
        <v>4904675</v>
      </c>
      <c r="G13" s="84">
        <v>13213441</v>
      </c>
      <c r="H13" s="84">
        <v>10805581.939999999</v>
      </c>
      <c r="I13" s="84">
        <v>19886298</v>
      </c>
      <c r="J13" s="84">
        <v>3761184.08</v>
      </c>
      <c r="K13" s="84">
        <v>4997891</v>
      </c>
      <c r="L13" s="84">
        <v>4993296</v>
      </c>
      <c r="M13" s="84">
        <v>3449209</v>
      </c>
      <c r="N13" s="84">
        <v>5254430</v>
      </c>
      <c r="O13" s="84">
        <v>8862776</v>
      </c>
      <c r="P13" s="84">
        <v>14927618</v>
      </c>
      <c r="Q13" s="361"/>
    </row>
    <row r="14" spans="1:17" ht="16.8">
      <c r="A14" s="31" t="s">
        <v>197</v>
      </c>
      <c r="B14" s="84"/>
      <c r="C14" s="84">
        <v>6167509</v>
      </c>
      <c r="D14" s="84">
        <v>7274724</v>
      </c>
      <c r="E14" s="84">
        <v>6826368</v>
      </c>
      <c r="F14" s="84">
        <v>7722192</v>
      </c>
      <c r="G14" s="84">
        <v>6872463</v>
      </c>
      <c r="H14" s="84">
        <v>4578007.34</v>
      </c>
      <c r="I14" s="84">
        <v>4892097</v>
      </c>
      <c r="J14" s="84">
        <v>5062472.42</v>
      </c>
      <c r="K14" s="84">
        <v>6828524</v>
      </c>
      <c r="L14" s="84">
        <v>5039627</v>
      </c>
      <c r="M14" s="84">
        <v>4841580</v>
      </c>
      <c r="N14" s="84">
        <v>4720582</v>
      </c>
      <c r="O14" s="84">
        <v>5039768</v>
      </c>
      <c r="P14" s="84">
        <v>4911421</v>
      </c>
      <c r="Q14" s="361"/>
    </row>
    <row r="15" spans="1:17" ht="16.8">
      <c r="A15" s="31" t="s">
        <v>198</v>
      </c>
      <c r="B15" s="84">
        <v>11230085.950000027</v>
      </c>
      <c r="C15" s="84">
        <v>30267918</v>
      </c>
      <c r="D15" s="84">
        <v>34215512</v>
      </c>
      <c r="E15" s="84">
        <v>42775062</v>
      </c>
      <c r="F15" s="84">
        <v>28315184</v>
      </c>
      <c r="G15" s="84">
        <v>15910542</v>
      </c>
      <c r="H15" s="84">
        <v>21899413.120000001</v>
      </c>
      <c r="I15" s="84">
        <v>31463212</v>
      </c>
      <c r="J15" s="84">
        <v>14032643.140000001</v>
      </c>
      <c r="K15" s="84">
        <v>20245851</v>
      </c>
      <c r="L15" s="84">
        <v>19366924</v>
      </c>
      <c r="M15" s="84">
        <v>19245550</v>
      </c>
      <c r="N15" s="84">
        <v>17471914</v>
      </c>
      <c r="O15" s="84">
        <v>17792570</v>
      </c>
      <c r="P15" s="84">
        <v>25569582</v>
      </c>
      <c r="Q15" s="361"/>
    </row>
    <row r="16" spans="1:17">
      <c r="A16" s="28" t="s">
        <v>238</v>
      </c>
      <c r="B16" s="28"/>
      <c r="C16" s="28"/>
      <c r="D16" s="28"/>
      <c r="E16" s="28"/>
      <c r="F16" s="28"/>
      <c r="M16" s="84">
        <v>10367580</v>
      </c>
      <c r="N16" s="84">
        <v>11607301</v>
      </c>
      <c r="O16" s="84">
        <v>11601030</v>
      </c>
      <c r="P16" s="84">
        <v>12327352</v>
      </c>
      <c r="Q16" s="362"/>
    </row>
    <row r="17" spans="1:17">
      <c r="A17" s="28" t="s">
        <v>239</v>
      </c>
      <c r="B17" s="28"/>
      <c r="C17" s="28"/>
      <c r="D17" s="28"/>
      <c r="E17" s="28"/>
      <c r="F17" s="28"/>
      <c r="M17" s="84">
        <v>304457</v>
      </c>
      <c r="N17" s="84">
        <v>254958</v>
      </c>
      <c r="O17" s="84">
        <v>213881</v>
      </c>
      <c r="P17" s="84">
        <v>179587</v>
      </c>
      <c r="Q17" s="362"/>
    </row>
    <row r="18" spans="1:17">
      <c r="A18" s="35" t="s">
        <v>37</v>
      </c>
      <c r="B18" s="168">
        <f t="shared" ref="B18:E18" si="0">SUM(B3:B17)</f>
        <v>134641146.25</v>
      </c>
      <c r="C18" s="168">
        <f t="shared" si="0"/>
        <v>174413007</v>
      </c>
      <c r="D18" s="168">
        <f t="shared" si="0"/>
        <v>205271805</v>
      </c>
      <c r="E18" s="168">
        <f t="shared" si="0"/>
        <v>239587953</v>
      </c>
      <c r="F18" s="168">
        <f>SUM(F3:F17)</f>
        <v>311214895</v>
      </c>
      <c r="G18" s="168">
        <f t="shared" ref="G18:L18" si="1">SUM(G3:G17)</f>
        <v>306409771.60000002</v>
      </c>
      <c r="H18" s="168">
        <f t="shared" si="1"/>
        <v>291101892.43000001</v>
      </c>
      <c r="I18" s="168">
        <f t="shared" si="1"/>
        <v>269134110</v>
      </c>
      <c r="J18" s="168">
        <f t="shared" si="1"/>
        <v>279550549.32999998</v>
      </c>
      <c r="K18" s="168">
        <f t="shared" si="1"/>
        <v>274172174</v>
      </c>
      <c r="L18" s="168">
        <f t="shared" si="1"/>
        <v>259957536</v>
      </c>
      <c r="M18" s="168">
        <f t="shared" ref="M18:P18" si="2">SUM(M3:M17)</f>
        <v>289372127</v>
      </c>
      <c r="N18" s="168">
        <f t="shared" si="2"/>
        <v>262715160</v>
      </c>
      <c r="O18" s="168">
        <f t="shared" ref="O18" si="3">SUM(O3:O17)</f>
        <v>278235868</v>
      </c>
      <c r="P18" s="168">
        <f t="shared" si="2"/>
        <v>295513264</v>
      </c>
    </row>
    <row r="19" spans="1:17">
      <c r="A19" s="31"/>
      <c r="C19" s="29"/>
      <c r="G19" s="33"/>
      <c r="H19" s="33"/>
      <c r="I19" s="33"/>
      <c r="J19" s="33"/>
      <c r="K19" s="33"/>
    </row>
    <row r="20" spans="1:17">
      <c r="A20" s="34" t="s">
        <v>0</v>
      </c>
    </row>
    <row r="21" spans="1:17" ht="17.25" customHeight="1">
      <c r="A21" s="354" t="s">
        <v>49</v>
      </c>
      <c r="B21" s="354"/>
      <c r="C21" s="354"/>
      <c r="D21" s="354"/>
      <c r="E21" s="354"/>
      <c r="F21" s="354"/>
      <c r="G21" s="354"/>
      <c r="H21" s="354"/>
      <c r="I21" s="354"/>
      <c r="J21" s="354"/>
      <c r="K21" s="354"/>
      <c r="L21" s="354"/>
      <c r="M21" s="354"/>
      <c r="N21" s="354"/>
      <c r="O21" s="354"/>
      <c r="P21" s="354"/>
    </row>
    <row r="22" spans="1:17" ht="17.25" customHeight="1">
      <c r="A22" s="354" t="s">
        <v>418</v>
      </c>
      <c r="B22" s="354"/>
      <c r="C22" s="354"/>
      <c r="D22" s="354"/>
      <c r="E22" s="354"/>
      <c r="F22" s="354"/>
      <c r="G22" s="354"/>
      <c r="H22" s="354"/>
      <c r="I22" s="354"/>
      <c r="J22" s="354"/>
      <c r="K22" s="354"/>
      <c r="L22" s="354"/>
      <c r="M22" s="354"/>
      <c r="N22" s="354"/>
      <c r="O22" s="354"/>
      <c r="P22" s="354"/>
    </row>
    <row r="23" spans="1:17" ht="17.25" customHeight="1">
      <c r="A23" s="356" t="s">
        <v>321</v>
      </c>
      <c r="B23" s="356"/>
      <c r="C23" s="356"/>
      <c r="D23" s="356"/>
      <c r="E23" s="356"/>
      <c r="F23" s="356"/>
      <c r="G23" s="356"/>
      <c r="H23" s="356"/>
      <c r="I23" s="356"/>
      <c r="J23" s="356"/>
      <c r="K23" s="356"/>
      <c r="L23" s="356"/>
      <c r="M23" s="356"/>
      <c r="N23" s="356"/>
      <c r="O23" s="356"/>
      <c r="P23" s="356"/>
    </row>
    <row r="24" spans="1:17" ht="17.25" customHeight="1">
      <c r="A24" s="355" t="s">
        <v>417</v>
      </c>
      <c r="B24" s="355"/>
      <c r="C24" s="355"/>
      <c r="D24" s="355"/>
      <c r="E24" s="355"/>
      <c r="F24" s="355"/>
      <c r="G24" s="355"/>
      <c r="H24" s="355"/>
      <c r="I24" s="355"/>
      <c r="J24" s="355"/>
      <c r="K24" s="355"/>
      <c r="L24" s="355"/>
      <c r="M24" s="355"/>
      <c r="N24" s="355"/>
      <c r="O24" s="355"/>
      <c r="P24" s="355"/>
    </row>
    <row r="25" spans="1:17" ht="17.25" customHeight="1">
      <c r="A25" s="357" t="s">
        <v>388</v>
      </c>
      <c r="B25" s="357"/>
      <c r="C25" s="357"/>
      <c r="D25" s="357"/>
      <c r="E25" s="357"/>
      <c r="F25" s="357"/>
      <c r="G25" s="357"/>
      <c r="H25" s="357"/>
      <c r="I25" s="357"/>
      <c r="J25" s="357"/>
      <c r="K25" s="357"/>
      <c r="L25" s="357"/>
      <c r="M25" s="357"/>
      <c r="N25" s="357"/>
      <c r="O25" s="357"/>
      <c r="P25" s="357"/>
    </row>
    <row r="26" spans="1:17" ht="26.25" customHeight="1">
      <c r="A26" s="101" t="s">
        <v>74</v>
      </c>
      <c r="B26" s="83"/>
      <c r="C26" s="86"/>
      <c r="D26" s="83"/>
      <c r="E26" s="83"/>
      <c r="F26" s="83"/>
      <c r="G26" s="85"/>
      <c r="H26" s="141"/>
      <c r="I26" s="141"/>
      <c r="J26" s="141"/>
      <c r="K26" s="141"/>
      <c r="L26" s="85"/>
    </row>
    <row r="27" spans="1:17" ht="17.25" customHeight="1">
      <c r="A27" s="32" t="str">
        <f>subtitle</f>
        <v>Total: $295.5 million includes $41.9 million in obligations to capital projects, plus General and Administrative (G&amp;A) expenses ($12.3 million, not included), and Columbia River System Operations Review/Environmental Impact Statement expenses ($0.2 million, not included)</v>
      </c>
      <c r="B27" s="83"/>
      <c r="C27" s="86"/>
      <c r="D27" s="83"/>
      <c r="E27" s="83"/>
      <c r="F27" s="83"/>
      <c r="G27" s="85"/>
      <c r="H27" s="141"/>
      <c r="I27" s="141"/>
      <c r="J27" s="141"/>
      <c r="K27" s="141"/>
      <c r="L27" s="85"/>
    </row>
    <row r="28" spans="1:17">
      <c r="E28" s="88"/>
    </row>
    <row r="29" spans="1:17">
      <c r="E29" s="87" t="str">
        <f t="shared" ref="E29:E39" si="4">PROPER(A3)</f>
        <v>Blue Mountain</v>
      </c>
      <c r="F29" s="89">
        <f t="shared" ref="F29:F41" si="5">P3</f>
        <v>16159299</v>
      </c>
      <c r="H29" s="28" t="s">
        <v>3</v>
      </c>
      <c r="I29" s="373">
        <v>25569582</v>
      </c>
    </row>
    <row r="30" spans="1:17">
      <c r="E30" s="87" t="str">
        <f t="shared" si="4"/>
        <v>Columbia Cascade</v>
      </c>
      <c r="F30" s="89">
        <f t="shared" si="5"/>
        <v>21214325</v>
      </c>
      <c r="H30" s="28" t="s">
        <v>51</v>
      </c>
      <c r="I30" s="373">
        <v>4911421</v>
      </c>
    </row>
    <row r="31" spans="1:17">
      <c r="B31" s="28"/>
      <c r="C31" s="28"/>
      <c r="E31" s="87" t="str">
        <f t="shared" si="4"/>
        <v>Columbia Gorge</v>
      </c>
      <c r="F31" s="89">
        <f t="shared" si="5"/>
        <v>8473674</v>
      </c>
      <c r="H31" s="28" t="s">
        <v>266</v>
      </c>
      <c r="I31" s="373">
        <v>4194736</v>
      </c>
    </row>
    <row r="32" spans="1:17">
      <c r="B32" s="28"/>
      <c r="C32" s="28"/>
      <c r="E32" s="87" t="str">
        <f t="shared" si="4"/>
        <v>Columbia Plateau</v>
      </c>
      <c r="F32" s="89">
        <f t="shared" si="5"/>
        <v>73068145</v>
      </c>
      <c r="H32" s="28" t="s">
        <v>303</v>
      </c>
      <c r="I32" s="373">
        <v>8473674</v>
      </c>
    </row>
    <row r="33" spans="2:9">
      <c r="B33" s="28"/>
      <c r="C33" s="28"/>
      <c r="E33" s="87" t="str">
        <f t="shared" si="4"/>
        <v>Columbia Estuary</v>
      </c>
      <c r="F33" s="89">
        <f t="shared" si="5"/>
        <v>8523017</v>
      </c>
      <c r="H33" s="28" t="s">
        <v>290</v>
      </c>
      <c r="I33" s="373">
        <v>8523017</v>
      </c>
    </row>
    <row r="34" spans="2:9">
      <c r="B34" s="28"/>
      <c r="C34" s="28"/>
      <c r="E34" s="87" t="str">
        <f t="shared" si="4"/>
        <v>Intermountain</v>
      </c>
      <c r="F34" s="89">
        <f t="shared" si="5"/>
        <v>18159996</v>
      </c>
      <c r="H34" s="28" t="s">
        <v>253</v>
      </c>
      <c r="I34" s="373">
        <v>14927618</v>
      </c>
    </row>
    <row r="35" spans="2:9">
      <c r="B35" s="28"/>
      <c r="C35" s="28"/>
      <c r="E35" s="87" t="str">
        <f t="shared" si="4"/>
        <v>Lower Columbia</v>
      </c>
      <c r="F35" s="89">
        <f t="shared" si="5"/>
        <v>36056424</v>
      </c>
      <c r="H35" s="28" t="s">
        <v>317</v>
      </c>
      <c r="I35" s="373">
        <v>16159299</v>
      </c>
    </row>
    <row r="36" spans="2:9">
      <c r="E36" s="87" t="str">
        <f t="shared" si="4"/>
        <v>Middle Snake</v>
      </c>
      <c r="F36" s="89">
        <f t="shared" si="5"/>
        <v>4194736</v>
      </c>
      <c r="H36" s="28" t="s">
        <v>281</v>
      </c>
      <c r="I36" s="373">
        <v>18159996</v>
      </c>
    </row>
    <row r="37" spans="2:9">
      <c r="E37" s="87" t="str">
        <f t="shared" si="4"/>
        <v>Mountain Columbia</v>
      </c>
      <c r="F37" s="89">
        <f t="shared" si="5"/>
        <v>24062705</v>
      </c>
      <c r="H37" s="28" t="s">
        <v>310</v>
      </c>
      <c r="I37" s="373">
        <v>21214325</v>
      </c>
    </row>
    <row r="38" spans="2:9">
      <c r="E38" s="87" t="str">
        <f t="shared" si="4"/>
        <v>Mountain Snake</v>
      </c>
      <c r="F38" s="89">
        <f t="shared" si="5"/>
        <v>27685383</v>
      </c>
      <c r="H38" s="28" t="s">
        <v>260</v>
      </c>
      <c r="I38" s="373">
        <v>24062705</v>
      </c>
    </row>
    <row r="39" spans="2:9">
      <c r="E39" s="87" t="str">
        <f t="shared" si="4"/>
        <v>Upper Snake</v>
      </c>
      <c r="F39" s="89">
        <f t="shared" si="5"/>
        <v>14927618</v>
      </c>
      <c r="H39" s="28" t="s">
        <v>257</v>
      </c>
      <c r="I39" s="373">
        <v>27685383</v>
      </c>
    </row>
    <row r="40" spans="2:9">
      <c r="E40" s="87" t="s">
        <v>51</v>
      </c>
      <c r="F40" s="89">
        <f t="shared" si="5"/>
        <v>4911421</v>
      </c>
      <c r="H40" s="28" t="s">
        <v>274</v>
      </c>
      <c r="I40" s="373">
        <v>36056424</v>
      </c>
    </row>
    <row r="41" spans="2:9">
      <c r="E41" s="87" t="s">
        <v>3</v>
      </c>
      <c r="F41" s="89">
        <f t="shared" si="5"/>
        <v>25569582</v>
      </c>
      <c r="H41" s="28" t="s">
        <v>292</v>
      </c>
      <c r="I41" s="373">
        <v>73068145</v>
      </c>
    </row>
    <row r="43" spans="2:9">
      <c r="E43" s="39"/>
      <c r="H43" s="372"/>
    </row>
    <row r="44" spans="2:9">
      <c r="E44" s="39"/>
      <c r="H44" s="372"/>
    </row>
    <row r="45" spans="2:9">
      <c r="E45" s="39"/>
      <c r="H45" s="372"/>
    </row>
    <row r="46" spans="2:9">
      <c r="E46" s="39"/>
      <c r="H46" s="372"/>
    </row>
    <row r="47" spans="2:9">
      <c r="E47" s="39"/>
      <c r="H47" s="372"/>
    </row>
    <row r="48" spans="2:9">
      <c r="E48" s="39"/>
      <c r="H48" s="372"/>
    </row>
    <row r="49" spans="1:6">
      <c r="E49" s="39"/>
    </row>
    <row r="63" spans="1:6">
      <c r="E63" s="28"/>
      <c r="F63" s="28"/>
    </row>
    <row r="64" spans="1:6">
      <c r="A64" s="31"/>
      <c r="B64" s="28"/>
      <c r="C64" s="28"/>
      <c r="D64" s="28"/>
      <c r="E64" s="28"/>
      <c r="F64" s="28"/>
    </row>
    <row r="65" spans="1:6">
      <c r="A65" s="31"/>
      <c r="B65" s="28"/>
      <c r="C65" s="28"/>
      <c r="D65" s="28"/>
      <c r="E65" s="28"/>
      <c r="F65" s="28"/>
    </row>
    <row r="66" spans="1:6">
      <c r="A66" s="31"/>
      <c r="B66" s="28"/>
      <c r="C66" s="28"/>
      <c r="D66" s="28"/>
      <c r="E66" s="28"/>
      <c r="F66" s="28"/>
    </row>
    <row r="67" spans="1:6">
      <c r="A67" s="32"/>
      <c r="B67" s="28"/>
      <c r="C67" s="28"/>
      <c r="D67" s="28"/>
      <c r="E67" s="28"/>
      <c r="F67" s="28"/>
    </row>
    <row r="68" spans="1:6">
      <c r="A68" s="31"/>
      <c r="B68" s="28"/>
      <c r="C68" s="28"/>
      <c r="D68" s="28"/>
      <c r="E68" s="28"/>
      <c r="F68" s="28"/>
    </row>
    <row r="69" spans="1:6">
      <c r="A69" s="31"/>
      <c r="B69" s="28"/>
      <c r="C69" s="28"/>
      <c r="D69" s="28"/>
      <c r="E69" s="28"/>
      <c r="F69" s="28"/>
    </row>
    <row r="70" spans="1:6">
      <c r="A70" s="31"/>
      <c r="B70" s="28"/>
      <c r="C70" s="28"/>
      <c r="D70" s="28"/>
      <c r="E70" s="28"/>
      <c r="F70" s="28"/>
    </row>
    <row r="71" spans="1:6">
      <c r="A71" s="31"/>
      <c r="B71" s="28"/>
      <c r="C71" s="28"/>
      <c r="D71" s="28"/>
      <c r="E71" s="28"/>
      <c r="F71" s="28"/>
    </row>
    <row r="72" spans="1:6">
      <c r="A72" s="31"/>
      <c r="B72" s="28"/>
      <c r="C72" s="28"/>
      <c r="D72" s="28"/>
      <c r="E72" s="28"/>
      <c r="F72" s="28"/>
    </row>
    <row r="73" spans="1:6">
      <c r="A73" s="31"/>
      <c r="B73" s="28"/>
      <c r="C73" s="28"/>
      <c r="D73" s="28"/>
      <c r="E73" s="28"/>
      <c r="F73" s="28"/>
    </row>
    <row r="74" spans="1:6">
      <c r="A74" s="31"/>
      <c r="B74" s="28"/>
      <c r="C74" s="28"/>
      <c r="D74" s="28"/>
      <c r="E74" s="28"/>
      <c r="F74" s="28"/>
    </row>
    <row r="75" spans="1:6">
      <c r="A75" s="31"/>
      <c r="B75" s="28"/>
      <c r="C75" s="28"/>
      <c r="D75" s="28"/>
    </row>
    <row r="76" spans="1:6">
      <c r="E76" s="28"/>
      <c r="F76" s="28"/>
    </row>
    <row r="77" spans="1:6">
      <c r="A77" s="31"/>
      <c r="B77" s="28"/>
      <c r="C77" s="28"/>
      <c r="D77" s="28"/>
      <c r="E77" s="28"/>
      <c r="F77" s="28"/>
    </row>
    <row r="78" spans="1:6">
      <c r="A78" s="31"/>
      <c r="B78" s="28"/>
      <c r="C78" s="28"/>
      <c r="D78" s="28"/>
      <c r="E78" s="28"/>
      <c r="F78" s="28"/>
    </row>
    <row r="79" spans="1:6">
      <c r="A79" s="31"/>
      <c r="B79" s="28"/>
      <c r="C79" s="28"/>
      <c r="D79" s="28"/>
    </row>
  </sheetData>
  <sortState xmlns:xlrd2="http://schemas.microsoft.com/office/spreadsheetml/2017/richdata2" ref="H29:I41">
    <sortCondition ref="I29:I41"/>
  </sortState>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F04A-3322-414A-BC92-58B9AEE60C67}">
  <sheetPr>
    <pageSetUpPr fitToPage="1"/>
  </sheetPr>
  <dimension ref="A1:L102"/>
  <sheetViews>
    <sheetView workbookViewId="0"/>
  </sheetViews>
  <sheetFormatPr defaultColWidth="9.109375" defaultRowHeight="14.4"/>
  <cols>
    <col min="1" max="1" width="29.109375" style="76" customWidth="1"/>
    <col min="2" max="2" width="49" style="76" bestFit="1" customWidth="1"/>
    <col min="3" max="3" width="16.5546875" style="76" bestFit="1" customWidth="1"/>
    <col min="4" max="4" width="13.6640625" style="76" customWidth="1"/>
    <col min="5" max="5" width="14.33203125" style="76" customWidth="1"/>
    <col min="6" max="6" width="10.109375" style="76" bestFit="1" customWidth="1"/>
    <col min="7" max="16384" width="9.109375" style="76"/>
  </cols>
  <sheetData>
    <row r="1" spans="1:12" ht="15.6">
      <c r="A1" s="205" t="str">
        <f>"Figure 7B: Costs by Subbasin, FY" &amp; E3</f>
        <v>Figure 7B: Costs by Subbasin, FY2021</v>
      </c>
    </row>
    <row r="3" spans="1:12" s="178" customFormat="1">
      <c r="A3" s="211" t="s">
        <v>50</v>
      </c>
      <c r="B3" s="211" t="s">
        <v>340</v>
      </c>
      <c r="C3" s="212">
        <v>2019</v>
      </c>
      <c r="D3" s="212">
        <v>2020</v>
      </c>
      <c r="E3" s="212">
        <v>2021</v>
      </c>
      <c r="G3" s="154"/>
      <c r="I3" s="154"/>
      <c r="L3" s="154"/>
    </row>
    <row r="4" spans="1:12">
      <c r="A4" s="177" t="s">
        <v>266</v>
      </c>
      <c r="B4" s="177" t="s">
        <v>267</v>
      </c>
      <c r="C4" s="177">
        <v>25689</v>
      </c>
      <c r="D4" s="177">
        <v>0</v>
      </c>
      <c r="E4" s="232">
        <v>0</v>
      </c>
    </row>
    <row r="5" spans="1:12">
      <c r="A5" s="177" t="s">
        <v>260</v>
      </c>
      <c r="B5" s="177" t="s">
        <v>263</v>
      </c>
      <c r="C5" s="177">
        <v>436666</v>
      </c>
      <c r="D5" s="177">
        <v>110180</v>
      </c>
      <c r="E5" s="232">
        <v>4129</v>
      </c>
    </row>
    <row r="6" spans="1:12">
      <c r="A6" s="177" t="s">
        <v>266</v>
      </c>
      <c r="B6" s="177" t="s">
        <v>271</v>
      </c>
      <c r="C6" s="177">
        <v>22359</v>
      </c>
      <c r="D6" s="177">
        <v>17229</v>
      </c>
      <c r="E6" s="232">
        <v>12713</v>
      </c>
    </row>
    <row r="7" spans="1:12">
      <c r="A7" s="177" t="s">
        <v>303</v>
      </c>
      <c r="B7" s="177" t="s">
        <v>308</v>
      </c>
      <c r="C7" s="177">
        <v>29103</v>
      </c>
      <c r="D7" s="177">
        <v>26782</v>
      </c>
      <c r="E7" s="232">
        <v>28117</v>
      </c>
    </row>
    <row r="8" spans="1:12">
      <c r="A8" s="177" t="s">
        <v>292</v>
      </c>
      <c r="B8" s="177" t="s">
        <v>297</v>
      </c>
      <c r="C8" s="177">
        <v>42083</v>
      </c>
      <c r="D8" s="177">
        <v>39667</v>
      </c>
      <c r="E8" s="232">
        <v>36202</v>
      </c>
    </row>
    <row r="9" spans="1:12">
      <c r="A9" s="177" t="s">
        <v>253</v>
      </c>
      <c r="B9" s="177" t="s">
        <v>252</v>
      </c>
      <c r="C9" s="177">
        <v>23087</v>
      </c>
      <c r="D9" s="177">
        <v>113812</v>
      </c>
      <c r="E9" s="232">
        <v>69288</v>
      </c>
    </row>
    <row r="10" spans="1:12">
      <c r="A10" s="177" t="s">
        <v>274</v>
      </c>
      <c r="B10" s="177" t="s">
        <v>275</v>
      </c>
      <c r="C10" s="177">
        <v>108564</v>
      </c>
      <c r="D10" s="177">
        <v>97552</v>
      </c>
      <c r="E10" s="232">
        <v>84159</v>
      </c>
    </row>
    <row r="11" spans="1:12">
      <c r="A11" s="177" t="s">
        <v>266</v>
      </c>
      <c r="B11" s="177" t="s">
        <v>265</v>
      </c>
      <c r="C11" s="177">
        <v>86240</v>
      </c>
      <c r="D11" s="177">
        <v>56671</v>
      </c>
      <c r="E11" s="232">
        <v>87518</v>
      </c>
    </row>
    <row r="12" spans="1:12">
      <c r="A12" s="177" t="s">
        <v>274</v>
      </c>
      <c r="B12" s="177" t="s">
        <v>276</v>
      </c>
      <c r="C12" s="177">
        <v>91303</v>
      </c>
      <c r="D12" s="177">
        <v>62879</v>
      </c>
      <c r="E12" s="232">
        <v>89983</v>
      </c>
    </row>
    <row r="13" spans="1:12">
      <c r="A13" s="177" t="s">
        <v>274</v>
      </c>
      <c r="B13" s="177" t="s">
        <v>278</v>
      </c>
      <c r="C13" s="177">
        <v>81943</v>
      </c>
      <c r="D13" s="177">
        <v>86814</v>
      </c>
      <c r="E13" s="232">
        <v>94799</v>
      </c>
    </row>
    <row r="14" spans="1:12">
      <c r="A14" s="177" t="s">
        <v>287</v>
      </c>
      <c r="B14" s="177" t="s">
        <v>289</v>
      </c>
      <c r="C14" s="177">
        <v>122342</v>
      </c>
      <c r="D14" s="177">
        <v>123847</v>
      </c>
      <c r="E14" s="232">
        <v>130099</v>
      </c>
    </row>
    <row r="15" spans="1:12">
      <c r="A15" s="177" t="s">
        <v>253</v>
      </c>
      <c r="B15" s="177" t="s">
        <v>255</v>
      </c>
      <c r="C15" s="177">
        <v>132028</v>
      </c>
      <c r="D15" s="177">
        <v>298503</v>
      </c>
      <c r="E15" s="232">
        <v>169018</v>
      </c>
    </row>
    <row r="16" spans="1:12">
      <c r="A16" s="177" t="s">
        <v>303</v>
      </c>
      <c r="B16" s="177" t="s">
        <v>307</v>
      </c>
      <c r="C16" s="177">
        <v>709426</v>
      </c>
      <c r="D16" s="177">
        <v>391797</v>
      </c>
      <c r="E16" s="232">
        <v>261312</v>
      </c>
    </row>
    <row r="17" spans="1:5">
      <c r="A17" s="177" t="s">
        <v>260</v>
      </c>
      <c r="B17" s="177" t="s">
        <v>264</v>
      </c>
      <c r="C17" s="177">
        <v>215578</v>
      </c>
      <c r="D17" s="177">
        <v>276255</v>
      </c>
      <c r="E17" s="232">
        <v>264719</v>
      </c>
    </row>
    <row r="18" spans="1:5">
      <c r="A18" s="177" t="s">
        <v>260</v>
      </c>
      <c r="B18" s="177" t="s">
        <v>262</v>
      </c>
      <c r="C18" s="177">
        <v>443387</v>
      </c>
      <c r="D18" s="177">
        <v>4390636</v>
      </c>
      <c r="E18" s="232">
        <v>418010</v>
      </c>
    </row>
    <row r="19" spans="1:5">
      <c r="A19" s="177" t="s">
        <v>266</v>
      </c>
      <c r="B19" s="177" t="s">
        <v>268</v>
      </c>
      <c r="C19" s="177">
        <v>423740</v>
      </c>
      <c r="D19" s="177">
        <v>417485</v>
      </c>
      <c r="E19" s="232">
        <v>419033</v>
      </c>
    </row>
    <row r="20" spans="1:5">
      <c r="A20" s="177" t="s">
        <v>274</v>
      </c>
      <c r="B20" s="177" t="s">
        <v>277</v>
      </c>
      <c r="C20" s="177">
        <v>411339</v>
      </c>
      <c r="D20" s="177">
        <v>371864</v>
      </c>
      <c r="E20" s="232">
        <v>433073</v>
      </c>
    </row>
    <row r="21" spans="1:5">
      <c r="A21" s="177" t="s">
        <v>310</v>
      </c>
      <c r="B21" s="177" t="s">
        <v>313</v>
      </c>
      <c r="C21" s="177">
        <v>1305518</v>
      </c>
      <c r="D21" s="177">
        <v>1066181</v>
      </c>
      <c r="E21" s="232">
        <v>462057</v>
      </c>
    </row>
    <row r="22" spans="1:5">
      <c r="A22" s="177" t="s">
        <v>292</v>
      </c>
      <c r="B22" s="177" t="s">
        <v>300</v>
      </c>
      <c r="C22" s="177">
        <v>742162</v>
      </c>
      <c r="D22" s="177">
        <v>740132</v>
      </c>
      <c r="E22" s="232">
        <v>537052</v>
      </c>
    </row>
    <row r="23" spans="1:5">
      <c r="A23" s="177" t="s">
        <v>303</v>
      </c>
      <c r="B23" s="177" t="s">
        <v>304</v>
      </c>
      <c r="C23" s="177">
        <v>433593</v>
      </c>
      <c r="D23" s="177">
        <v>460445</v>
      </c>
      <c r="E23" s="232">
        <v>621418</v>
      </c>
    </row>
    <row r="24" spans="1:5">
      <c r="A24" s="177" t="s">
        <v>303</v>
      </c>
      <c r="B24" s="177" t="s">
        <v>302</v>
      </c>
      <c r="C24" s="177">
        <v>573171</v>
      </c>
      <c r="D24" s="177">
        <v>564146</v>
      </c>
      <c r="E24" s="232">
        <v>648386</v>
      </c>
    </row>
    <row r="25" spans="1:5">
      <c r="A25" s="177" t="s">
        <v>266</v>
      </c>
      <c r="B25" s="177" t="s">
        <v>270</v>
      </c>
      <c r="C25" s="177">
        <v>675711</v>
      </c>
      <c r="D25" s="177">
        <v>798453</v>
      </c>
      <c r="E25" s="232">
        <v>690752</v>
      </c>
    </row>
    <row r="26" spans="1:5">
      <c r="A26" s="177" t="s">
        <v>317</v>
      </c>
      <c r="B26" s="177" t="s">
        <v>320</v>
      </c>
      <c r="C26" s="177">
        <v>518872</v>
      </c>
      <c r="D26" s="177">
        <v>663968</v>
      </c>
      <c r="E26" s="232">
        <v>703694</v>
      </c>
    </row>
    <row r="27" spans="1:5">
      <c r="A27" s="177" t="s">
        <v>317</v>
      </c>
      <c r="B27" s="177" t="s">
        <v>318</v>
      </c>
      <c r="C27" s="177">
        <v>1343568</v>
      </c>
      <c r="D27" s="177">
        <v>1125091</v>
      </c>
      <c r="E27" s="232">
        <v>1005211</v>
      </c>
    </row>
    <row r="28" spans="1:5">
      <c r="A28" s="177" t="s">
        <v>310</v>
      </c>
      <c r="B28" s="177" t="s">
        <v>314</v>
      </c>
      <c r="C28" s="177">
        <v>722932</v>
      </c>
      <c r="D28" s="177">
        <v>651168</v>
      </c>
      <c r="E28" s="232">
        <v>1031908</v>
      </c>
    </row>
    <row r="29" spans="1:5">
      <c r="A29" s="177" t="s">
        <v>266</v>
      </c>
      <c r="B29" s="177" t="s">
        <v>269</v>
      </c>
      <c r="C29" s="177">
        <v>1199232</v>
      </c>
      <c r="D29" s="177">
        <v>956371</v>
      </c>
      <c r="E29" s="232">
        <v>1071241</v>
      </c>
    </row>
    <row r="30" spans="1:5">
      <c r="A30" s="177" t="s">
        <v>287</v>
      </c>
      <c r="B30" s="177" t="s">
        <v>286</v>
      </c>
      <c r="C30" s="177">
        <v>1013810</v>
      </c>
      <c r="D30" s="177">
        <v>1276023</v>
      </c>
      <c r="E30" s="232">
        <v>1149467</v>
      </c>
    </row>
    <row r="31" spans="1:5">
      <c r="A31" s="177" t="s">
        <v>281</v>
      </c>
      <c r="B31" s="177" t="s">
        <v>282</v>
      </c>
      <c r="C31" s="177">
        <v>1972702</v>
      </c>
      <c r="D31" s="177">
        <v>1736157</v>
      </c>
      <c r="E31" s="232">
        <v>1395903</v>
      </c>
    </row>
    <row r="32" spans="1:5">
      <c r="A32" s="177" t="s">
        <v>287</v>
      </c>
      <c r="B32" s="177" t="s">
        <v>288</v>
      </c>
      <c r="C32" s="177">
        <v>1498079</v>
      </c>
      <c r="D32" s="177">
        <v>976127</v>
      </c>
      <c r="E32" s="232">
        <v>1662018</v>
      </c>
    </row>
    <row r="33" spans="1:5">
      <c r="A33" s="177" t="s">
        <v>317</v>
      </c>
      <c r="B33" s="177" t="s">
        <v>316</v>
      </c>
      <c r="C33" s="177">
        <v>1237767</v>
      </c>
      <c r="D33" s="177">
        <v>963718</v>
      </c>
      <c r="E33" s="232">
        <v>1740550</v>
      </c>
    </row>
    <row r="34" spans="1:5">
      <c r="A34" s="177" t="s">
        <v>303</v>
      </c>
      <c r="B34" s="177" t="s">
        <v>305</v>
      </c>
      <c r="C34" s="177">
        <v>3249660</v>
      </c>
      <c r="D34" s="177">
        <v>2467141</v>
      </c>
      <c r="E34" s="232">
        <v>1873494</v>
      </c>
    </row>
    <row r="35" spans="1:5">
      <c r="A35" s="177" t="s">
        <v>266</v>
      </c>
      <c r="B35" s="177" t="s">
        <v>272</v>
      </c>
      <c r="C35" s="177">
        <v>1971459</v>
      </c>
      <c r="D35" s="177">
        <v>1885081</v>
      </c>
      <c r="E35" s="232">
        <v>1913479</v>
      </c>
    </row>
    <row r="36" spans="1:5">
      <c r="A36" s="177" t="s">
        <v>281</v>
      </c>
      <c r="B36" s="177" t="s">
        <v>285</v>
      </c>
      <c r="C36" s="177">
        <v>2039218</v>
      </c>
      <c r="D36" s="177">
        <v>2077580</v>
      </c>
      <c r="E36" s="232">
        <v>2037737</v>
      </c>
    </row>
    <row r="37" spans="1:5">
      <c r="A37" s="177" t="s">
        <v>303</v>
      </c>
      <c r="B37" s="177" t="s">
        <v>303</v>
      </c>
      <c r="C37" s="177">
        <v>2656838</v>
      </c>
      <c r="D37" s="177">
        <v>2340670</v>
      </c>
      <c r="E37" s="232">
        <v>2492464</v>
      </c>
    </row>
    <row r="38" spans="1:5">
      <c r="A38" s="177" t="s">
        <v>303</v>
      </c>
      <c r="B38" s="177" t="s">
        <v>306</v>
      </c>
      <c r="C38" s="177">
        <v>3698190</v>
      </c>
      <c r="D38" s="177">
        <v>3470656</v>
      </c>
      <c r="E38" s="232">
        <v>2548483</v>
      </c>
    </row>
    <row r="39" spans="1:5">
      <c r="A39" s="177" t="s">
        <v>292</v>
      </c>
      <c r="B39" s="177" t="s">
        <v>295</v>
      </c>
      <c r="C39" s="177">
        <v>1911010</v>
      </c>
      <c r="D39" s="177">
        <v>2425481</v>
      </c>
      <c r="E39" s="232">
        <v>3397606</v>
      </c>
    </row>
    <row r="40" spans="1:5">
      <c r="A40" s="177" t="s">
        <v>281</v>
      </c>
      <c r="B40" s="177" t="s">
        <v>280</v>
      </c>
      <c r="C40" s="177">
        <v>2922853</v>
      </c>
      <c r="D40" s="177">
        <v>3083783</v>
      </c>
      <c r="E40" s="232">
        <v>3716621</v>
      </c>
    </row>
    <row r="41" spans="1:5">
      <c r="A41" s="177" t="s">
        <v>310</v>
      </c>
      <c r="B41" s="177" t="s">
        <v>309</v>
      </c>
      <c r="C41" s="177">
        <v>2165825</v>
      </c>
      <c r="D41" s="177">
        <v>2697368</v>
      </c>
      <c r="E41" s="232">
        <v>3852114</v>
      </c>
    </row>
    <row r="42" spans="1:5">
      <c r="A42" s="177" t="s">
        <v>310</v>
      </c>
      <c r="B42" s="177" t="s">
        <v>311</v>
      </c>
      <c r="C42" s="177">
        <v>5823872</v>
      </c>
      <c r="D42" s="177">
        <v>5113491</v>
      </c>
      <c r="E42" s="232">
        <v>4659063</v>
      </c>
    </row>
    <row r="43" spans="1:5">
      <c r="A43" s="177" t="s">
        <v>51</v>
      </c>
      <c r="B43" s="177" t="s">
        <v>51</v>
      </c>
      <c r="C43" s="177">
        <v>4720584</v>
      </c>
      <c r="D43" s="177">
        <v>5039768</v>
      </c>
      <c r="E43" s="232">
        <v>4911421</v>
      </c>
    </row>
    <row r="44" spans="1:5">
      <c r="A44" s="177" t="s">
        <v>281</v>
      </c>
      <c r="B44" s="177" t="s">
        <v>283</v>
      </c>
      <c r="C44" s="177">
        <v>5608712</v>
      </c>
      <c r="D44" s="177">
        <v>5651060</v>
      </c>
      <c r="E44" s="232">
        <v>5009376</v>
      </c>
    </row>
    <row r="45" spans="1:5">
      <c r="A45" s="177" t="s">
        <v>310</v>
      </c>
      <c r="B45" s="177" t="s">
        <v>312</v>
      </c>
      <c r="C45" s="177">
        <v>5777371</v>
      </c>
      <c r="D45" s="177">
        <v>5192007</v>
      </c>
      <c r="E45" s="232">
        <v>5039328</v>
      </c>
    </row>
    <row r="46" spans="1:5">
      <c r="A46" s="177" t="s">
        <v>292</v>
      </c>
      <c r="B46" s="177" t="s">
        <v>301</v>
      </c>
      <c r="C46" s="177">
        <v>4636585</v>
      </c>
      <c r="D46" s="177">
        <v>4084647</v>
      </c>
      <c r="E46" s="232">
        <v>5192557</v>
      </c>
    </row>
    <row r="47" spans="1:5">
      <c r="A47" s="177" t="s">
        <v>292</v>
      </c>
      <c r="B47" s="177" t="s">
        <v>296</v>
      </c>
      <c r="C47" s="177">
        <v>5723325</v>
      </c>
      <c r="D47" s="177">
        <v>4701192</v>
      </c>
      <c r="E47" s="232">
        <v>5331360</v>
      </c>
    </row>
    <row r="48" spans="1:5">
      <c r="A48" s="177" t="s">
        <v>287</v>
      </c>
      <c r="B48" s="177" t="s">
        <v>290</v>
      </c>
      <c r="C48" s="177">
        <v>4325289</v>
      </c>
      <c r="D48" s="177">
        <v>4794544</v>
      </c>
      <c r="E48" s="232">
        <v>5581433</v>
      </c>
    </row>
    <row r="49" spans="1:5">
      <c r="A49" s="177" t="s">
        <v>292</v>
      </c>
      <c r="B49" s="177" t="s">
        <v>299</v>
      </c>
      <c r="C49" s="177">
        <v>8183285</v>
      </c>
      <c r="D49" s="177">
        <v>6293622</v>
      </c>
      <c r="E49" s="232">
        <v>5710500</v>
      </c>
    </row>
    <row r="50" spans="1:5">
      <c r="A50" s="177" t="s">
        <v>281</v>
      </c>
      <c r="B50" s="177" t="s">
        <v>284</v>
      </c>
      <c r="C50" s="177">
        <v>6514202</v>
      </c>
      <c r="D50" s="177">
        <v>6261922</v>
      </c>
      <c r="E50" s="232">
        <v>6000359</v>
      </c>
    </row>
    <row r="51" spans="1:5">
      <c r="A51" s="177" t="s">
        <v>310</v>
      </c>
      <c r="B51" s="177" t="s">
        <v>315</v>
      </c>
      <c r="C51" s="177">
        <v>4418320</v>
      </c>
      <c r="D51" s="177">
        <v>6084261</v>
      </c>
      <c r="E51" s="232">
        <v>6169855</v>
      </c>
    </row>
    <row r="52" spans="1:5">
      <c r="A52" s="177" t="s">
        <v>292</v>
      </c>
      <c r="B52" s="177" t="s">
        <v>298</v>
      </c>
      <c r="C52" s="177">
        <v>7867962</v>
      </c>
      <c r="D52" s="177">
        <v>8134508</v>
      </c>
      <c r="E52" s="232">
        <v>8408978</v>
      </c>
    </row>
    <row r="53" spans="1:5">
      <c r="A53" s="177" t="s">
        <v>292</v>
      </c>
      <c r="B53" s="177" t="s">
        <v>294</v>
      </c>
      <c r="C53" s="177">
        <v>7836471</v>
      </c>
      <c r="D53" s="177">
        <v>7947325</v>
      </c>
      <c r="E53" s="232">
        <v>9193512</v>
      </c>
    </row>
    <row r="54" spans="1:5">
      <c r="A54" s="177" t="s">
        <v>260</v>
      </c>
      <c r="B54" s="177" t="s">
        <v>259</v>
      </c>
      <c r="C54" s="177">
        <v>10581994</v>
      </c>
      <c r="D54" s="177">
        <v>10698904</v>
      </c>
      <c r="E54" s="232">
        <v>10319617</v>
      </c>
    </row>
    <row r="55" spans="1:5">
      <c r="A55" s="177" t="s">
        <v>317</v>
      </c>
      <c r="B55" s="177" t="s">
        <v>319</v>
      </c>
      <c r="C55" s="177">
        <v>12506487</v>
      </c>
      <c r="D55" s="177">
        <v>11856025</v>
      </c>
      <c r="E55" s="232">
        <v>12709844</v>
      </c>
    </row>
    <row r="56" spans="1:5">
      <c r="A56" s="177" t="s">
        <v>257</v>
      </c>
      <c r="B56" s="177" t="s">
        <v>258</v>
      </c>
      <c r="C56" s="177">
        <v>14260246</v>
      </c>
      <c r="D56" s="177">
        <v>12695998</v>
      </c>
      <c r="E56" s="232">
        <v>13051782</v>
      </c>
    </row>
    <row r="57" spans="1:5">
      <c r="A57" s="177" t="s">
        <v>260</v>
      </c>
      <c r="B57" s="177" t="s">
        <v>261</v>
      </c>
      <c r="C57" s="177">
        <v>2351857</v>
      </c>
      <c r="D57" s="177">
        <v>4492830</v>
      </c>
      <c r="E57" s="232">
        <v>13056230</v>
      </c>
    </row>
    <row r="58" spans="1:5">
      <c r="A58" s="177" t="s">
        <v>257</v>
      </c>
      <c r="B58" s="177" t="s">
        <v>256</v>
      </c>
      <c r="C58" s="177">
        <v>13093069</v>
      </c>
      <c r="D58" s="177">
        <v>13279175</v>
      </c>
      <c r="E58" s="232">
        <v>14633601</v>
      </c>
    </row>
    <row r="59" spans="1:5">
      <c r="A59" s="177" t="s">
        <v>253</v>
      </c>
      <c r="B59" s="177" t="s">
        <v>254</v>
      </c>
      <c r="C59" s="177">
        <v>5099313</v>
      </c>
      <c r="D59" s="177">
        <v>8450461</v>
      </c>
      <c r="E59" s="232">
        <v>14689312</v>
      </c>
    </row>
    <row r="60" spans="1:5">
      <c r="A60" s="177" t="s">
        <v>292</v>
      </c>
      <c r="B60" s="177" t="s">
        <v>293</v>
      </c>
      <c r="C60" s="177">
        <v>4070365</v>
      </c>
      <c r="D60" s="177">
        <v>16903087</v>
      </c>
      <c r="E60" s="232">
        <v>14853092</v>
      </c>
    </row>
    <row r="61" spans="1:5">
      <c r="A61" s="177" t="s">
        <v>274</v>
      </c>
      <c r="B61" s="177" t="s">
        <v>279</v>
      </c>
      <c r="C61" s="177">
        <v>6144027</v>
      </c>
      <c r="D61" s="177">
        <v>14303365</v>
      </c>
      <c r="E61" s="232">
        <v>16049035</v>
      </c>
    </row>
    <row r="62" spans="1:5">
      <c r="A62" s="177" t="s">
        <v>274</v>
      </c>
      <c r="B62" s="177" t="s">
        <v>273</v>
      </c>
      <c r="C62" s="177">
        <v>26707470</v>
      </c>
      <c r="D62" s="177">
        <v>22221493</v>
      </c>
      <c r="E62" s="232">
        <v>19305375</v>
      </c>
    </row>
    <row r="63" spans="1:5">
      <c r="A63" s="177" t="s">
        <v>292</v>
      </c>
      <c r="B63" s="177" t="s">
        <v>291</v>
      </c>
      <c r="C63" s="177">
        <v>29873134</v>
      </c>
      <c r="D63" s="177">
        <v>25120989</v>
      </c>
      <c r="E63" s="232">
        <v>20407286</v>
      </c>
    </row>
    <row r="64" spans="1:5" ht="17.399999999999999">
      <c r="A64" s="177" t="s">
        <v>251</v>
      </c>
      <c r="B64" s="177"/>
      <c r="C64" s="177">
        <v>17471914</v>
      </c>
      <c r="D64" s="177">
        <v>17792570</v>
      </c>
      <c r="E64" s="232">
        <v>25569582</v>
      </c>
    </row>
    <row r="65" spans="1:12">
      <c r="A65" s="177" t="s">
        <v>238</v>
      </c>
      <c r="B65" s="177"/>
      <c r="C65" s="177">
        <v>11607301</v>
      </c>
      <c r="D65" s="177">
        <v>11601030</v>
      </c>
      <c r="E65" s="232">
        <v>12327352</v>
      </c>
    </row>
    <row r="66" spans="1:12">
      <c r="A66" s="177" t="s">
        <v>239</v>
      </c>
      <c r="B66" s="177"/>
      <c r="C66" s="177">
        <v>254958</v>
      </c>
      <c r="D66" s="177">
        <v>213881</v>
      </c>
      <c r="E66" s="232">
        <v>179587</v>
      </c>
    </row>
    <row r="67" spans="1:12">
      <c r="A67" s="176" t="s">
        <v>37</v>
      </c>
      <c r="B67" s="175"/>
      <c r="C67" s="175"/>
      <c r="D67" s="175"/>
      <c r="E67" s="233">
        <f>SUM(E4:E66)</f>
        <v>295513264</v>
      </c>
    </row>
    <row r="68" spans="1:12">
      <c r="B68" s="31"/>
      <c r="C68" s="174"/>
    </row>
    <row r="69" spans="1:12">
      <c r="A69" s="34" t="s">
        <v>0</v>
      </c>
      <c r="B69" s="173"/>
    </row>
    <row r="70" spans="1:12">
      <c r="A70" s="358" t="s">
        <v>49</v>
      </c>
      <c r="B70" s="358"/>
      <c r="C70" s="358"/>
      <c r="D70" s="358"/>
      <c r="E70" s="358"/>
      <c r="F70" s="358"/>
      <c r="G70" s="358"/>
      <c r="H70" s="358"/>
    </row>
    <row r="71" spans="1:12">
      <c r="A71" s="358" t="s">
        <v>48</v>
      </c>
      <c r="B71" s="358"/>
      <c r="C71" s="358"/>
      <c r="D71" s="358"/>
      <c r="E71" s="358"/>
      <c r="F71" s="358"/>
      <c r="G71" s="358"/>
      <c r="H71" s="358"/>
    </row>
    <row r="72" spans="1:12">
      <c r="A72" s="169" t="s">
        <v>215</v>
      </c>
      <c r="B72" s="169"/>
      <c r="C72" s="169"/>
      <c r="D72" s="169"/>
      <c r="E72" s="169"/>
      <c r="F72" s="169"/>
      <c r="G72" s="169"/>
      <c r="H72" s="169"/>
    </row>
    <row r="73" spans="1:12">
      <c r="A73" s="169" t="s">
        <v>387</v>
      </c>
      <c r="B73" s="169"/>
      <c r="C73" s="169"/>
      <c r="D73" s="169"/>
      <c r="E73" s="169"/>
      <c r="F73" s="169"/>
      <c r="G73" s="169"/>
      <c r="H73" s="169"/>
      <c r="L73" s="169"/>
    </row>
    <row r="75" spans="1:12">
      <c r="A75" s="34" t="s">
        <v>74</v>
      </c>
    </row>
    <row r="76" spans="1:12">
      <c r="A76" s="32" t="str">
        <f>subtitle</f>
        <v>Total: $295.5 million includes $41.9 million in obligations to capital projects, plus General and Administrative (G&amp;A) expenses ($12.3 million, not included), and Columbia River System Operations Review/Environmental Impact Statement expenses ($0.2 million, not included)</v>
      </c>
    </row>
    <row r="102" spans="9:11">
      <c r="I102" s="169"/>
      <c r="J102" s="169"/>
      <c r="K102" s="169"/>
    </row>
  </sheetData>
  <sortState xmlns:xlrd2="http://schemas.microsoft.com/office/spreadsheetml/2017/richdata2" ref="I49:K108">
    <sortCondition ref="I49:I108"/>
  </sortState>
  <pageMargins left="0.7" right="0.7" top="0.75" bottom="0.75" header="0.3" footer="0.3"/>
  <pageSetup scale="65"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topLeftCell="H1" workbookViewId="0">
      <selection activeCell="K18" sqref="K18"/>
    </sheetView>
  </sheetViews>
  <sheetFormatPr defaultColWidth="9.109375" defaultRowHeight="14.4"/>
  <cols>
    <col min="1" max="1" width="55.33203125" style="76" customWidth="1"/>
    <col min="2" max="12" width="16.33203125" style="76" customWidth="1"/>
    <col min="13" max="13" width="0" style="76" hidden="1" customWidth="1"/>
    <col min="14" max="14" width="15.33203125" style="76" hidden="1" customWidth="1"/>
    <col min="15" max="16384" width="9.109375" style="76"/>
  </cols>
  <sheetData>
    <row r="1" spans="1:15" ht="22.5" customHeight="1">
      <c r="A1" s="397" t="str">
        <f>"Figure 8: Costs by Work Element Location, FY"&amp;L3</f>
        <v>Figure 8: Costs by Work Element Location, FY2021</v>
      </c>
      <c r="B1" s="397"/>
    </row>
    <row r="2" spans="1:15" ht="22.5" customHeight="1">
      <c r="A2" s="79"/>
      <c r="B2" s="95"/>
    </row>
    <row r="3" spans="1:15" ht="15.6">
      <c r="A3" s="209" t="s">
        <v>140</v>
      </c>
      <c r="B3" s="209">
        <v>2011</v>
      </c>
      <c r="C3" s="209">
        <v>2012</v>
      </c>
      <c r="D3" s="209">
        <v>2013</v>
      </c>
      <c r="E3" s="209">
        <v>2014</v>
      </c>
      <c r="F3" s="209">
        <v>2015</v>
      </c>
      <c r="G3" s="209">
        <v>2016</v>
      </c>
      <c r="H3" s="209">
        <v>2017</v>
      </c>
      <c r="I3" s="209">
        <v>2018</v>
      </c>
      <c r="J3" s="209">
        <v>2019</v>
      </c>
      <c r="K3" s="210">
        <v>2020</v>
      </c>
      <c r="L3" s="210">
        <v>2021</v>
      </c>
      <c r="M3" s="363"/>
      <c r="O3" s="153"/>
    </row>
    <row r="4" spans="1:15" ht="15.6">
      <c r="A4" s="81" t="s">
        <v>83</v>
      </c>
      <c r="B4" s="121">
        <v>121317883.59999999</v>
      </c>
      <c r="C4" s="121">
        <v>115404913</v>
      </c>
      <c r="D4" s="121">
        <v>95365193</v>
      </c>
      <c r="E4" s="121">
        <v>86071758</v>
      </c>
      <c r="F4" s="121">
        <v>90272231.799999997</v>
      </c>
      <c r="G4" s="121">
        <v>89322441</v>
      </c>
      <c r="H4" s="121">
        <v>87798353</v>
      </c>
      <c r="I4" s="121">
        <v>92421567</v>
      </c>
      <c r="J4" s="121">
        <v>94205715</v>
      </c>
      <c r="K4" s="121">
        <v>95808893</v>
      </c>
      <c r="L4" s="121">
        <v>94296806</v>
      </c>
      <c r="M4" s="206">
        <f t="shared" ref="M4:M10" si="0">L4/SUM(L$4:L$12)</f>
        <v>0.3192890392923256</v>
      </c>
      <c r="N4" s="79" t="str">
        <f>TEXT(L4,"$#0.0,,")&amp;" million"</f>
        <v>$94.3 million</v>
      </c>
    </row>
    <row r="5" spans="1:15" ht="15.6">
      <c r="A5" s="81" t="s">
        <v>82</v>
      </c>
      <c r="B5" s="121">
        <v>50870890</v>
      </c>
      <c r="C5" s="121">
        <v>73383217</v>
      </c>
      <c r="D5" s="121">
        <v>61857476</v>
      </c>
      <c r="E5" s="121">
        <v>78704753</v>
      </c>
      <c r="F5" s="121">
        <v>68248817.269999996</v>
      </c>
      <c r="G5" s="121">
        <v>60368059</v>
      </c>
      <c r="H5" s="121">
        <v>60237861</v>
      </c>
      <c r="I5" s="121">
        <v>64782417</v>
      </c>
      <c r="J5" s="121">
        <v>50632624</v>
      </c>
      <c r="K5" s="121">
        <v>55851117</v>
      </c>
      <c r="L5" s="121">
        <v>60979271</v>
      </c>
      <c r="M5" s="206">
        <f t="shared" si="0"/>
        <v>0.20647584664040872</v>
      </c>
      <c r="N5" s="79" t="str">
        <f t="shared" ref="N5:N11" si="1">TEXT(L5,"$#0.0,,")&amp;" million"</f>
        <v>$61.0 million</v>
      </c>
    </row>
    <row r="6" spans="1:15" ht="15.6">
      <c r="A6" s="81" t="s">
        <v>81</v>
      </c>
      <c r="B6" s="121">
        <v>86884303.599999994</v>
      </c>
      <c r="C6" s="121">
        <v>85320690</v>
      </c>
      <c r="D6" s="121">
        <v>101607686</v>
      </c>
      <c r="E6" s="121">
        <v>61266093</v>
      </c>
      <c r="F6" s="121">
        <v>97958650.379999995</v>
      </c>
      <c r="G6" s="121">
        <v>93424732</v>
      </c>
      <c r="H6" s="121">
        <v>83807412</v>
      </c>
      <c r="I6" s="121">
        <v>82523213</v>
      </c>
      <c r="J6" s="121">
        <v>80435603</v>
      </c>
      <c r="K6" s="121">
        <v>85708974</v>
      </c>
      <c r="L6" s="121">
        <v>83569188</v>
      </c>
      <c r="M6" s="206">
        <f t="shared" si="0"/>
        <v>0.28296531858098933</v>
      </c>
      <c r="N6" s="79" t="str">
        <f t="shared" si="1"/>
        <v>$83.6 million</v>
      </c>
    </row>
    <row r="7" spans="1:15" ht="15.6">
      <c r="A7" s="81" t="s">
        <v>79</v>
      </c>
      <c r="B7" s="121">
        <v>3598371</v>
      </c>
      <c r="C7" s="121">
        <v>2367853</v>
      </c>
      <c r="D7" s="121">
        <v>589410</v>
      </c>
      <c r="E7" s="121">
        <v>989723</v>
      </c>
      <c r="F7" s="121">
        <v>938155.66</v>
      </c>
      <c r="G7" s="121">
        <v>1085664</v>
      </c>
      <c r="H7" s="121">
        <v>1031552</v>
      </c>
      <c r="I7" s="121">
        <v>962384</v>
      </c>
      <c r="J7" s="121">
        <v>1069114</v>
      </c>
      <c r="K7" s="121">
        <v>1249011</v>
      </c>
      <c r="L7" s="121">
        <v>1360003</v>
      </c>
      <c r="M7" s="206">
        <f t="shared" si="0"/>
        <v>4.6049709393622589E-3</v>
      </c>
      <c r="N7" s="79" t="str">
        <f t="shared" si="1"/>
        <v>$1.4 million</v>
      </c>
    </row>
    <row r="8" spans="1:15" ht="15.6">
      <c r="A8" s="81" t="s">
        <v>80</v>
      </c>
      <c r="B8" s="121">
        <v>17984028</v>
      </c>
      <c r="C8" s="121">
        <v>11143660</v>
      </c>
      <c r="D8" s="121">
        <v>7215356</v>
      </c>
      <c r="E8" s="121">
        <v>8285323</v>
      </c>
      <c r="F8" s="121">
        <v>5345068.57</v>
      </c>
      <c r="G8" s="121">
        <v>7233270</v>
      </c>
      <c r="H8" s="121">
        <v>4856792</v>
      </c>
      <c r="I8" s="121">
        <v>16628807</v>
      </c>
      <c r="J8" s="121">
        <v>4555333</v>
      </c>
      <c r="K8" s="121">
        <v>7422485</v>
      </c>
      <c r="L8" s="121">
        <v>14778698</v>
      </c>
      <c r="M8" s="206">
        <f t="shared" si="0"/>
        <v>5.004067991880249E-2</v>
      </c>
      <c r="N8" s="79" t="str">
        <f t="shared" si="1"/>
        <v>$14.8 million</v>
      </c>
    </row>
    <row r="9" spans="1:15" ht="18">
      <c r="A9" s="81" t="s">
        <v>422</v>
      </c>
      <c r="B9" s="121">
        <v>1610361</v>
      </c>
      <c r="C9" s="121">
        <v>1983288</v>
      </c>
      <c r="D9" s="121">
        <v>2042752</v>
      </c>
      <c r="E9" s="121">
        <v>1859249</v>
      </c>
      <c r="F9" s="121">
        <v>1991757.54</v>
      </c>
      <c r="G9" s="121">
        <v>1849774</v>
      </c>
      <c r="H9" s="121">
        <v>2099864</v>
      </c>
      <c r="I9" s="121">
        <v>1886622</v>
      </c>
      <c r="J9" s="121">
        <v>1629195</v>
      </c>
      <c r="K9" s="121">
        <v>1843811</v>
      </c>
      <c r="L9" s="121">
        <v>1649333</v>
      </c>
      <c r="M9" s="206">
        <f t="shared" si="0"/>
        <v>5.5846424855909675E-3</v>
      </c>
      <c r="N9" s="79" t="str">
        <f t="shared" si="1"/>
        <v>$1.6 million</v>
      </c>
    </row>
    <row r="10" spans="1:15" ht="18">
      <c r="A10" s="81" t="s">
        <v>423</v>
      </c>
      <c r="B10" s="121">
        <v>622594</v>
      </c>
      <c r="C10" s="121">
        <v>883615</v>
      </c>
      <c r="D10" s="121">
        <v>524606</v>
      </c>
      <c r="E10" s="121">
        <v>494000</v>
      </c>
      <c r="F10" s="121">
        <v>763224.97</v>
      </c>
      <c r="G10" s="121">
        <v>642383</v>
      </c>
      <c r="H10" s="121">
        <v>758778</v>
      </c>
      <c r="I10" s="121">
        <v>766935</v>
      </c>
      <c r="J10" s="121">
        <v>853404</v>
      </c>
      <c r="K10" s="121">
        <v>708490</v>
      </c>
      <c r="L10" s="121">
        <v>803443</v>
      </c>
      <c r="M10" s="206">
        <f t="shared" si="0"/>
        <v>2.7204584596019505E-3</v>
      </c>
      <c r="N10" s="79" t="str">
        <f t="shared" si="1"/>
        <v>$0.8 million</v>
      </c>
    </row>
    <row r="11" spans="1:15" ht="15.6">
      <c r="A11" s="79" t="s">
        <v>240</v>
      </c>
      <c r="B11" s="121">
        <v>28326464</v>
      </c>
      <c r="C11" s="121">
        <v>15922536</v>
      </c>
      <c r="D11" s="121">
        <v>21899413</v>
      </c>
      <c r="E11" s="121">
        <v>31463211</v>
      </c>
      <c r="F11" s="121">
        <v>14032643.140000001</v>
      </c>
      <c r="G11" s="121">
        <v>20245851</v>
      </c>
      <c r="H11" s="121">
        <v>19366924</v>
      </c>
      <c r="I11" s="121">
        <v>18728145</v>
      </c>
      <c r="J11" s="121">
        <v>17471913</v>
      </c>
      <c r="K11" s="122">
        <v>17828176</v>
      </c>
      <c r="L11" s="122">
        <v>25569583</v>
      </c>
      <c r="M11" s="206"/>
      <c r="N11" s="79" t="str">
        <f t="shared" si="1"/>
        <v>$25.6 million</v>
      </c>
    </row>
    <row r="12" spans="1:15" ht="15.6">
      <c r="A12" s="81" t="s">
        <v>238</v>
      </c>
      <c r="B12" s="121"/>
      <c r="C12" s="121"/>
      <c r="D12" s="121"/>
      <c r="E12" s="121"/>
      <c r="F12" s="121"/>
      <c r="G12" s="121"/>
      <c r="H12" s="121"/>
      <c r="I12" s="121">
        <v>10367580</v>
      </c>
      <c r="J12" s="121">
        <v>11607301</v>
      </c>
      <c r="K12" s="121">
        <v>11601030</v>
      </c>
      <c r="L12" s="121">
        <v>12327352</v>
      </c>
      <c r="M12" s="206"/>
    </row>
    <row r="13" spans="1:15" ht="15.6">
      <c r="A13" s="79" t="s">
        <v>239</v>
      </c>
      <c r="B13" s="121"/>
      <c r="C13" s="121"/>
      <c r="D13" s="121"/>
      <c r="E13" s="121"/>
      <c r="F13" s="121"/>
      <c r="G13" s="121"/>
      <c r="H13" s="121"/>
      <c r="I13" s="121">
        <v>304457</v>
      </c>
      <c r="J13" s="121">
        <v>254958</v>
      </c>
      <c r="K13" s="122">
        <v>213881</v>
      </c>
      <c r="L13" s="122">
        <v>179587</v>
      </c>
      <c r="M13" s="206"/>
    </row>
    <row r="14" spans="1:15" ht="16.2" thickBot="1">
      <c r="A14" s="79"/>
      <c r="B14" s="80">
        <f t="shared" ref="B14:J14" si="2">SUM(B4:B13)</f>
        <v>311214895.19999999</v>
      </c>
      <c r="C14" s="80">
        <f t="shared" si="2"/>
        <v>306409772</v>
      </c>
      <c r="D14" s="80">
        <f t="shared" si="2"/>
        <v>291101892</v>
      </c>
      <c r="E14" s="80">
        <f t="shared" si="2"/>
        <v>269134110</v>
      </c>
      <c r="F14" s="80">
        <f t="shared" si="2"/>
        <v>279550549.32999998</v>
      </c>
      <c r="G14" s="80">
        <f t="shared" si="2"/>
        <v>274172174</v>
      </c>
      <c r="H14" s="80">
        <f t="shared" si="2"/>
        <v>259957536</v>
      </c>
      <c r="I14" s="80">
        <f t="shared" si="2"/>
        <v>289372127</v>
      </c>
      <c r="J14" s="80">
        <f t="shared" si="2"/>
        <v>262715160</v>
      </c>
      <c r="K14" s="80">
        <f>SUM(K4:K13)</f>
        <v>278235868</v>
      </c>
      <c r="L14" s="80">
        <f>SUM(L4:L13)</f>
        <v>295513264</v>
      </c>
      <c r="M14" s="79"/>
      <c r="N14" s="80">
        <f>L14</f>
        <v>295513264</v>
      </c>
    </row>
    <row r="15" spans="1:15" ht="16.2" thickTop="1">
      <c r="A15" s="79"/>
      <c r="B15" s="78"/>
    </row>
    <row r="16" spans="1:15" ht="15.6">
      <c r="A16" s="77" t="s">
        <v>0</v>
      </c>
    </row>
    <row r="17" spans="1:6" s="192" customFormat="1">
      <c r="A17" s="234" t="s">
        <v>424</v>
      </c>
      <c r="B17" s="234"/>
      <c r="C17" s="234"/>
    </row>
    <row r="18" spans="1:6" s="192" customFormat="1">
      <c r="A18" s="234" t="s">
        <v>425</v>
      </c>
      <c r="B18" s="234"/>
      <c r="C18" s="234"/>
    </row>
    <row r="19" spans="1:6" s="192" customFormat="1">
      <c r="A19" s="234" t="s">
        <v>426</v>
      </c>
      <c r="B19" s="234"/>
      <c r="C19" s="234"/>
    </row>
    <row r="20" spans="1:6" s="192" customFormat="1">
      <c r="A20" s="234" t="s">
        <v>421</v>
      </c>
      <c r="B20" s="234"/>
      <c r="C20" s="234"/>
    </row>
    <row r="21" spans="1:6" s="192" customFormat="1">
      <c r="A21" s="235" t="s">
        <v>388</v>
      </c>
      <c r="B21" s="235"/>
      <c r="C21" s="235"/>
      <c r="D21" s="193"/>
      <c r="E21" s="193"/>
      <c r="F21" s="193"/>
    </row>
    <row r="22" spans="1:6" ht="17.25" customHeight="1">
      <c r="A22" s="170"/>
    </row>
    <row r="23" spans="1:6" ht="15.6">
      <c r="A23" s="202" t="s">
        <v>74</v>
      </c>
    </row>
    <row r="24" spans="1:6">
      <c r="A24" s="21" t="str">
        <f>subtitle&amp;" and Program Support (" &amp; N11 &amp; ", not included)"</f>
        <v>Total: $295.5 million includes $41.9 million in obligations to capital projects, plus General and Administrative (G&amp;A) expenses ($12.3 million, not included), and Columbia River System Operations Review/Environmental Impact Statement expenses ($0.2 million, not included) and Program Support ($25.6 million, not included)</v>
      </c>
    </row>
  </sheetData>
  <mergeCells count="1">
    <mergeCell ref="A1:B1"/>
  </mergeCells>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38B8-5E60-423F-9E98-E098BEAD26D2}">
  <sheetPr>
    <pageSetUpPr fitToPage="1"/>
  </sheetPr>
  <dimension ref="A1:U166"/>
  <sheetViews>
    <sheetView topLeftCell="A127" zoomScale="85" zoomScaleNormal="85" workbookViewId="0">
      <selection activeCell="H81" sqref="H81"/>
    </sheetView>
  </sheetViews>
  <sheetFormatPr defaultColWidth="9.109375" defaultRowHeight="13.8"/>
  <cols>
    <col min="1" max="1" width="12.44140625" style="243" bestFit="1" customWidth="1"/>
    <col min="2" max="2" width="57.44140625" style="237" customWidth="1"/>
    <col min="3" max="3" width="13.6640625" style="194" customWidth="1"/>
    <col min="4" max="5" width="13.6640625" style="194" bestFit="1" customWidth="1"/>
    <col min="6" max="8" width="13.6640625" style="239" bestFit="1" customWidth="1"/>
    <col min="9" max="9" width="13.6640625" style="239" customWidth="1"/>
    <col min="10" max="10" width="13.6640625" style="239" bestFit="1" customWidth="1"/>
    <col min="11" max="12" width="13.6640625" style="239" customWidth="1"/>
    <col min="13" max="13" width="13.6640625" style="239" bestFit="1" customWidth="1"/>
    <col min="14" max="17" width="15" style="239" customWidth="1"/>
    <col min="18" max="18" width="9.109375" style="239"/>
    <col min="19" max="19" width="14" style="239" customWidth="1"/>
    <col min="20" max="20" width="13.33203125" style="239" customWidth="1"/>
    <col min="21" max="16384" width="9.109375" style="239"/>
  </cols>
  <sheetData>
    <row r="1" spans="1:19" ht="27.75" customHeight="1">
      <c r="A1" s="256" t="str">
        <f>"Figure 9: Costs by Contractor Type, FY"&amp;Q2</f>
        <v>Figure 9: Costs by Contractor Type, FY2021</v>
      </c>
      <c r="B1" s="256"/>
      <c r="C1" s="256"/>
      <c r="D1" s="256"/>
      <c r="E1" s="256"/>
      <c r="F1" s="256"/>
      <c r="G1" s="256"/>
      <c r="H1" s="256"/>
      <c r="I1" s="256"/>
      <c r="J1" s="256"/>
      <c r="K1" s="256"/>
      <c r="L1" s="256"/>
      <c r="M1" s="256"/>
    </row>
    <row r="2" spans="1:19" s="242" customFormat="1" ht="32.25" customHeight="1">
      <c r="A2" s="240" t="s">
        <v>138</v>
      </c>
      <c r="B2" s="240" t="s">
        <v>137</v>
      </c>
      <c r="C2" s="240">
        <v>2007</v>
      </c>
      <c r="D2" s="241">
        <v>2008</v>
      </c>
      <c r="E2" s="241">
        <v>2009</v>
      </c>
      <c r="F2" s="241">
        <v>2010</v>
      </c>
      <c r="G2" s="241">
        <v>2011</v>
      </c>
      <c r="H2" s="241">
        <v>2012</v>
      </c>
      <c r="I2" s="241">
        <v>2013</v>
      </c>
      <c r="J2" s="241">
        <v>2014</v>
      </c>
      <c r="K2" s="241">
        <v>2015</v>
      </c>
      <c r="L2" s="241">
        <v>2016</v>
      </c>
      <c r="M2" s="241">
        <v>2017</v>
      </c>
      <c r="N2" s="241">
        <v>2018</v>
      </c>
      <c r="O2" s="241">
        <v>2019</v>
      </c>
      <c r="P2" s="241">
        <v>2020</v>
      </c>
      <c r="Q2" s="241">
        <v>2021</v>
      </c>
    </row>
    <row r="3" spans="1:19" ht="27.6">
      <c r="A3" s="243" t="s">
        <v>136</v>
      </c>
      <c r="B3" s="237" t="s">
        <v>453</v>
      </c>
      <c r="C3" s="370">
        <v>11152430</v>
      </c>
      <c r="D3" s="194">
        <v>7762161</v>
      </c>
      <c r="E3" s="194">
        <v>15428883</v>
      </c>
      <c r="F3" s="194">
        <v>18886192</v>
      </c>
      <c r="G3" s="194">
        <v>16437276</v>
      </c>
      <c r="H3" s="194">
        <v>15281324</v>
      </c>
      <c r="I3" s="194">
        <v>16789765.34</v>
      </c>
      <c r="J3" s="194">
        <v>18302893.870000001</v>
      </c>
      <c r="K3" s="194">
        <v>18662085.170000002</v>
      </c>
      <c r="L3" s="194">
        <v>20288062</v>
      </c>
      <c r="M3" s="194">
        <v>18817913.82</v>
      </c>
      <c r="N3" s="194">
        <v>15144232</v>
      </c>
      <c r="O3" s="194">
        <v>15844777.719999999</v>
      </c>
      <c r="P3" s="194">
        <v>16857123</v>
      </c>
      <c r="Q3" s="194">
        <v>16332918.360000001</v>
      </c>
      <c r="R3" s="239" t="s">
        <v>454</v>
      </c>
      <c r="S3" s="194"/>
    </row>
    <row r="4" spans="1:19">
      <c r="B4" s="258" t="s">
        <v>343</v>
      </c>
      <c r="C4" s="258"/>
      <c r="D4" s="258"/>
      <c r="E4" s="258"/>
      <c r="F4" s="258"/>
      <c r="G4" s="194">
        <v>0</v>
      </c>
      <c r="H4" s="194">
        <v>0</v>
      </c>
      <c r="I4" s="194">
        <v>0</v>
      </c>
      <c r="J4" s="194">
        <v>0</v>
      </c>
      <c r="K4" s="194">
        <v>0</v>
      </c>
      <c r="L4" s="194">
        <v>0</v>
      </c>
      <c r="M4" s="194">
        <v>0</v>
      </c>
      <c r="N4" s="194">
        <v>0</v>
      </c>
      <c r="O4" s="194">
        <v>0</v>
      </c>
      <c r="P4" s="194">
        <v>7529</v>
      </c>
      <c r="Q4" s="194">
        <v>10385.77</v>
      </c>
      <c r="R4" s="239" t="s">
        <v>454</v>
      </c>
      <c r="S4" s="194"/>
    </row>
    <row r="5" spans="1:19">
      <c r="B5" s="237" t="s">
        <v>135</v>
      </c>
      <c r="C5" s="370">
        <v>9179793.0199999977</v>
      </c>
      <c r="D5" s="194">
        <v>7980293</v>
      </c>
      <c r="E5" s="194">
        <v>8959830.959999999</v>
      </c>
      <c r="F5" s="194">
        <v>8214596</v>
      </c>
      <c r="G5" s="194">
        <v>10011126</v>
      </c>
      <c r="H5" s="194">
        <v>10226671.5</v>
      </c>
      <c r="I5" s="194">
        <v>7294105.1900000004</v>
      </c>
      <c r="J5" s="194">
        <v>6823152.6100000003</v>
      </c>
      <c r="K5" s="194">
        <v>7869433</v>
      </c>
      <c r="L5" s="194">
        <v>6916950</v>
      </c>
      <c r="M5" s="194">
        <v>7239871.330000001</v>
      </c>
      <c r="N5" s="194">
        <v>7262514</v>
      </c>
      <c r="O5" s="194">
        <v>6843743.7699999996</v>
      </c>
      <c r="P5" s="194">
        <v>6717704</v>
      </c>
      <c r="Q5" s="194">
        <v>6918081.5200000014</v>
      </c>
      <c r="R5" s="239" t="s">
        <v>454</v>
      </c>
      <c r="S5" s="194"/>
    </row>
    <row r="6" spans="1:19">
      <c r="B6" s="237" t="s">
        <v>130</v>
      </c>
      <c r="C6" s="370">
        <v>1256473.52</v>
      </c>
      <c r="D6" s="194">
        <v>1722389</v>
      </c>
      <c r="E6" s="194">
        <v>1835707.99</v>
      </c>
      <c r="F6" s="194">
        <v>1760653</v>
      </c>
      <c r="G6" s="194">
        <v>2385971</v>
      </c>
      <c r="H6" s="194">
        <v>3135563.61</v>
      </c>
      <c r="I6" s="194">
        <v>2209566.7000000002</v>
      </c>
      <c r="J6" s="194">
        <v>1704163.07</v>
      </c>
      <c r="K6" s="194">
        <v>1705065.54</v>
      </c>
      <c r="L6" s="194">
        <v>1809300</v>
      </c>
      <c r="M6" s="194">
        <v>2014355.6099999999</v>
      </c>
      <c r="N6" s="194">
        <v>1665717</v>
      </c>
      <c r="O6" s="194">
        <v>1931626.73</v>
      </c>
      <c r="P6" s="194">
        <v>1033555</v>
      </c>
      <c r="Q6" s="194">
        <v>1013255.5699999998</v>
      </c>
      <c r="R6" s="239" t="s">
        <v>454</v>
      </c>
      <c r="S6" s="194"/>
    </row>
    <row r="7" spans="1:19">
      <c r="B7" s="237" t="s">
        <v>134</v>
      </c>
      <c r="C7" s="370">
        <v>2880400.38</v>
      </c>
      <c r="D7" s="194">
        <v>3150827</v>
      </c>
      <c r="E7" s="194">
        <v>3079230.87</v>
      </c>
      <c r="F7" s="194">
        <v>2640768</v>
      </c>
      <c r="G7" s="194">
        <v>2842702</v>
      </c>
      <c r="H7" s="194">
        <v>2472045.7200000002</v>
      </c>
      <c r="I7" s="194">
        <v>2845423.81</v>
      </c>
      <c r="J7" s="194">
        <v>3425748.4</v>
      </c>
      <c r="K7" s="194">
        <v>2718120.18</v>
      </c>
      <c r="L7" s="194">
        <v>3027580</v>
      </c>
      <c r="M7" s="194">
        <v>2289092.34</v>
      </c>
      <c r="N7" s="194">
        <v>2636188</v>
      </c>
      <c r="O7" s="194">
        <v>1743822.97</v>
      </c>
      <c r="P7" s="194">
        <v>-32873</v>
      </c>
      <c r="Q7" s="194">
        <v>170487.1</v>
      </c>
      <c r="R7" s="239" t="s">
        <v>454</v>
      </c>
      <c r="S7" s="194"/>
    </row>
    <row r="8" spans="1:19" ht="27.6">
      <c r="B8" s="237" t="s">
        <v>203</v>
      </c>
      <c r="C8" s="370">
        <v>1165186</v>
      </c>
      <c r="D8" s="194">
        <v>1605398</v>
      </c>
      <c r="E8" s="194">
        <v>1769676.3</v>
      </c>
      <c r="F8" s="194">
        <v>1476028</v>
      </c>
      <c r="G8" s="194">
        <v>750143</v>
      </c>
      <c r="H8" s="194">
        <v>573644.63</v>
      </c>
      <c r="I8" s="194">
        <v>381426.58</v>
      </c>
      <c r="J8" s="194">
        <v>379050.12</v>
      </c>
      <c r="K8" s="194">
        <v>625655.61</v>
      </c>
      <c r="L8" s="194">
        <v>793662.02</v>
      </c>
      <c r="M8" s="194">
        <v>392411.07</v>
      </c>
      <c r="N8" s="194">
        <v>736525</v>
      </c>
      <c r="O8" s="194">
        <v>1043403.94</v>
      </c>
      <c r="P8" s="194">
        <v>141696</v>
      </c>
      <c r="Q8" s="194">
        <v>126694.99</v>
      </c>
      <c r="R8" s="239" t="s">
        <v>454</v>
      </c>
      <c r="S8" s="194"/>
    </row>
    <row r="9" spans="1:19">
      <c r="B9" s="237" t="s">
        <v>131</v>
      </c>
      <c r="C9" s="370">
        <v>728324.19</v>
      </c>
      <c r="D9" s="194">
        <v>1410740</v>
      </c>
      <c r="E9" s="194">
        <v>3668543.08</v>
      </c>
      <c r="F9" s="194">
        <v>1649120</v>
      </c>
      <c r="G9" s="194">
        <v>1124508</v>
      </c>
      <c r="H9" s="194">
        <v>851567.22</v>
      </c>
      <c r="I9" s="194">
        <v>819257.58</v>
      </c>
      <c r="J9" s="194">
        <v>813991.96</v>
      </c>
      <c r="K9" s="194">
        <v>309565.11</v>
      </c>
      <c r="L9" s="194">
        <v>962585</v>
      </c>
      <c r="M9" s="194">
        <v>814089.25</v>
      </c>
      <c r="N9" s="194">
        <v>915292</v>
      </c>
      <c r="O9" s="194">
        <v>512494.07</v>
      </c>
      <c r="P9" s="194">
        <v>1554790</v>
      </c>
      <c r="Q9" s="194">
        <v>1972918.5199999996</v>
      </c>
      <c r="R9" s="239" t="s">
        <v>454</v>
      </c>
      <c r="S9" s="194"/>
    </row>
    <row r="10" spans="1:19">
      <c r="B10" s="237" t="s">
        <v>133</v>
      </c>
      <c r="C10" s="370">
        <v>279720.64</v>
      </c>
      <c r="D10" s="194">
        <v>152309</v>
      </c>
      <c r="E10" s="194">
        <v>202092.42</v>
      </c>
      <c r="F10" s="194">
        <v>180104</v>
      </c>
      <c r="G10" s="194">
        <v>160153</v>
      </c>
      <c r="H10" s="194">
        <v>237485.58</v>
      </c>
      <c r="I10" s="194">
        <v>181861.7</v>
      </c>
      <c r="J10" s="194">
        <v>312773.18</v>
      </c>
      <c r="K10" s="194">
        <v>714662.68</v>
      </c>
      <c r="L10" s="194">
        <v>263562</v>
      </c>
      <c r="M10" s="194">
        <v>272941</v>
      </c>
      <c r="N10" s="194">
        <v>255321</v>
      </c>
      <c r="O10" s="194">
        <v>105320.74</v>
      </c>
      <c r="P10" s="194">
        <v>481619</v>
      </c>
      <c r="Q10" s="194">
        <v>661454.89000000013</v>
      </c>
      <c r="R10" s="239" t="s">
        <v>454</v>
      </c>
      <c r="S10" s="194"/>
    </row>
    <row r="11" spans="1:19">
      <c r="B11" s="237" t="s">
        <v>132</v>
      </c>
      <c r="C11" s="370">
        <v>1519667.06</v>
      </c>
      <c r="D11" s="194">
        <v>20924</v>
      </c>
      <c r="E11" s="194">
        <v>235611.62</v>
      </c>
      <c r="F11" s="194">
        <v>205064</v>
      </c>
      <c r="G11" s="194">
        <v>358523</v>
      </c>
      <c r="H11" s="194">
        <v>358213.68</v>
      </c>
      <c r="I11" s="194">
        <v>604601.54</v>
      </c>
      <c r="J11" s="194">
        <v>171313.17</v>
      </c>
      <c r="K11" s="194">
        <v>309498.65000000002</v>
      </c>
      <c r="L11" s="194">
        <v>1278361</v>
      </c>
      <c r="M11" s="194">
        <v>272192</v>
      </c>
      <c r="N11" s="194">
        <v>116413</v>
      </c>
      <c r="O11" s="194">
        <v>66974.570000000007</v>
      </c>
      <c r="P11" s="194">
        <v>1611234</v>
      </c>
      <c r="Q11" s="194">
        <v>2322393.5100000007</v>
      </c>
      <c r="R11" s="239" t="s">
        <v>454</v>
      </c>
      <c r="S11" s="194"/>
    </row>
    <row r="12" spans="1:19">
      <c r="B12" s="237" t="s">
        <v>91</v>
      </c>
      <c r="C12" s="370">
        <v>403411</v>
      </c>
      <c r="D12" s="194">
        <v>454711</v>
      </c>
      <c r="E12" s="194">
        <v>434000</v>
      </c>
      <c r="F12" s="194">
        <v>444850</v>
      </c>
      <c r="G12" s="194">
        <v>904925</v>
      </c>
      <c r="H12" s="194"/>
      <c r="I12" s="194">
        <v>178002</v>
      </c>
      <c r="J12" s="194">
        <v>50000</v>
      </c>
      <c r="K12" s="194">
        <v>50000</v>
      </c>
      <c r="L12" s="194"/>
      <c r="M12" s="194"/>
      <c r="N12" s="194"/>
      <c r="O12" s="194"/>
      <c r="P12" s="194">
        <v>0</v>
      </c>
      <c r="Q12" s="194">
        <v>0</v>
      </c>
    </row>
    <row r="13" spans="1:19">
      <c r="A13" s="399" t="s">
        <v>129</v>
      </c>
      <c r="B13" s="399"/>
      <c r="C13" s="244">
        <f t="shared" ref="C13:F13" si="0">SUM(C3:C12)</f>
        <v>28565405.809999995</v>
      </c>
      <c r="D13" s="244">
        <f t="shared" si="0"/>
        <v>24259752</v>
      </c>
      <c r="E13" s="244">
        <f t="shared" si="0"/>
        <v>35613576.240000002</v>
      </c>
      <c r="F13" s="244">
        <f t="shared" si="0"/>
        <v>35457375</v>
      </c>
      <c r="G13" s="244">
        <f t="shared" ref="G13:Q13" si="1">SUM(G3:G12)</f>
        <v>34975327</v>
      </c>
      <c r="H13" s="244">
        <f t="shared" si="1"/>
        <v>33136515.939999994</v>
      </c>
      <c r="I13" s="244">
        <f t="shared" si="1"/>
        <v>31304010.439999994</v>
      </c>
      <c r="J13" s="244">
        <f t="shared" si="1"/>
        <v>31983086.380000003</v>
      </c>
      <c r="K13" s="244">
        <f t="shared" si="1"/>
        <v>32964085.939999998</v>
      </c>
      <c r="L13" s="244">
        <f t="shared" si="1"/>
        <v>35340062.019999996</v>
      </c>
      <c r="M13" s="244">
        <f t="shared" si="1"/>
        <v>32112866.420000002</v>
      </c>
      <c r="N13" s="244">
        <f t="shared" si="1"/>
        <v>28732202</v>
      </c>
      <c r="O13" s="244">
        <f t="shared" si="1"/>
        <v>28092164.509999998</v>
      </c>
      <c r="P13" s="244">
        <f t="shared" si="1"/>
        <v>28372377</v>
      </c>
      <c r="Q13" s="244">
        <f t="shared" si="1"/>
        <v>29528590.230000004</v>
      </c>
    </row>
    <row r="14" spans="1:19">
      <c r="C14" s="258"/>
      <c r="D14" s="258"/>
      <c r="E14" s="258"/>
      <c r="F14" s="258"/>
      <c r="G14" s="194"/>
      <c r="H14" s="194"/>
      <c r="I14" s="194"/>
      <c r="J14" s="194"/>
      <c r="K14" s="194"/>
      <c r="L14" s="194"/>
      <c r="M14" s="194"/>
      <c r="N14" s="194"/>
      <c r="O14" s="194"/>
      <c r="P14" s="194"/>
      <c r="Q14" s="194"/>
    </row>
    <row r="15" spans="1:19">
      <c r="A15" s="243" t="s">
        <v>84</v>
      </c>
      <c r="B15" s="237" t="s">
        <v>128</v>
      </c>
      <c r="C15" s="370">
        <v>11114130.18</v>
      </c>
      <c r="D15" s="194">
        <v>10237010</v>
      </c>
      <c r="E15" s="194">
        <v>10170388.799999999</v>
      </c>
      <c r="F15" s="194">
        <v>13269950</v>
      </c>
      <c r="G15" s="194">
        <v>10238326</v>
      </c>
      <c r="H15" s="194">
        <v>15805508.949999999</v>
      </c>
      <c r="I15" s="194">
        <v>13248074.52</v>
      </c>
      <c r="J15" s="194">
        <v>14244565.92</v>
      </c>
      <c r="K15" s="194">
        <v>14416087.09</v>
      </c>
      <c r="L15" s="194">
        <v>15246156</v>
      </c>
      <c r="M15" s="194">
        <v>14664698.560000001</v>
      </c>
      <c r="N15" s="194">
        <v>15400007</v>
      </c>
      <c r="O15" s="194">
        <v>13814905.16</v>
      </c>
      <c r="P15" s="194">
        <v>13304458</v>
      </c>
      <c r="Q15" s="194">
        <v>12989476</v>
      </c>
      <c r="S15" s="194"/>
    </row>
    <row r="16" spans="1:19">
      <c r="B16" s="237" t="s">
        <v>127</v>
      </c>
      <c r="C16" s="258"/>
      <c r="D16" s="258"/>
      <c r="E16" s="258"/>
      <c r="F16" s="258"/>
      <c r="G16" s="194"/>
      <c r="H16" s="194">
        <v>59516.38</v>
      </c>
      <c r="I16" s="194">
        <v>76366.52</v>
      </c>
      <c r="J16" s="194">
        <v>112610.87</v>
      </c>
      <c r="K16" s="194">
        <v>88522.53</v>
      </c>
      <c r="L16" s="194">
        <v>55535</v>
      </c>
      <c r="M16" s="194">
        <v>18413</v>
      </c>
      <c r="N16" s="194">
        <v>30354</v>
      </c>
      <c r="O16" s="194">
        <v>24640.92</v>
      </c>
      <c r="P16" s="194">
        <v>33404</v>
      </c>
      <c r="Q16" s="194">
        <v>31021</v>
      </c>
      <c r="S16" s="194"/>
    </row>
    <row r="17" spans="1:19">
      <c r="B17" s="237" t="s">
        <v>243</v>
      </c>
      <c r="C17" s="258"/>
      <c r="D17" s="258"/>
      <c r="E17" s="258"/>
      <c r="F17" s="258"/>
      <c r="G17" s="194"/>
      <c r="H17" s="194"/>
      <c r="I17" s="194"/>
      <c r="J17" s="194"/>
      <c r="K17" s="194"/>
      <c r="L17" s="194"/>
      <c r="M17" s="194"/>
      <c r="N17" s="194">
        <v>20658</v>
      </c>
      <c r="O17" s="194">
        <v>-134</v>
      </c>
      <c r="P17" s="194">
        <v>0</v>
      </c>
      <c r="Q17" s="194">
        <v>216</v>
      </c>
    </row>
    <row r="18" spans="1:19">
      <c r="B18" s="245" t="s">
        <v>126</v>
      </c>
      <c r="C18" s="246">
        <f t="shared" ref="C18:F18" si="2">SUM(C15:C17)</f>
        <v>11114130.18</v>
      </c>
      <c r="D18" s="246">
        <f t="shared" si="2"/>
        <v>10237010</v>
      </c>
      <c r="E18" s="246">
        <f t="shared" si="2"/>
        <v>10170388.799999999</v>
      </c>
      <c r="F18" s="246">
        <f t="shared" si="2"/>
        <v>13269950</v>
      </c>
      <c r="G18" s="246">
        <f t="shared" ref="G18:Q18" si="3">SUM(G15:G17)</f>
        <v>10238326</v>
      </c>
      <c r="H18" s="246">
        <f t="shared" si="3"/>
        <v>15865025.33</v>
      </c>
      <c r="I18" s="246">
        <f t="shared" si="3"/>
        <v>13324441.039999999</v>
      </c>
      <c r="J18" s="246">
        <f t="shared" si="3"/>
        <v>14357176.789999999</v>
      </c>
      <c r="K18" s="246">
        <f t="shared" si="3"/>
        <v>14504609.619999999</v>
      </c>
      <c r="L18" s="246">
        <f t="shared" si="3"/>
        <v>15301691</v>
      </c>
      <c r="M18" s="246">
        <f t="shared" si="3"/>
        <v>14683111.560000001</v>
      </c>
      <c r="N18" s="246">
        <f t="shared" si="3"/>
        <v>15451019</v>
      </c>
      <c r="O18" s="246">
        <v>13839412.08</v>
      </c>
      <c r="P18" s="246">
        <f t="shared" si="3"/>
        <v>13337862</v>
      </c>
      <c r="Q18" s="246">
        <f t="shared" si="3"/>
        <v>13020713</v>
      </c>
    </row>
    <row r="19" spans="1:19" ht="7.5" customHeight="1">
      <c r="C19" s="258"/>
      <c r="D19" s="258"/>
      <c r="E19" s="258"/>
      <c r="F19" s="258"/>
      <c r="G19" s="194"/>
      <c r="H19" s="194"/>
      <c r="I19" s="194"/>
      <c r="J19" s="194"/>
      <c r="K19" s="194"/>
      <c r="L19" s="194"/>
      <c r="M19" s="194"/>
      <c r="N19" s="194"/>
      <c r="O19" s="194"/>
      <c r="P19" s="194"/>
      <c r="Q19" s="194"/>
    </row>
    <row r="20" spans="1:19">
      <c r="B20" s="237" t="s">
        <v>125</v>
      </c>
      <c r="C20" s="370">
        <v>7139046.5899999933</v>
      </c>
      <c r="D20" s="194">
        <v>11072547</v>
      </c>
      <c r="E20" s="194">
        <v>8429206.9700000007</v>
      </c>
      <c r="F20" s="194">
        <v>9174578</v>
      </c>
      <c r="G20" s="194">
        <v>10847630</v>
      </c>
      <c r="H20" s="194">
        <v>17836560.809999999</v>
      </c>
      <c r="I20" s="194">
        <v>18281035.739999998</v>
      </c>
      <c r="J20" s="194">
        <v>13726829.310000001</v>
      </c>
      <c r="K20" s="194">
        <v>15455053.789999999</v>
      </c>
      <c r="L20" s="194">
        <v>11875775</v>
      </c>
      <c r="M20" s="194">
        <v>12451687.119999999</v>
      </c>
      <c r="N20" s="194">
        <v>11779934</v>
      </c>
      <c r="O20" s="194">
        <v>11128381.119999999</v>
      </c>
      <c r="P20" s="194">
        <v>15378235</v>
      </c>
      <c r="Q20" s="194">
        <v>12697808</v>
      </c>
      <c r="S20" s="194"/>
    </row>
    <row r="21" spans="1:19">
      <c r="B21" s="237" t="s">
        <v>124</v>
      </c>
      <c r="C21" s="370">
        <v>91398.37</v>
      </c>
      <c r="D21" s="194">
        <v>84952</v>
      </c>
      <c r="E21" s="194">
        <v>91275.06</v>
      </c>
      <c r="F21" s="194">
        <v>66967</v>
      </c>
      <c r="G21" s="194"/>
      <c r="H21" s="194"/>
      <c r="I21" s="194"/>
      <c r="J21" s="194"/>
      <c r="K21" s="194"/>
      <c r="L21" s="194"/>
      <c r="M21" s="194"/>
      <c r="N21" s="194"/>
      <c r="O21" s="194"/>
      <c r="P21" s="194">
        <v>0</v>
      </c>
      <c r="Q21" s="194"/>
    </row>
    <row r="22" spans="1:19">
      <c r="B22" s="237" t="s">
        <v>123</v>
      </c>
      <c r="C22" s="370"/>
      <c r="D22" s="194">
        <v>199247</v>
      </c>
      <c r="E22" s="194">
        <v>923271.99</v>
      </c>
      <c r="F22" s="194">
        <v>1397773</v>
      </c>
      <c r="G22" s="194">
        <v>2551533</v>
      </c>
      <c r="H22" s="194">
        <v>2487432.84</v>
      </c>
      <c r="I22" s="194">
        <v>2905499.55</v>
      </c>
      <c r="J22" s="194">
        <v>1368456.31</v>
      </c>
      <c r="K22" s="194">
        <v>2742180.2</v>
      </c>
      <c r="L22" s="194">
        <v>3352210</v>
      </c>
      <c r="M22" s="194">
        <v>4013413.03</v>
      </c>
      <c r="N22" s="194">
        <v>4107184</v>
      </c>
      <c r="O22" s="194">
        <v>2658008.98</v>
      </c>
      <c r="P22" s="194">
        <v>2871776</v>
      </c>
      <c r="Q22" s="194">
        <v>3309193</v>
      </c>
      <c r="S22" s="194"/>
    </row>
    <row r="23" spans="1:19">
      <c r="B23" s="245" t="s">
        <v>122</v>
      </c>
      <c r="C23" s="246">
        <f t="shared" ref="C23:F23" si="4">SUM(C20:C22)</f>
        <v>7230444.9599999934</v>
      </c>
      <c r="D23" s="246">
        <f t="shared" si="4"/>
        <v>11356746</v>
      </c>
      <c r="E23" s="246">
        <f t="shared" si="4"/>
        <v>9443754.0200000014</v>
      </c>
      <c r="F23" s="246">
        <f t="shared" si="4"/>
        <v>10639318</v>
      </c>
      <c r="G23" s="246">
        <f t="shared" ref="G23:Q23" si="5">SUM(G20:G22)</f>
        <v>13399163</v>
      </c>
      <c r="H23" s="246">
        <f t="shared" si="5"/>
        <v>20323993.649999999</v>
      </c>
      <c r="I23" s="246">
        <f t="shared" si="5"/>
        <v>21186535.289999999</v>
      </c>
      <c r="J23" s="246">
        <f t="shared" si="5"/>
        <v>15095285.620000001</v>
      </c>
      <c r="K23" s="246">
        <f t="shared" si="5"/>
        <v>18197233.989999998</v>
      </c>
      <c r="L23" s="246">
        <f t="shared" si="5"/>
        <v>15227985</v>
      </c>
      <c r="M23" s="246">
        <f t="shared" si="5"/>
        <v>16465100.149999999</v>
      </c>
      <c r="N23" s="246">
        <f t="shared" si="5"/>
        <v>15887118</v>
      </c>
      <c r="O23" s="246">
        <v>13786390.1</v>
      </c>
      <c r="P23" s="246">
        <f t="shared" si="5"/>
        <v>18250011</v>
      </c>
      <c r="Q23" s="246">
        <f t="shared" si="5"/>
        <v>16007001</v>
      </c>
    </row>
    <row r="24" spans="1:19" ht="6" customHeight="1">
      <c r="C24" s="258"/>
      <c r="D24" s="258"/>
      <c r="E24" s="258"/>
      <c r="F24" s="258"/>
      <c r="G24" s="194"/>
      <c r="H24" s="194"/>
      <c r="I24" s="194"/>
      <c r="J24" s="194"/>
      <c r="K24" s="194"/>
      <c r="L24" s="194"/>
      <c r="M24" s="194"/>
      <c r="N24" s="194"/>
      <c r="O24" s="194"/>
      <c r="P24" s="194"/>
      <c r="Q24" s="194"/>
    </row>
    <row r="25" spans="1:19">
      <c r="B25" s="237" t="s">
        <v>121</v>
      </c>
      <c r="C25" s="370">
        <v>6615256.2299999977</v>
      </c>
      <c r="D25" s="194">
        <v>5912604</v>
      </c>
      <c r="E25" s="194">
        <v>6134349.6300000008</v>
      </c>
      <c r="F25" s="194">
        <v>7712743</v>
      </c>
      <c r="G25" s="194">
        <v>9148722</v>
      </c>
      <c r="H25" s="194">
        <v>11855753.15</v>
      </c>
      <c r="I25" s="194">
        <v>10691474.27</v>
      </c>
      <c r="J25" s="194">
        <v>12164790.199999999</v>
      </c>
      <c r="K25" s="194">
        <v>11894739.43</v>
      </c>
      <c r="L25" s="194">
        <v>12793663</v>
      </c>
      <c r="M25" s="194">
        <v>10976873.369999997</v>
      </c>
      <c r="N25" s="194">
        <v>11026037</v>
      </c>
      <c r="O25" s="194">
        <v>11069042.779999999</v>
      </c>
      <c r="P25" s="194">
        <v>11813405</v>
      </c>
      <c r="Q25" s="194">
        <v>12161212</v>
      </c>
      <c r="S25" s="194"/>
    </row>
    <row r="26" spans="1:19">
      <c r="B26" s="237" t="s">
        <v>120</v>
      </c>
      <c r="C26" s="370">
        <v>90223.01</v>
      </c>
      <c r="D26" s="194">
        <v>211309</v>
      </c>
      <c r="E26" s="194">
        <v>150323.82999999999</v>
      </c>
      <c r="F26" s="194">
        <v>181562</v>
      </c>
      <c r="G26" s="194">
        <v>43689</v>
      </c>
      <c r="H26" s="194"/>
      <c r="I26" s="194"/>
      <c r="J26" s="194"/>
      <c r="K26" s="194"/>
      <c r="L26" s="194"/>
      <c r="M26" s="194"/>
      <c r="N26" s="194"/>
      <c r="O26" s="194"/>
      <c r="P26" s="194">
        <v>0</v>
      </c>
      <c r="Q26" s="194">
        <v>0</v>
      </c>
    </row>
    <row r="27" spans="1:19">
      <c r="B27" s="245" t="s">
        <v>119</v>
      </c>
      <c r="C27" s="246">
        <f t="shared" ref="C27:F27" si="6">SUM(C25:C26)</f>
        <v>6705479.2399999974</v>
      </c>
      <c r="D27" s="246">
        <f t="shared" si="6"/>
        <v>6123913</v>
      </c>
      <c r="E27" s="246">
        <f t="shared" si="6"/>
        <v>6284673.4600000009</v>
      </c>
      <c r="F27" s="246">
        <f t="shared" si="6"/>
        <v>7894305</v>
      </c>
      <c r="G27" s="246">
        <f t="shared" ref="G27:Q27" si="7">SUM(G25:G26)</f>
        <v>9192411</v>
      </c>
      <c r="H27" s="246">
        <f t="shared" si="7"/>
        <v>11855753.15</v>
      </c>
      <c r="I27" s="246">
        <f t="shared" si="7"/>
        <v>10691474.27</v>
      </c>
      <c r="J27" s="246">
        <f t="shared" si="7"/>
        <v>12164790.199999999</v>
      </c>
      <c r="K27" s="246">
        <f t="shared" si="7"/>
        <v>11894739.43</v>
      </c>
      <c r="L27" s="246">
        <f t="shared" si="7"/>
        <v>12793663</v>
      </c>
      <c r="M27" s="246">
        <f t="shared" si="7"/>
        <v>10976873.369999997</v>
      </c>
      <c r="N27" s="246">
        <f t="shared" si="7"/>
        <v>11026037</v>
      </c>
      <c r="O27" s="246">
        <f t="shared" si="7"/>
        <v>11069042.779999999</v>
      </c>
      <c r="P27" s="246">
        <f t="shared" si="7"/>
        <v>11813405</v>
      </c>
      <c r="Q27" s="246">
        <f t="shared" si="7"/>
        <v>12161212</v>
      </c>
    </row>
    <row r="28" spans="1:19" ht="6.75" customHeight="1">
      <c r="C28" s="258"/>
      <c r="D28" s="258"/>
      <c r="E28" s="258"/>
      <c r="F28" s="258"/>
      <c r="G28" s="194"/>
      <c r="H28" s="194"/>
      <c r="I28" s="194"/>
      <c r="J28" s="194"/>
      <c r="K28" s="194"/>
      <c r="L28" s="194"/>
      <c r="M28" s="194"/>
      <c r="N28" s="194"/>
      <c r="O28" s="194"/>
      <c r="P28" s="194"/>
      <c r="Q28" s="194"/>
    </row>
    <row r="29" spans="1:19">
      <c r="B29" s="237" t="s">
        <v>118</v>
      </c>
      <c r="C29" s="370">
        <v>2234653.27</v>
      </c>
      <c r="D29" s="194">
        <v>2762721</v>
      </c>
      <c r="E29" s="194">
        <v>2829532.73</v>
      </c>
      <c r="F29" s="194">
        <v>2913118</v>
      </c>
      <c r="G29" s="194">
        <v>2414914</v>
      </c>
      <c r="H29" s="194">
        <v>2382531.36</v>
      </c>
      <c r="I29" s="194">
        <v>2777167.37</v>
      </c>
      <c r="J29" s="194">
        <v>3063650.19</v>
      </c>
      <c r="K29" s="194">
        <v>3051536.75</v>
      </c>
      <c r="L29" s="194">
        <v>3810995</v>
      </c>
      <c r="M29" s="194">
        <v>3076776</v>
      </c>
      <c r="N29" s="194">
        <v>3185901</v>
      </c>
      <c r="O29" s="194">
        <v>2087883.66</v>
      </c>
      <c r="P29" s="194">
        <v>3809330</v>
      </c>
      <c r="Q29" s="194">
        <v>2402503</v>
      </c>
      <c r="S29" s="194"/>
    </row>
    <row r="30" spans="1:19">
      <c r="B30" s="245" t="s">
        <v>117</v>
      </c>
      <c r="C30" s="246">
        <f t="shared" ref="C30:F30" si="8">SUM(C29:C29)</f>
        <v>2234653.27</v>
      </c>
      <c r="D30" s="246">
        <f t="shared" si="8"/>
        <v>2762721</v>
      </c>
      <c r="E30" s="246">
        <f t="shared" si="8"/>
        <v>2829532.73</v>
      </c>
      <c r="F30" s="246">
        <f t="shared" si="8"/>
        <v>2913118</v>
      </c>
      <c r="G30" s="246">
        <f t="shared" ref="G30:Q30" si="9">SUM(G29:G29)</f>
        <v>2414914</v>
      </c>
      <c r="H30" s="246">
        <f t="shared" si="9"/>
        <v>2382531.36</v>
      </c>
      <c r="I30" s="246">
        <f t="shared" si="9"/>
        <v>2777167.37</v>
      </c>
      <c r="J30" s="246">
        <f t="shared" si="9"/>
        <v>3063650.19</v>
      </c>
      <c r="K30" s="246">
        <f t="shared" si="9"/>
        <v>3051536.75</v>
      </c>
      <c r="L30" s="246">
        <f t="shared" si="9"/>
        <v>3810995</v>
      </c>
      <c r="M30" s="246">
        <f t="shared" si="9"/>
        <v>3076776</v>
      </c>
      <c r="N30" s="246">
        <f t="shared" si="9"/>
        <v>3185901</v>
      </c>
      <c r="O30" s="246">
        <f t="shared" si="9"/>
        <v>2087883.66</v>
      </c>
      <c r="P30" s="246">
        <f t="shared" si="9"/>
        <v>3809330</v>
      </c>
      <c r="Q30" s="246">
        <f t="shared" si="9"/>
        <v>2402503</v>
      </c>
    </row>
    <row r="31" spans="1:19" ht="18" customHeight="1">
      <c r="A31" s="398" t="s">
        <v>116</v>
      </c>
      <c r="B31" s="398"/>
      <c r="C31" s="244">
        <f t="shared" ref="C31:F31" si="10">SUM(C30,C27,C23,C18)</f>
        <v>27284707.649999991</v>
      </c>
      <c r="D31" s="244">
        <f t="shared" si="10"/>
        <v>30480390</v>
      </c>
      <c r="E31" s="244">
        <f t="shared" si="10"/>
        <v>28728349.009999998</v>
      </c>
      <c r="F31" s="244">
        <f t="shared" si="10"/>
        <v>34716691</v>
      </c>
      <c r="G31" s="244">
        <f t="shared" ref="G31:Q31" si="11">SUM(G30,G27,G23,G18)</f>
        <v>35244814</v>
      </c>
      <c r="H31" s="244">
        <f t="shared" si="11"/>
        <v>50427303.489999995</v>
      </c>
      <c r="I31" s="244">
        <f t="shared" si="11"/>
        <v>47979617.969999999</v>
      </c>
      <c r="J31" s="244">
        <f t="shared" si="11"/>
        <v>44680902.799999997</v>
      </c>
      <c r="K31" s="244">
        <f t="shared" si="11"/>
        <v>47648119.789999999</v>
      </c>
      <c r="L31" s="244">
        <f t="shared" si="11"/>
        <v>47134334</v>
      </c>
      <c r="M31" s="244">
        <f t="shared" si="11"/>
        <v>45201861.079999998</v>
      </c>
      <c r="N31" s="244">
        <f t="shared" si="11"/>
        <v>45550075</v>
      </c>
      <c r="O31" s="244">
        <f t="shared" si="11"/>
        <v>40782728.619999997</v>
      </c>
      <c r="P31" s="244">
        <f t="shared" si="11"/>
        <v>47210608</v>
      </c>
      <c r="Q31" s="244">
        <f t="shared" si="11"/>
        <v>43591429</v>
      </c>
    </row>
    <row r="32" spans="1:19">
      <c r="B32" s="243"/>
      <c r="C32" s="243"/>
      <c r="D32" s="243"/>
      <c r="E32" s="243"/>
      <c r="F32" s="243"/>
      <c r="G32" s="194"/>
      <c r="H32" s="194"/>
      <c r="I32" s="194"/>
      <c r="J32" s="194"/>
      <c r="K32" s="194"/>
      <c r="L32" s="194"/>
      <c r="M32" s="194"/>
      <c r="N32" s="194"/>
      <c r="O32" s="194"/>
      <c r="P32" s="194"/>
      <c r="Q32" s="194"/>
    </row>
    <row r="33" spans="1:19">
      <c r="A33" s="243" t="s">
        <v>115</v>
      </c>
      <c r="B33" s="237" t="s">
        <v>114</v>
      </c>
      <c r="C33" s="370">
        <v>733424.01</v>
      </c>
      <c r="D33" s="194">
        <v>687603</v>
      </c>
      <c r="E33" s="194">
        <v>636144.29</v>
      </c>
      <c r="F33" s="194">
        <v>716460</v>
      </c>
      <c r="G33" s="194">
        <v>658775</v>
      </c>
      <c r="H33" s="194">
        <v>831696.91</v>
      </c>
      <c r="I33" s="194">
        <v>610971.79</v>
      </c>
      <c r="J33" s="194">
        <v>761026.25</v>
      </c>
      <c r="K33" s="194">
        <v>1081654.73</v>
      </c>
      <c r="L33" s="194">
        <v>797849</v>
      </c>
      <c r="M33" s="194">
        <v>811009.52</v>
      </c>
      <c r="N33" s="194">
        <v>828953</v>
      </c>
      <c r="O33" s="194">
        <v>738429.14999999991</v>
      </c>
      <c r="P33" s="194">
        <v>851605.42999999993</v>
      </c>
      <c r="Q33" s="194">
        <v>779002</v>
      </c>
      <c r="S33" s="194"/>
    </row>
    <row r="34" spans="1:19">
      <c r="B34" s="237" t="s">
        <v>113</v>
      </c>
      <c r="C34" s="370">
        <v>2148587.04</v>
      </c>
      <c r="D34" s="194">
        <v>2537247</v>
      </c>
      <c r="E34" s="194">
        <v>2552550.41</v>
      </c>
      <c r="F34" s="194">
        <v>2444908</v>
      </c>
      <c r="G34" s="194">
        <v>2340704</v>
      </c>
      <c r="H34" s="194">
        <v>2668551.16</v>
      </c>
      <c r="I34" s="194">
        <v>2714055.36</v>
      </c>
      <c r="J34" s="194">
        <v>2606885.94</v>
      </c>
      <c r="K34" s="194">
        <v>2686195.65</v>
      </c>
      <c r="L34" s="194">
        <v>2722811</v>
      </c>
      <c r="M34" s="194">
        <v>2717874.71</v>
      </c>
      <c r="N34" s="194">
        <v>2726337</v>
      </c>
      <c r="O34" s="194">
        <v>2742503.0500000003</v>
      </c>
      <c r="P34" s="194">
        <v>2722870.8299999996</v>
      </c>
      <c r="Q34" s="194">
        <v>2810591</v>
      </c>
      <c r="S34" s="194"/>
    </row>
    <row r="35" spans="1:19">
      <c r="B35" s="237" t="s">
        <v>112</v>
      </c>
      <c r="C35" s="370">
        <v>1005653.24</v>
      </c>
      <c r="D35" s="194">
        <v>1776526</v>
      </c>
      <c r="E35" s="194">
        <v>4329842.21</v>
      </c>
      <c r="F35" s="194">
        <v>6034143</v>
      </c>
      <c r="G35" s="194">
        <v>7660904</v>
      </c>
      <c r="H35" s="194">
        <v>8747388.2599999998</v>
      </c>
      <c r="I35" s="194">
        <v>7939587.2699999996</v>
      </c>
      <c r="J35" s="194">
        <v>8553076.3699999992</v>
      </c>
      <c r="K35" s="194">
        <v>9041925.8399999999</v>
      </c>
      <c r="L35" s="194">
        <v>9140737</v>
      </c>
      <c r="M35" s="194">
        <v>9740397.0799999982</v>
      </c>
      <c r="N35" s="194">
        <v>8413360</v>
      </c>
      <c r="O35" s="194">
        <v>8244084.9399999976</v>
      </c>
      <c r="P35" s="194">
        <v>8724318.0399999991</v>
      </c>
      <c r="Q35" s="194">
        <v>9239916</v>
      </c>
      <c r="S35" s="194"/>
    </row>
    <row r="36" spans="1:19">
      <c r="B36" s="237" t="s">
        <v>111</v>
      </c>
      <c r="C36" s="370">
        <v>6570667</v>
      </c>
      <c r="D36" s="194">
        <v>4519814</v>
      </c>
      <c r="E36" s="194">
        <v>10594008.399999999</v>
      </c>
      <c r="F36" s="194">
        <v>10278445</v>
      </c>
      <c r="G36" s="194">
        <v>16189398</v>
      </c>
      <c r="H36" s="194">
        <v>21993515.789999999</v>
      </c>
      <c r="I36" s="194">
        <v>16872697.670000002</v>
      </c>
      <c r="J36" s="194">
        <v>15116518.9</v>
      </c>
      <c r="K36" s="194">
        <v>14293923.970000001</v>
      </c>
      <c r="L36" s="194">
        <v>15137000</v>
      </c>
      <c r="M36" s="194">
        <v>20566434.849999998</v>
      </c>
      <c r="N36" s="194">
        <v>16674160</v>
      </c>
      <c r="O36" s="194">
        <v>16547621.699999996</v>
      </c>
      <c r="P36" s="194">
        <v>15721688.430000002</v>
      </c>
      <c r="Q36" s="194">
        <v>13837756.299999995</v>
      </c>
      <c r="S36" s="194"/>
    </row>
    <row r="37" spans="1:19">
      <c r="B37" s="237" t="s">
        <v>110</v>
      </c>
      <c r="C37" s="370"/>
      <c r="F37" s="194">
        <v>93475</v>
      </c>
      <c r="G37" s="194">
        <v>124703</v>
      </c>
      <c r="H37" s="194">
        <v>158296.26999999999</v>
      </c>
      <c r="I37" s="194">
        <v>110571.35</v>
      </c>
      <c r="J37" s="194">
        <v>140397.85999999999</v>
      </c>
      <c r="K37" s="194">
        <v>134869.24</v>
      </c>
      <c r="L37" s="194">
        <v>163102</v>
      </c>
      <c r="M37" s="194">
        <v>234021</v>
      </c>
      <c r="N37" s="194">
        <v>138705</v>
      </c>
      <c r="O37" s="194">
        <v>132666.63</v>
      </c>
      <c r="P37" s="194">
        <v>136493.07</v>
      </c>
      <c r="Q37" s="194">
        <v>144914.25</v>
      </c>
      <c r="S37" s="194"/>
    </row>
    <row r="38" spans="1:19">
      <c r="B38" s="237" t="s">
        <v>109</v>
      </c>
      <c r="C38" s="370"/>
      <c r="F38" s="194"/>
      <c r="G38" s="194"/>
      <c r="H38" s="194"/>
      <c r="I38" s="194">
        <v>68133.8</v>
      </c>
      <c r="J38" s="194">
        <v>52779.89</v>
      </c>
      <c r="K38" s="194">
        <v>140868.88</v>
      </c>
      <c r="L38" s="194">
        <v>124210</v>
      </c>
      <c r="M38" s="194">
        <v>102394</v>
      </c>
      <c r="N38" s="194">
        <v>130034</v>
      </c>
      <c r="O38" s="194">
        <v>104183.70999999999</v>
      </c>
      <c r="P38" s="194">
        <v>119555.17</v>
      </c>
      <c r="Q38" s="194">
        <v>113767</v>
      </c>
      <c r="S38" s="194"/>
    </row>
    <row r="39" spans="1:19">
      <c r="B39" s="237" t="s">
        <v>108</v>
      </c>
      <c r="C39" s="370">
        <v>5441199.1399999997</v>
      </c>
      <c r="D39" s="194">
        <v>3373196</v>
      </c>
      <c r="E39" s="194">
        <v>6142649.6599999983</v>
      </c>
      <c r="F39" s="194">
        <v>6078270</v>
      </c>
      <c r="G39" s="194">
        <v>6859314</v>
      </c>
      <c r="H39" s="194">
        <v>7223658.5800000001</v>
      </c>
      <c r="I39" s="194">
        <v>11203329.99</v>
      </c>
      <c r="J39" s="194">
        <v>5691055.3700000001</v>
      </c>
      <c r="K39" s="194">
        <v>12065436.449999999</v>
      </c>
      <c r="L39" s="194">
        <v>6615140</v>
      </c>
      <c r="M39" s="194">
        <v>8271585.4100000001</v>
      </c>
      <c r="N39" s="194">
        <v>8173784</v>
      </c>
      <c r="O39" s="194">
        <v>7077489.7400000012</v>
      </c>
      <c r="P39" s="194">
        <v>7546706.6000000006</v>
      </c>
      <c r="Q39" s="194">
        <v>6178473.4800000004</v>
      </c>
      <c r="S39" s="194"/>
    </row>
    <row r="40" spans="1:19">
      <c r="B40" s="237" t="s">
        <v>107</v>
      </c>
      <c r="C40" s="370"/>
      <c r="F40" s="194"/>
      <c r="G40" s="194">
        <v>34325</v>
      </c>
      <c r="H40" s="194">
        <v>118229.05</v>
      </c>
      <c r="I40" s="194">
        <v>364936.65</v>
      </c>
      <c r="J40" s="194">
        <v>453801.49</v>
      </c>
      <c r="K40" s="194">
        <v>633054.71999999997</v>
      </c>
      <c r="L40" s="194">
        <v>661308</v>
      </c>
      <c r="M40" s="194">
        <v>614064.73</v>
      </c>
      <c r="N40" s="194">
        <v>545674</v>
      </c>
      <c r="O40" s="194">
        <v>282488.83999999997</v>
      </c>
      <c r="P40" s="194">
        <v>206252.25</v>
      </c>
      <c r="Q40" s="194">
        <v>182518.16999999998</v>
      </c>
      <c r="S40" s="194"/>
    </row>
    <row r="41" spans="1:19">
      <c r="B41" s="237" t="s">
        <v>204</v>
      </c>
      <c r="C41" s="370"/>
      <c r="F41" s="194"/>
      <c r="G41" s="194"/>
      <c r="H41" s="194"/>
      <c r="I41" s="194"/>
      <c r="J41" s="194"/>
      <c r="K41" s="194"/>
      <c r="L41" s="194">
        <v>4650</v>
      </c>
      <c r="M41" s="194">
        <v>-4650</v>
      </c>
      <c r="N41" s="194"/>
      <c r="O41" s="194"/>
      <c r="P41" s="194">
        <v>0</v>
      </c>
      <c r="Q41" s="194">
        <v>0</v>
      </c>
      <c r="S41" s="194"/>
    </row>
    <row r="42" spans="1:19">
      <c r="B42" s="237" t="s">
        <v>106</v>
      </c>
      <c r="C42" s="370">
        <v>1752833.81</v>
      </c>
      <c r="D42" s="194">
        <v>1633522</v>
      </c>
      <c r="E42" s="194">
        <v>1790851.57</v>
      </c>
      <c r="F42" s="194">
        <v>1928048</v>
      </c>
      <c r="G42" s="194">
        <v>2066331</v>
      </c>
      <c r="H42" s="194">
        <v>2575344.41</v>
      </c>
      <c r="I42" s="194">
        <v>2709447.93</v>
      </c>
      <c r="J42" s="194">
        <v>2962457.34</v>
      </c>
      <c r="K42" s="194">
        <v>3133721.78</v>
      </c>
      <c r="L42" s="194">
        <v>3359054</v>
      </c>
      <c r="M42" s="194">
        <v>4505004.3800000008</v>
      </c>
      <c r="N42" s="194">
        <v>4568749</v>
      </c>
      <c r="O42" s="194">
        <v>4048020.7299999995</v>
      </c>
      <c r="P42" s="194">
        <v>4047469.5899999994</v>
      </c>
      <c r="Q42" s="194">
        <v>3834949.34</v>
      </c>
      <c r="S42" s="194"/>
    </row>
    <row r="43" spans="1:19">
      <c r="B43" s="237" t="s">
        <v>105</v>
      </c>
      <c r="C43" s="370">
        <v>5491017</v>
      </c>
      <c r="D43" s="194">
        <v>7402457</v>
      </c>
      <c r="E43" s="194">
        <v>6541035</v>
      </c>
      <c r="F43" s="194">
        <v>6938439</v>
      </c>
      <c r="G43" s="194">
        <v>8537716</v>
      </c>
      <c r="H43" s="194">
        <v>12321474</v>
      </c>
      <c r="I43" s="194">
        <v>15094787.6</v>
      </c>
      <c r="J43" s="194">
        <v>21941730.670000002</v>
      </c>
      <c r="K43" s="194">
        <v>11586883.73</v>
      </c>
      <c r="L43" s="194">
        <v>15188307</v>
      </c>
      <c r="M43" s="194">
        <v>11041579.77</v>
      </c>
      <c r="N43" s="194">
        <v>12755152</v>
      </c>
      <c r="O43" s="194">
        <v>10441818.99</v>
      </c>
      <c r="P43" s="194">
        <v>9704134.8000000007</v>
      </c>
      <c r="Q43" s="194">
        <v>9936263.2300000004</v>
      </c>
      <c r="S43" s="194"/>
    </row>
    <row r="44" spans="1:19">
      <c r="B44" s="237" t="s">
        <v>104</v>
      </c>
      <c r="C44" s="370">
        <v>11959023.269999998</v>
      </c>
      <c r="D44" s="194">
        <v>11552934</v>
      </c>
      <c r="E44" s="194">
        <v>12037026.67</v>
      </c>
      <c r="F44" s="194">
        <v>12664313</v>
      </c>
      <c r="G44" s="194">
        <v>15349520</v>
      </c>
      <c r="H44" s="194">
        <v>16073605.48</v>
      </c>
      <c r="I44" s="194">
        <v>15800876.02</v>
      </c>
      <c r="J44" s="194">
        <v>15294864.880000001</v>
      </c>
      <c r="K44" s="194">
        <v>16713068.199999999</v>
      </c>
      <c r="L44" s="194">
        <v>16526287</v>
      </c>
      <c r="M44" s="194">
        <v>18138282.009999998</v>
      </c>
      <c r="N44" s="194">
        <v>16731875</v>
      </c>
      <c r="O44" s="194">
        <v>15000943.699999999</v>
      </c>
      <c r="P44" s="194">
        <v>14435811.690000001</v>
      </c>
      <c r="Q44" s="194">
        <v>15683579.810000001</v>
      </c>
      <c r="S44" s="194"/>
    </row>
    <row r="45" spans="1:19">
      <c r="B45" s="237" t="s">
        <v>103</v>
      </c>
      <c r="C45" s="370">
        <v>39626.519999999997</v>
      </c>
      <c r="D45" s="194">
        <v>1176490</v>
      </c>
      <c r="E45" s="194">
        <v>483878.49</v>
      </c>
      <c r="F45" s="194">
        <v>560467</v>
      </c>
      <c r="G45" s="194">
        <v>430107</v>
      </c>
      <c r="H45" s="194">
        <v>453174.96</v>
      </c>
      <c r="I45" s="194">
        <v>755838.51</v>
      </c>
      <c r="J45" s="194">
        <v>664291.94999999995</v>
      </c>
      <c r="K45" s="194">
        <v>684144.2</v>
      </c>
      <c r="L45" s="194">
        <v>632232</v>
      </c>
      <c r="M45" s="194">
        <v>613878.14000000013</v>
      </c>
      <c r="N45" s="194">
        <v>629823</v>
      </c>
      <c r="O45" s="194">
        <v>566427.66</v>
      </c>
      <c r="P45" s="194">
        <v>553284.52999999991</v>
      </c>
      <c r="Q45" s="194">
        <v>1223514.2299999997</v>
      </c>
      <c r="S45" s="194"/>
    </row>
    <row r="46" spans="1:19">
      <c r="B46" s="237" t="s">
        <v>102</v>
      </c>
      <c r="C46" s="370">
        <v>1114873.6399999999</v>
      </c>
      <c r="D46" s="194">
        <v>1749602</v>
      </c>
      <c r="E46" s="194">
        <v>1579828.93</v>
      </c>
      <c r="F46" s="194">
        <v>2438482</v>
      </c>
      <c r="G46" s="194">
        <v>2830660</v>
      </c>
      <c r="H46" s="194">
        <v>2837601.3</v>
      </c>
      <c r="I46" s="194">
        <v>4009231.03</v>
      </c>
      <c r="J46" s="194">
        <v>3551517.74</v>
      </c>
      <c r="K46" s="194">
        <v>3477187.41</v>
      </c>
      <c r="L46" s="194">
        <v>3422313</v>
      </c>
      <c r="M46" s="194">
        <v>3912663.8599999994</v>
      </c>
      <c r="N46" s="194">
        <v>3607056</v>
      </c>
      <c r="O46" s="194">
        <v>3891274.99</v>
      </c>
      <c r="P46" s="194">
        <v>4618923.32</v>
      </c>
      <c r="Q46" s="194">
        <v>6080797.4800000004</v>
      </c>
      <c r="S46" s="194"/>
    </row>
    <row r="47" spans="1:19">
      <c r="B47" s="237" t="s">
        <v>101</v>
      </c>
      <c r="C47" s="370">
        <v>742121</v>
      </c>
      <c r="D47" s="194">
        <v>684324</v>
      </c>
      <c r="E47" s="194">
        <v>790837</v>
      </c>
      <c r="F47" s="194">
        <v>749767</v>
      </c>
      <c r="G47" s="194">
        <v>841382</v>
      </c>
      <c r="H47" s="194">
        <v>1147875</v>
      </c>
      <c r="I47" s="194">
        <v>694692.43</v>
      </c>
      <c r="J47" s="194">
        <v>626509.31000000006</v>
      </c>
      <c r="K47" s="194">
        <v>1086909.6599999999</v>
      </c>
      <c r="L47" s="194">
        <v>936944</v>
      </c>
      <c r="M47" s="194">
        <v>1023666</v>
      </c>
      <c r="N47" s="194">
        <v>1028574</v>
      </c>
      <c r="O47" s="194">
        <v>1221590.6500000001</v>
      </c>
      <c r="P47" s="194">
        <v>973600.29999999993</v>
      </c>
      <c r="Q47" s="194">
        <v>1083954.03</v>
      </c>
      <c r="S47" s="194"/>
    </row>
    <row r="48" spans="1:19">
      <c r="B48" s="237" t="s">
        <v>100</v>
      </c>
      <c r="C48" s="370">
        <v>2420625</v>
      </c>
      <c r="D48" s="194">
        <v>2726944</v>
      </c>
      <c r="E48" s="194">
        <v>2744980.75</v>
      </c>
      <c r="F48" s="194">
        <v>2761856</v>
      </c>
      <c r="G48" s="194">
        <v>2803647</v>
      </c>
      <c r="H48" s="194">
        <v>2932795.66</v>
      </c>
      <c r="I48" s="194">
        <v>2709869.99</v>
      </c>
      <c r="J48" s="194">
        <v>3314938.77</v>
      </c>
      <c r="K48" s="194">
        <v>2989703.16</v>
      </c>
      <c r="L48" s="194">
        <v>3403933</v>
      </c>
      <c r="M48" s="194">
        <v>3673493.3099999996</v>
      </c>
      <c r="N48" s="194">
        <v>5267198</v>
      </c>
      <c r="O48" s="194">
        <v>3464330.9700000007</v>
      </c>
      <c r="P48" s="194">
        <v>3740162.64</v>
      </c>
      <c r="Q48" s="194">
        <v>4535506.05</v>
      </c>
      <c r="S48" s="194"/>
    </row>
    <row r="49" spans="1:19">
      <c r="B49" s="237" t="s">
        <v>99</v>
      </c>
      <c r="C49" s="370">
        <v>5421899.2400000012</v>
      </c>
      <c r="D49" s="194">
        <v>6158492</v>
      </c>
      <c r="E49" s="194">
        <v>6593549.7200000016</v>
      </c>
      <c r="F49" s="194">
        <v>8881642</v>
      </c>
      <c r="G49" s="194">
        <v>11365123</v>
      </c>
      <c r="H49" s="194">
        <v>9951477.0299999993</v>
      </c>
      <c r="I49" s="194">
        <v>12122356.76</v>
      </c>
      <c r="J49" s="194">
        <v>12088601.689999999</v>
      </c>
      <c r="K49" s="194">
        <v>11248947.369999999</v>
      </c>
      <c r="L49" s="194">
        <v>10584971</v>
      </c>
      <c r="M49" s="194">
        <v>11987367.720000001</v>
      </c>
      <c r="N49" s="194">
        <v>13963980</v>
      </c>
      <c r="O49" s="194">
        <v>14080297.659999996</v>
      </c>
      <c r="P49" s="194">
        <v>13264626.269999998</v>
      </c>
      <c r="Q49" s="194">
        <v>19209106.000000004</v>
      </c>
      <c r="S49"/>
    </row>
    <row r="50" spans="1:19" ht="16.5" customHeight="1">
      <c r="B50" s="237" t="s">
        <v>98</v>
      </c>
      <c r="C50" s="370"/>
      <c r="D50" s="194">
        <v>162707</v>
      </c>
      <c r="E50" s="194">
        <v>251326.72</v>
      </c>
      <c r="F50" s="194">
        <v>516803</v>
      </c>
      <c r="G50" s="194">
        <v>427731</v>
      </c>
      <c r="H50" s="194">
        <v>403540.21</v>
      </c>
      <c r="I50" s="194">
        <v>389914</v>
      </c>
      <c r="J50" s="194">
        <v>448433.02</v>
      </c>
      <c r="K50" s="194">
        <v>542524.98</v>
      </c>
      <c r="L50" s="194">
        <v>466896</v>
      </c>
      <c r="M50" s="194">
        <v>537684</v>
      </c>
      <c r="N50" s="194">
        <v>506008</v>
      </c>
      <c r="O50" s="194">
        <v>507759.98</v>
      </c>
      <c r="P50" s="194">
        <v>504365.08999999997</v>
      </c>
      <c r="Q50" s="194">
        <v>512415.86</v>
      </c>
      <c r="S50"/>
    </row>
    <row r="51" spans="1:19" ht="16.5" customHeight="1">
      <c r="B51" s="237" t="s">
        <v>97</v>
      </c>
      <c r="C51" s="370"/>
      <c r="D51" s="194">
        <v>20776</v>
      </c>
      <c r="E51" s="194">
        <v>145822.15</v>
      </c>
      <c r="F51" s="194">
        <v>131067</v>
      </c>
      <c r="G51" s="194">
        <v>148610</v>
      </c>
      <c r="H51" s="194">
        <v>162735.01</v>
      </c>
      <c r="I51" s="194">
        <v>206529.12</v>
      </c>
      <c r="J51" s="194">
        <v>340149.56</v>
      </c>
      <c r="K51" s="194">
        <v>393094.87</v>
      </c>
      <c r="L51" s="194">
        <v>381505</v>
      </c>
      <c r="M51" s="194">
        <v>316905</v>
      </c>
      <c r="N51" s="194">
        <v>396708</v>
      </c>
      <c r="O51" s="194">
        <v>371180.75</v>
      </c>
      <c r="P51" s="194">
        <v>391429.16</v>
      </c>
      <c r="Q51" s="194">
        <v>390031.47</v>
      </c>
      <c r="S51"/>
    </row>
    <row r="52" spans="1:19">
      <c r="B52" s="237" t="s">
        <v>96</v>
      </c>
      <c r="C52" s="370">
        <v>10974056.929999998</v>
      </c>
      <c r="D52" s="194">
        <v>10793537</v>
      </c>
      <c r="E52" s="194">
        <v>17438231.43</v>
      </c>
      <c r="F52" s="194">
        <v>24319364</v>
      </c>
      <c r="G52" s="194">
        <v>32944242</v>
      </c>
      <c r="H52" s="194">
        <v>25813515.890000001</v>
      </c>
      <c r="I52" s="194">
        <v>25447028.68</v>
      </c>
      <c r="J52" s="194">
        <v>23930423.989999998</v>
      </c>
      <c r="K52" s="194">
        <v>27481990.550000001</v>
      </c>
      <c r="L52" s="194">
        <v>27344154</v>
      </c>
      <c r="M52" s="194">
        <v>23095849.280000001</v>
      </c>
      <c r="N52" s="194">
        <v>30088177</v>
      </c>
      <c r="O52" s="194">
        <v>23060163.939999994</v>
      </c>
      <c r="P52" s="194">
        <v>24699925.880000006</v>
      </c>
      <c r="Q52" s="194">
        <v>25502528.089999992</v>
      </c>
      <c r="S52"/>
    </row>
    <row r="53" spans="1:19">
      <c r="A53" s="398" t="s">
        <v>95</v>
      </c>
      <c r="B53" s="398"/>
      <c r="C53" s="244">
        <f t="shared" ref="C53:F53" si="12">SUM(C33:C52)</f>
        <v>55815606.840000004</v>
      </c>
      <c r="D53" s="244">
        <f t="shared" si="12"/>
        <v>56956171</v>
      </c>
      <c r="E53" s="244">
        <f t="shared" si="12"/>
        <v>74652563.400000006</v>
      </c>
      <c r="F53" s="244">
        <f t="shared" si="12"/>
        <v>87535949</v>
      </c>
      <c r="G53" s="244">
        <f t="shared" ref="G53:Q53" si="13">SUM(G33:G52)</f>
        <v>111613192</v>
      </c>
      <c r="H53" s="244">
        <f t="shared" si="13"/>
        <v>116414474.96999998</v>
      </c>
      <c r="I53" s="244">
        <f t="shared" si="13"/>
        <v>119824855.95000002</v>
      </c>
      <c r="J53" s="244">
        <f t="shared" si="13"/>
        <v>118539460.98999998</v>
      </c>
      <c r="K53" s="244">
        <f t="shared" si="13"/>
        <v>119416105.39</v>
      </c>
      <c r="L53" s="244">
        <f t="shared" si="13"/>
        <v>117613403</v>
      </c>
      <c r="M53" s="244">
        <f t="shared" si="13"/>
        <v>121899504.76999998</v>
      </c>
      <c r="N53" s="244">
        <f t="shared" si="13"/>
        <v>127174307</v>
      </c>
      <c r="O53" s="244">
        <f t="shared" si="13"/>
        <v>112523277.77999999</v>
      </c>
      <c r="P53" s="244">
        <f t="shared" si="13"/>
        <v>112963223.09</v>
      </c>
      <c r="Q53" s="244">
        <f t="shared" si="13"/>
        <v>121279583.78999998</v>
      </c>
      <c r="S53"/>
    </row>
    <row r="54" spans="1:19">
      <c r="B54" s="247"/>
      <c r="C54" s="247"/>
      <c r="D54" s="247"/>
      <c r="E54" s="247"/>
      <c r="F54" s="247"/>
      <c r="G54" s="194"/>
      <c r="H54" s="194"/>
      <c r="I54" s="194"/>
      <c r="J54" s="194"/>
      <c r="K54" s="194"/>
      <c r="L54" s="194"/>
      <c r="M54" s="194"/>
      <c r="N54" s="194"/>
      <c r="O54" s="194"/>
      <c r="P54" s="194"/>
      <c r="Q54" s="194"/>
      <c r="S54"/>
    </row>
    <row r="55" spans="1:19" ht="27.6">
      <c r="A55" s="142" t="s">
        <v>94</v>
      </c>
      <c r="B55" s="248" t="s">
        <v>93</v>
      </c>
      <c r="C55" s="371">
        <v>13690124.909999996</v>
      </c>
      <c r="D55" s="244">
        <v>13283337</v>
      </c>
      <c r="E55" s="244">
        <v>14452103.52</v>
      </c>
      <c r="F55" s="244">
        <v>13812821</v>
      </c>
      <c r="G55" s="244">
        <v>13908430</v>
      </c>
      <c r="H55" s="244">
        <v>14053990.26</v>
      </c>
      <c r="I55" s="244">
        <v>12711728.189999999</v>
      </c>
      <c r="J55" s="244">
        <v>13671164.91</v>
      </c>
      <c r="K55" s="244">
        <v>13923765.529999999</v>
      </c>
      <c r="L55" s="244">
        <v>13908920</v>
      </c>
      <c r="M55" s="244">
        <v>14114665.6</v>
      </c>
      <c r="N55" s="244">
        <v>13517548</v>
      </c>
      <c r="O55" s="244">
        <v>16836697.550000001</v>
      </c>
      <c r="P55" s="244">
        <v>12198315</v>
      </c>
      <c r="Q55" s="244">
        <v>14429786</v>
      </c>
      <c r="S55"/>
    </row>
    <row r="56" spans="1:19">
      <c r="C56" s="258"/>
      <c r="D56" s="258"/>
      <c r="E56" s="258"/>
      <c r="F56" s="258"/>
      <c r="G56" s="194"/>
      <c r="H56" s="194"/>
      <c r="I56" s="194"/>
      <c r="J56" s="194"/>
      <c r="K56" s="194"/>
      <c r="L56" s="194"/>
      <c r="M56" s="194"/>
      <c r="N56" s="194"/>
      <c r="O56" s="194"/>
      <c r="P56" s="194"/>
      <c r="Q56" s="194"/>
      <c r="S56"/>
    </row>
    <row r="57" spans="1:19">
      <c r="A57" s="238" t="s">
        <v>92</v>
      </c>
      <c r="B57" s="248" t="s">
        <v>205</v>
      </c>
      <c r="C57" s="371">
        <v>4252998.68</v>
      </c>
      <c r="D57" s="244">
        <v>3461552</v>
      </c>
      <c r="E57" s="244">
        <v>4355304.3099999996</v>
      </c>
      <c r="F57" s="244">
        <v>3939562</v>
      </c>
      <c r="G57" s="244">
        <v>3662199</v>
      </c>
      <c r="H57" s="244">
        <v>3384748.36</v>
      </c>
      <c r="I57" s="244">
        <v>2800349.96</v>
      </c>
      <c r="J57" s="244">
        <v>3123239.52</v>
      </c>
      <c r="K57" s="244">
        <v>3143475.74</v>
      </c>
      <c r="L57" s="244">
        <v>3036343</v>
      </c>
      <c r="M57" s="244">
        <v>3102343.58</v>
      </c>
      <c r="N57" s="244">
        <v>3019916</v>
      </c>
      <c r="O57" s="244">
        <v>2897182.59</v>
      </c>
      <c r="P57" s="244">
        <v>2789751</v>
      </c>
      <c r="Q57" s="244">
        <v>2985133</v>
      </c>
      <c r="S57"/>
    </row>
    <row r="58" spans="1:19">
      <c r="C58" s="258"/>
      <c r="D58" s="258"/>
      <c r="E58" s="258"/>
      <c r="F58" s="258"/>
      <c r="G58" s="194"/>
      <c r="H58" s="194"/>
      <c r="I58" s="194"/>
      <c r="J58" s="194"/>
      <c r="K58" s="194"/>
      <c r="L58" s="194"/>
      <c r="M58" s="194"/>
      <c r="N58" s="194"/>
      <c r="O58" s="194"/>
      <c r="P58" s="194"/>
      <c r="Q58" s="194"/>
      <c r="S58"/>
    </row>
    <row r="59" spans="1:19" ht="16.8">
      <c r="A59" s="243" t="s">
        <v>91</v>
      </c>
      <c r="B59" s="237" t="s">
        <v>419</v>
      </c>
      <c r="C59" s="370">
        <v>9329689.5599999987</v>
      </c>
      <c r="D59" s="194">
        <v>15999893</v>
      </c>
      <c r="E59" s="194">
        <v>16476097</v>
      </c>
      <c r="F59" s="194">
        <f>13319184-2162548-3471611+16877853</f>
        <v>24562878</v>
      </c>
      <c r="G59" s="194">
        <v>51870632</v>
      </c>
      <c r="H59" s="194">
        <v>37603354.659999996</v>
      </c>
      <c r="I59" s="194">
        <v>36314947.420000002</v>
      </c>
      <c r="J59" s="194">
        <v>21464270.649999999</v>
      </c>
      <c r="K59" s="194">
        <v>24068856.09</v>
      </c>
      <c r="L59" s="194">
        <v>25183984.759999998</v>
      </c>
      <c r="M59" s="194">
        <v>24010159.039999999</v>
      </c>
      <c r="N59" s="194">
        <v>22142181</v>
      </c>
      <c r="O59" s="194">
        <v>26273412.68</v>
      </c>
      <c r="P59" s="194">
        <v>40817153</v>
      </c>
      <c r="Q59" s="194">
        <v>38993432</v>
      </c>
      <c r="S59"/>
    </row>
    <row r="60" spans="1:19" ht="16.8">
      <c r="B60" s="237" t="s">
        <v>89</v>
      </c>
      <c r="C60" s="258"/>
      <c r="D60" s="194">
        <v>16605994</v>
      </c>
      <c r="E60" s="194">
        <v>16937766</v>
      </c>
      <c r="F60" s="194">
        <v>26741905</v>
      </c>
      <c r="G60" s="194">
        <v>52203712</v>
      </c>
      <c r="H60" s="194">
        <v>38048399.530000001</v>
      </c>
      <c r="I60" s="194">
        <v>23741722.07</v>
      </c>
      <c r="J60" s="194">
        <v>20104220.399999999</v>
      </c>
      <c r="K60" s="194">
        <v>22112085.41</v>
      </c>
      <c r="L60" s="194">
        <v>18204478</v>
      </c>
      <c r="M60" s="194">
        <v>8998595</v>
      </c>
      <c r="N60" s="194">
        <v>26702585</v>
      </c>
      <c r="O60" s="194">
        <v>12768517.42</v>
      </c>
      <c r="P60" s="194">
        <v>12846602</v>
      </c>
      <c r="Q60" s="194">
        <v>21559373</v>
      </c>
      <c r="S60"/>
    </row>
    <row r="61" spans="1:19" ht="16.8">
      <c r="B61" s="237" t="s">
        <v>427</v>
      </c>
      <c r="C61" s="370">
        <v>4257817.18</v>
      </c>
      <c r="D61" s="194">
        <v>5628187</v>
      </c>
      <c r="E61" s="370">
        <v>8355797</v>
      </c>
      <c r="F61" s="370">
        <f>52603+4188123+2901156</f>
        <v>7141882</v>
      </c>
      <c r="G61" s="249">
        <v>5933917</v>
      </c>
      <c r="H61" s="249">
        <v>8235814.3799999999</v>
      </c>
      <c r="I61" s="249">
        <v>7854727.4900000002</v>
      </c>
      <c r="J61" s="249">
        <v>8969539.379999999</v>
      </c>
      <c r="K61" s="249">
        <v>10995773.41</v>
      </c>
      <c r="L61" s="249">
        <v>7743398.8499999996</v>
      </c>
      <c r="M61" s="249">
        <v>4497166.07</v>
      </c>
      <c r="N61" s="249">
        <v>6471900</v>
      </c>
      <c r="O61" s="249">
        <v>5682822.5</v>
      </c>
      <c r="P61" s="249">
        <v>5002530</v>
      </c>
      <c r="Q61" s="194">
        <v>5186211</v>
      </c>
      <c r="S61"/>
    </row>
    <row r="62" spans="1:19">
      <c r="B62" s="237" t="s">
        <v>87</v>
      </c>
      <c r="C62" s="370">
        <v>3613019.9</v>
      </c>
      <c r="D62" s="194">
        <v>3964862</v>
      </c>
      <c r="E62" s="194">
        <v>3561562.21</v>
      </c>
      <c r="F62" s="194">
        <v>3471611</v>
      </c>
      <c r="G62" s="194">
        <v>4778134</v>
      </c>
      <c r="H62" s="194">
        <v>4833194.43</v>
      </c>
      <c r="I62" s="194">
        <v>5528549.8099999996</v>
      </c>
      <c r="J62" s="194">
        <v>4191459.14</v>
      </c>
      <c r="K62" s="194">
        <v>5148896.25</v>
      </c>
      <c r="L62" s="194">
        <v>4792260</v>
      </c>
      <c r="M62" s="194">
        <v>4538278</v>
      </c>
      <c r="N62" s="194">
        <v>4643486</v>
      </c>
      <c r="O62" s="194">
        <v>4504494.53</v>
      </c>
      <c r="P62" s="194">
        <v>2996964</v>
      </c>
      <c r="Q62" s="194">
        <v>3976707</v>
      </c>
      <c r="S62"/>
    </row>
    <row r="63" spans="1:19">
      <c r="B63" s="237" t="s">
        <v>88</v>
      </c>
      <c r="C63" s="370">
        <v>1207766.03</v>
      </c>
      <c r="D63" s="194">
        <v>897497</v>
      </c>
      <c r="E63" s="194">
        <v>36104.379999999997</v>
      </c>
      <c r="F63" s="194">
        <v>44731</v>
      </c>
      <c r="G63" s="194">
        <v>935038</v>
      </c>
      <c r="H63" s="194">
        <v>1802447.45</v>
      </c>
      <c r="I63" s="194">
        <v>1810123.48</v>
      </c>
      <c r="J63" s="194">
        <v>1862081.77</v>
      </c>
      <c r="K63" s="194">
        <v>2058244.58</v>
      </c>
      <c r="L63" s="194">
        <v>1989826</v>
      </c>
      <c r="M63" s="194">
        <v>2318310.46</v>
      </c>
      <c r="N63" s="194">
        <v>1690830</v>
      </c>
      <c r="O63" s="194">
        <v>1322507.22</v>
      </c>
      <c r="P63" s="194">
        <v>1352094</v>
      </c>
      <c r="Q63" s="194">
        <v>2866184</v>
      </c>
      <c r="S63"/>
    </row>
    <row r="64" spans="1:19" ht="16.5" customHeight="1">
      <c r="B64" s="237" t="s">
        <v>322</v>
      </c>
      <c r="C64" s="258"/>
      <c r="D64" s="258"/>
      <c r="E64" s="258"/>
      <c r="F64" s="258"/>
      <c r="G64" s="194">
        <v>-5658821</v>
      </c>
      <c r="H64" s="194">
        <v>-3141637.28</v>
      </c>
      <c r="I64" s="194"/>
      <c r="J64" s="194"/>
      <c r="K64" s="194">
        <v>-1875149.14</v>
      </c>
      <c r="L64" s="194">
        <v>-774836</v>
      </c>
      <c r="M64" s="194">
        <v>-836214</v>
      </c>
      <c r="N64" s="194">
        <v>-944940</v>
      </c>
      <c r="O64" s="194">
        <v>-830904.81</v>
      </c>
      <c r="P64" s="194">
        <v>-128660</v>
      </c>
      <c r="Q64" s="194">
        <v>-1390104</v>
      </c>
      <c r="S64"/>
    </row>
    <row r="65" spans="1:21">
      <c r="B65" s="237" t="s">
        <v>90</v>
      </c>
      <c r="C65" s="370">
        <v>3220918.04</v>
      </c>
      <c r="D65" s="194">
        <v>2875372</v>
      </c>
      <c r="E65" s="194">
        <v>2102582.02</v>
      </c>
      <c r="F65" s="194">
        <v>2162548</v>
      </c>
      <c r="G65" s="194">
        <v>1748321</v>
      </c>
      <c r="H65" s="194">
        <v>1611165.69</v>
      </c>
      <c r="I65" s="194">
        <v>1231259.69</v>
      </c>
      <c r="J65" s="194">
        <v>544683.72</v>
      </c>
      <c r="K65" s="194">
        <v>-53709.74</v>
      </c>
      <c r="L65" s="194"/>
      <c r="M65" s="194"/>
      <c r="N65" s="194"/>
      <c r="O65" s="194"/>
      <c r="P65" s="194"/>
      <c r="Q65" s="194"/>
      <c r="S65"/>
    </row>
    <row r="66" spans="1:21">
      <c r="A66" s="398" t="s">
        <v>86</v>
      </c>
      <c r="B66" s="398"/>
      <c r="C66" s="244">
        <f t="shared" ref="C66:F66" si="14">SUM(C59:C65)</f>
        <v>21629210.709999997</v>
      </c>
      <c r="D66" s="244">
        <f t="shared" si="14"/>
        <v>45971805</v>
      </c>
      <c r="E66" s="244">
        <f t="shared" si="14"/>
        <v>47469908.610000007</v>
      </c>
      <c r="F66" s="244">
        <f t="shared" si="14"/>
        <v>64125555</v>
      </c>
      <c r="G66" s="244">
        <f t="shared" ref="G66:Q66" si="15">SUM(G59:G65)</f>
        <v>111810933</v>
      </c>
      <c r="H66" s="244">
        <f t="shared" si="15"/>
        <v>88992738.859999999</v>
      </c>
      <c r="I66" s="244">
        <f t="shared" si="15"/>
        <v>76481329.960000008</v>
      </c>
      <c r="J66" s="244">
        <f t="shared" si="15"/>
        <v>57136255.059999995</v>
      </c>
      <c r="K66" s="244">
        <f t="shared" si="15"/>
        <v>62454996.859999992</v>
      </c>
      <c r="L66" s="244">
        <f t="shared" si="15"/>
        <v>57139111.609999999</v>
      </c>
      <c r="M66" s="244">
        <f t="shared" si="15"/>
        <v>43526294.57</v>
      </c>
      <c r="N66" s="244">
        <f t="shared" si="15"/>
        <v>60706042</v>
      </c>
      <c r="O66" s="244">
        <f t="shared" si="15"/>
        <v>49720849.539999999</v>
      </c>
      <c r="P66" s="244">
        <f t="shared" si="15"/>
        <v>62886683</v>
      </c>
      <c r="Q66" s="244">
        <f t="shared" si="15"/>
        <v>71191803</v>
      </c>
      <c r="S66"/>
    </row>
    <row r="67" spans="1:21">
      <c r="B67" s="243"/>
      <c r="C67" s="243"/>
      <c r="D67" s="243"/>
      <c r="E67" s="243"/>
      <c r="F67" s="243"/>
      <c r="G67" s="246"/>
      <c r="H67" s="246"/>
      <c r="I67" s="246"/>
      <c r="J67" s="246"/>
      <c r="K67" s="246"/>
      <c r="L67" s="246"/>
      <c r="M67" s="246"/>
      <c r="N67" s="246"/>
      <c r="O67" s="246"/>
      <c r="P67" s="246"/>
      <c r="Q67" s="246"/>
      <c r="S67"/>
    </row>
    <row r="68" spans="1:21">
      <c r="A68" s="171" t="s">
        <v>244</v>
      </c>
      <c r="B68" s="171"/>
      <c r="C68" s="171"/>
      <c r="D68" s="171"/>
      <c r="E68" s="171"/>
      <c r="F68" s="171"/>
      <c r="G68" s="250"/>
      <c r="H68" s="250"/>
      <c r="I68" s="250"/>
      <c r="J68" s="250"/>
      <c r="K68" s="250"/>
      <c r="L68" s="250"/>
      <c r="M68" s="250"/>
      <c r="N68" s="250">
        <v>10367580</v>
      </c>
      <c r="O68" s="250">
        <v>11607301</v>
      </c>
      <c r="P68" s="250">
        <v>11601030</v>
      </c>
      <c r="Q68" s="250">
        <v>12327352</v>
      </c>
      <c r="R68"/>
      <c r="S68"/>
      <c r="T68"/>
      <c r="U68"/>
    </row>
    <row r="69" spans="1:21">
      <c r="A69" s="90" t="s">
        <v>239</v>
      </c>
      <c r="B69" s="90"/>
      <c r="C69" s="90"/>
      <c r="D69" s="90"/>
      <c r="E69" s="90"/>
      <c r="F69" s="90"/>
      <c r="G69" s="251"/>
      <c r="H69" s="251"/>
      <c r="I69" s="251"/>
      <c r="J69" s="251"/>
      <c r="K69" s="251"/>
      <c r="L69" s="251"/>
      <c r="M69" s="251"/>
      <c r="N69" s="251">
        <v>304457</v>
      </c>
      <c r="O69" s="251">
        <v>254958</v>
      </c>
      <c r="P69" s="251">
        <v>213881</v>
      </c>
      <c r="Q69" s="251">
        <v>179587</v>
      </c>
      <c r="R69"/>
      <c r="S69"/>
      <c r="T69"/>
      <c r="U69"/>
    </row>
    <row r="70" spans="1:21">
      <c r="A70" s="90"/>
      <c r="B70" s="90"/>
      <c r="C70" s="369"/>
      <c r="D70" s="369"/>
      <c r="E70" s="369"/>
      <c r="F70" s="369"/>
      <c r="G70" s="194"/>
      <c r="H70" s="194"/>
      <c r="I70" s="194"/>
      <c r="J70" s="194"/>
      <c r="K70" s="194"/>
      <c r="L70" s="194"/>
      <c r="M70" s="194"/>
      <c r="N70" s="194"/>
      <c r="O70" s="194"/>
      <c r="P70" s="194"/>
      <c r="Q70" s="194"/>
      <c r="S70"/>
    </row>
    <row r="71" spans="1:21">
      <c r="A71" s="398" t="s">
        <v>85</v>
      </c>
      <c r="B71" s="398"/>
      <c r="C71" s="244">
        <f t="shared" ref="C71:F71" si="16">C13+C31+C53+C55+C57+C66+C68+C69</f>
        <v>151238054.59999999</v>
      </c>
      <c r="D71" s="244">
        <f t="shared" si="16"/>
        <v>174413007</v>
      </c>
      <c r="E71" s="244">
        <f t="shared" si="16"/>
        <v>205271805.09000003</v>
      </c>
      <c r="F71" s="244">
        <f t="shared" si="16"/>
        <v>239587953</v>
      </c>
      <c r="G71" s="244">
        <f t="shared" ref="G71:Q71" si="17">G13+G31+G53+G55+G57+G66+G68+G69</f>
        <v>311214895</v>
      </c>
      <c r="H71" s="244">
        <f t="shared" si="17"/>
        <v>306409771.88</v>
      </c>
      <c r="I71" s="244">
        <f t="shared" si="17"/>
        <v>291101892.47000003</v>
      </c>
      <c r="J71" s="244">
        <f t="shared" si="17"/>
        <v>269134109.65999997</v>
      </c>
      <c r="K71" s="244">
        <f t="shared" si="17"/>
        <v>279550549.25</v>
      </c>
      <c r="L71" s="244">
        <f t="shared" si="17"/>
        <v>274172173.63</v>
      </c>
      <c r="M71" s="244">
        <f t="shared" si="17"/>
        <v>259957536.01999998</v>
      </c>
      <c r="N71" s="244">
        <f t="shared" si="17"/>
        <v>289372127</v>
      </c>
      <c r="O71" s="244">
        <f t="shared" si="17"/>
        <v>262715159.58999997</v>
      </c>
      <c r="P71" s="244">
        <f t="shared" si="17"/>
        <v>278235868.09000003</v>
      </c>
      <c r="Q71" s="244">
        <f t="shared" si="17"/>
        <v>295513264.01999998</v>
      </c>
      <c r="S71"/>
    </row>
    <row r="73" spans="1:21">
      <c r="A73" s="243" t="s">
        <v>0</v>
      </c>
      <c r="Q73" s="194"/>
    </row>
    <row r="74" spans="1:21" ht="16.5" customHeight="1">
      <c r="A74" s="239" t="s">
        <v>342</v>
      </c>
      <c r="B74" s="239"/>
      <c r="C74" s="239"/>
      <c r="D74" s="239"/>
      <c r="E74" s="239"/>
      <c r="S74" s="194"/>
    </row>
    <row r="75" spans="1:21">
      <c r="A75" s="239" t="s">
        <v>435</v>
      </c>
      <c r="B75" s="239"/>
      <c r="C75" s="239"/>
      <c r="D75" s="239"/>
      <c r="E75" s="239"/>
    </row>
    <row r="76" spans="1:21">
      <c r="A76" s="239" t="s">
        <v>446</v>
      </c>
      <c r="B76" s="239"/>
      <c r="C76" s="239"/>
      <c r="D76" s="239"/>
      <c r="E76" s="239"/>
    </row>
    <row r="77" spans="1:21">
      <c r="A77" s="239" t="s">
        <v>428</v>
      </c>
      <c r="B77" s="239"/>
      <c r="C77" s="239"/>
      <c r="D77" s="239"/>
      <c r="E77" s="239"/>
    </row>
    <row r="78" spans="1:21">
      <c r="A78" s="239" t="s">
        <v>388</v>
      </c>
      <c r="B78" s="239"/>
      <c r="C78" s="239"/>
      <c r="D78" s="239"/>
      <c r="E78" s="239"/>
    </row>
    <row r="79" spans="1:21" ht="35.25" customHeight="1">
      <c r="A79" s="252"/>
      <c r="B79" s="252"/>
      <c r="C79" s="252"/>
      <c r="D79" s="252"/>
      <c r="E79" s="252"/>
      <c r="F79" s="252"/>
      <c r="G79" s="252"/>
    </row>
    <row r="80" spans="1:21">
      <c r="G80" s="253" t="s">
        <v>74</v>
      </c>
      <c r="H80" s="239" t="str">
        <f>subtitle&amp;", Chief Joseph Cost Share (not included)"</f>
        <v>Total: $295.5 million includes $41.9 million in obligations to capital projects, plus General and Administrative (G&amp;A) expenses ($12.3 million, not included), and Columbia River System Operations Review/Environmental Impact Statement expenses ($0.2 million, not included), Chief Joseph Cost Share (not included)</v>
      </c>
    </row>
    <row r="81" spans="1:6">
      <c r="A81" s="257" t="s">
        <v>341</v>
      </c>
      <c r="B81" s="254"/>
    </row>
    <row r="83" spans="1:6">
      <c r="A83" s="237" t="s">
        <v>139</v>
      </c>
      <c r="B83" s="255" t="s">
        <v>436</v>
      </c>
      <c r="C83" s="194">
        <v>16332918.360000001</v>
      </c>
      <c r="D83" s="255"/>
      <c r="E83" s="239"/>
      <c r="F83" s="194"/>
    </row>
    <row r="84" spans="1:6">
      <c r="A84" s="237" t="s">
        <v>139</v>
      </c>
      <c r="B84" s="255" t="s">
        <v>144</v>
      </c>
      <c r="C84" s="194">
        <v>6918081.5200000014</v>
      </c>
      <c r="D84" s="255"/>
      <c r="E84" s="239"/>
      <c r="F84" s="194"/>
    </row>
    <row r="85" spans="1:6">
      <c r="A85" s="237" t="s">
        <v>139</v>
      </c>
      <c r="B85" s="255" t="s">
        <v>393</v>
      </c>
      <c r="C85" s="194">
        <v>2322393.5100000007</v>
      </c>
      <c r="D85" s="255"/>
      <c r="E85" s="239"/>
      <c r="F85" s="194"/>
    </row>
    <row r="86" spans="1:6">
      <c r="A86" s="237" t="s">
        <v>139</v>
      </c>
      <c r="B86" s="255" t="s">
        <v>206</v>
      </c>
      <c r="C86" s="194">
        <v>1972918.5199999996</v>
      </c>
      <c r="D86" s="255"/>
      <c r="E86" s="239"/>
      <c r="F86" s="194"/>
    </row>
    <row r="87" spans="1:6">
      <c r="A87" s="237" t="s">
        <v>139</v>
      </c>
      <c r="B87" s="255" t="s">
        <v>145</v>
      </c>
      <c r="C87" s="194">
        <v>1013255.5699999998</v>
      </c>
      <c r="D87" s="255"/>
      <c r="E87" s="239"/>
      <c r="F87" s="194"/>
    </row>
    <row r="88" spans="1:6">
      <c r="A88" s="237" t="s">
        <v>139</v>
      </c>
      <c r="B88" s="255" t="s">
        <v>394</v>
      </c>
      <c r="C88" s="194">
        <v>661454.89000000013</v>
      </c>
      <c r="D88" s="255"/>
      <c r="E88" s="239"/>
      <c r="F88" s="194"/>
    </row>
    <row r="89" spans="1:6">
      <c r="A89" s="237" t="s">
        <v>139</v>
      </c>
      <c r="B89" s="255" t="s">
        <v>146</v>
      </c>
      <c r="C89" s="194">
        <v>307567</v>
      </c>
      <c r="D89" s="255"/>
      <c r="E89" s="239"/>
      <c r="F89" s="194"/>
    </row>
    <row r="90" spans="1:6">
      <c r="A90" s="237" t="s">
        <v>140</v>
      </c>
      <c r="B90" s="255" t="s">
        <v>147</v>
      </c>
      <c r="C90" s="194">
        <v>13020713</v>
      </c>
      <c r="D90" s="255"/>
      <c r="E90" s="239"/>
      <c r="F90" s="194"/>
    </row>
    <row r="91" spans="1:6">
      <c r="A91" s="237" t="s">
        <v>140</v>
      </c>
      <c r="B91" s="255" t="s">
        <v>148</v>
      </c>
      <c r="C91" s="194">
        <v>12697808</v>
      </c>
      <c r="D91" s="255"/>
      <c r="F91" s="194"/>
    </row>
    <row r="92" spans="1:6">
      <c r="A92" s="237" t="s">
        <v>140</v>
      </c>
      <c r="B92" s="255" t="s">
        <v>149</v>
      </c>
      <c r="C92" s="194">
        <v>12161212</v>
      </c>
      <c r="D92" s="255"/>
    </row>
    <row r="93" spans="1:6">
      <c r="A93" s="237" t="s">
        <v>140</v>
      </c>
      <c r="B93" s="255" t="s">
        <v>151</v>
      </c>
      <c r="C93" s="194">
        <v>3309193</v>
      </c>
    </row>
    <row r="94" spans="1:6">
      <c r="A94" s="237" t="s">
        <v>140</v>
      </c>
      <c r="B94" s="255" t="s">
        <v>150</v>
      </c>
      <c r="C94" s="194">
        <v>2402503</v>
      </c>
    </row>
    <row r="95" spans="1:6">
      <c r="A95" s="237" t="s">
        <v>141</v>
      </c>
      <c r="B95" s="255" t="s">
        <v>152</v>
      </c>
      <c r="C95" s="194">
        <v>25502528.089999992</v>
      </c>
      <c r="D95" s="239"/>
    </row>
    <row r="96" spans="1:6">
      <c r="A96" s="237" t="s">
        <v>141</v>
      </c>
      <c r="B96" s="255" t="s">
        <v>156</v>
      </c>
      <c r="C96" s="194">
        <v>19209106.000000004</v>
      </c>
      <c r="D96" s="255"/>
      <c r="E96" s="255"/>
    </row>
    <row r="97" spans="1:5">
      <c r="A97" s="237" t="s">
        <v>141</v>
      </c>
      <c r="B97" s="255" t="s">
        <v>154</v>
      </c>
      <c r="C97" s="194">
        <v>15683579.810000001</v>
      </c>
      <c r="D97" s="239"/>
    </row>
    <row r="98" spans="1:5">
      <c r="A98" s="237" t="s">
        <v>141</v>
      </c>
      <c r="B98" s="255" t="s">
        <v>155</v>
      </c>
      <c r="C98" s="194">
        <v>13837756.299999995</v>
      </c>
      <c r="D98" s="239"/>
    </row>
    <row r="99" spans="1:5">
      <c r="A99" s="237" t="s">
        <v>141</v>
      </c>
      <c r="B99" s="255" t="s">
        <v>153</v>
      </c>
      <c r="C99" s="194">
        <v>9936263.2300000004</v>
      </c>
      <c r="D99" s="239"/>
    </row>
    <row r="100" spans="1:5">
      <c r="A100" s="237" t="s">
        <v>141</v>
      </c>
      <c r="B100" s="255" t="s">
        <v>157</v>
      </c>
      <c r="C100" s="194">
        <v>9239916</v>
      </c>
      <c r="D100" s="239"/>
    </row>
    <row r="101" spans="1:5">
      <c r="A101" s="237" t="s">
        <v>141</v>
      </c>
      <c r="B101" s="255" t="s">
        <v>158</v>
      </c>
      <c r="C101" s="194">
        <v>6178473.4800000004</v>
      </c>
      <c r="D101" s="239"/>
    </row>
    <row r="102" spans="1:5">
      <c r="A102" s="237" t="s">
        <v>141</v>
      </c>
      <c r="B102" s="255" t="s">
        <v>159</v>
      </c>
      <c r="C102" s="194">
        <v>6080797.4800000004</v>
      </c>
      <c r="D102" s="255"/>
      <c r="E102" s="255"/>
    </row>
    <row r="103" spans="1:5">
      <c r="A103" s="237" t="s">
        <v>141</v>
      </c>
      <c r="B103" s="255" t="s">
        <v>160</v>
      </c>
      <c r="C103" s="194">
        <v>4535506.05</v>
      </c>
      <c r="D103" s="239"/>
    </row>
    <row r="104" spans="1:5">
      <c r="A104" s="237" t="s">
        <v>141</v>
      </c>
      <c r="B104" s="255" t="s">
        <v>161</v>
      </c>
      <c r="C104" s="194">
        <v>3834949.34</v>
      </c>
      <c r="D104" s="239"/>
      <c r="E104" s="255"/>
    </row>
    <row r="105" spans="1:5">
      <c r="A105" s="237" t="s">
        <v>141</v>
      </c>
      <c r="B105" s="255" t="s">
        <v>162</v>
      </c>
      <c r="C105" s="194">
        <v>2810591</v>
      </c>
      <c r="D105" s="239"/>
    </row>
    <row r="106" spans="1:5">
      <c r="A106" s="237" t="s">
        <v>141</v>
      </c>
      <c r="B106" s="255" t="s">
        <v>395</v>
      </c>
      <c r="C106" s="194">
        <v>1223514.2299999997</v>
      </c>
      <c r="D106" s="239"/>
    </row>
    <row r="107" spans="1:5">
      <c r="A107" s="237" t="s">
        <v>141</v>
      </c>
      <c r="B107" s="255" t="s">
        <v>201</v>
      </c>
      <c r="C107" s="194">
        <v>1083954.03</v>
      </c>
      <c r="D107" s="239"/>
    </row>
    <row r="108" spans="1:5" ht="12.6" customHeight="1">
      <c r="A108" s="237" t="s">
        <v>141</v>
      </c>
      <c r="B108" s="255" t="s">
        <v>163</v>
      </c>
      <c r="C108" s="194">
        <v>2122648</v>
      </c>
      <c r="D108" s="239"/>
    </row>
    <row r="109" spans="1:5">
      <c r="A109" s="237" t="s">
        <v>142</v>
      </c>
      <c r="B109" s="255" t="s">
        <v>164</v>
      </c>
      <c r="C109" s="194">
        <v>14429786</v>
      </c>
      <c r="D109" s="239"/>
    </row>
    <row r="110" spans="1:5">
      <c r="A110" s="237" t="s">
        <v>143</v>
      </c>
      <c r="B110" s="255" t="s">
        <v>143</v>
      </c>
      <c r="C110" s="194">
        <v>2985133</v>
      </c>
      <c r="D110" s="239"/>
    </row>
    <row r="111" spans="1:5">
      <c r="A111" s="237" t="s">
        <v>51</v>
      </c>
      <c r="B111" s="255" t="s">
        <v>165</v>
      </c>
      <c r="C111" s="194">
        <v>38993432</v>
      </c>
      <c r="D111" s="255"/>
    </row>
    <row r="112" spans="1:5">
      <c r="A112" s="237" t="s">
        <v>51</v>
      </c>
      <c r="B112" s="255" t="s">
        <v>166</v>
      </c>
      <c r="C112" s="194">
        <v>21559373</v>
      </c>
      <c r="D112" s="239"/>
    </row>
    <row r="113" spans="1:4">
      <c r="A113" s="237" t="s">
        <v>51</v>
      </c>
      <c r="B113" s="255" t="s">
        <v>167</v>
      </c>
      <c r="C113" s="194">
        <v>5186211</v>
      </c>
      <c r="D113" s="239"/>
    </row>
    <row r="114" spans="1:4">
      <c r="A114" s="237" t="s">
        <v>51</v>
      </c>
      <c r="B114" s="255" t="s">
        <v>168</v>
      </c>
      <c r="C114" s="249">
        <v>3976707</v>
      </c>
      <c r="D114" s="239"/>
    </row>
    <row r="115" spans="1:4">
      <c r="A115" s="237" t="s">
        <v>51</v>
      </c>
      <c r="B115" s="255" t="s">
        <v>207</v>
      </c>
      <c r="C115" s="194">
        <v>2866184</v>
      </c>
    </row>
    <row r="116" spans="1:4">
      <c r="B116" s="255"/>
    </row>
    <row r="117" spans="1:4">
      <c r="B117" s="255"/>
    </row>
    <row r="123" spans="1:4">
      <c r="B123"/>
      <c r="C123" s="375"/>
    </row>
    <row r="124" spans="1:4">
      <c r="B124"/>
      <c r="C124"/>
    </row>
    <row r="125" spans="1:4">
      <c r="B125"/>
      <c r="C125"/>
    </row>
    <row r="126" spans="1:4">
      <c r="B126"/>
      <c r="C126"/>
    </row>
    <row r="127" spans="1:4">
      <c r="B127"/>
      <c r="C127"/>
    </row>
    <row r="128" spans="1:4">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sheetData>
  <sortState xmlns:xlrd2="http://schemas.microsoft.com/office/spreadsheetml/2017/richdata2" ref="B33:Q52">
    <sortCondition ref="B33:B52"/>
  </sortState>
  <mergeCells count="5">
    <mergeCell ref="A71:B71"/>
    <mergeCell ref="A13:B13"/>
    <mergeCell ref="A31:B31"/>
    <mergeCell ref="A53:B53"/>
    <mergeCell ref="A66:B66"/>
  </mergeCells>
  <pageMargins left="0.25" right="0.25" top="0.75" bottom="0.75" header="0.3" footer="0.3"/>
  <pageSetup scale="36"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3"/>
  <sheetViews>
    <sheetView topLeftCell="A37" workbookViewId="0">
      <selection activeCell="A45" sqref="A45:A50"/>
    </sheetView>
  </sheetViews>
  <sheetFormatPr defaultRowHeight="12.6"/>
  <cols>
    <col min="1" max="1" width="58" customWidth="1"/>
    <col min="2" max="12" width="15.5546875" customWidth="1"/>
  </cols>
  <sheetData>
    <row r="1" spans="1:12" ht="15">
      <c r="A1" s="207" t="str">
        <f>"Figure 10: Land Purchases Costs for Fish and Wildlife Habitat, FY"&amp;L3</f>
        <v>Figure 10: Land Purchases Costs for Fish and Wildlife Habitat, FY2021</v>
      </c>
    </row>
    <row r="3" spans="1:12" ht="13.8">
      <c r="A3" s="91" t="s">
        <v>52</v>
      </c>
      <c r="B3" s="92">
        <v>2011</v>
      </c>
      <c r="C3" s="92">
        <v>2012</v>
      </c>
      <c r="D3" s="92">
        <v>2013</v>
      </c>
      <c r="E3" s="92">
        <v>2014</v>
      </c>
      <c r="F3" s="92">
        <v>2015</v>
      </c>
      <c r="G3" s="92">
        <v>2016</v>
      </c>
      <c r="H3" s="92">
        <v>2017</v>
      </c>
      <c r="I3" s="92">
        <v>2018</v>
      </c>
      <c r="J3" s="92">
        <v>2019</v>
      </c>
      <c r="K3" s="92">
        <v>2020</v>
      </c>
      <c r="L3" s="92">
        <v>2021</v>
      </c>
    </row>
    <row r="4" spans="1:12" ht="16.5" customHeight="1">
      <c r="A4" s="93" t="s">
        <v>53</v>
      </c>
      <c r="B4" s="84"/>
      <c r="C4" s="84">
        <v>5306043</v>
      </c>
      <c r="D4" s="84">
        <v>1711234.64</v>
      </c>
      <c r="E4" s="84">
        <v>693095.5</v>
      </c>
      <c r="F4" s="84">
        <v>144278.15999999992</v>
      </c>
      <c r="G4" s="84">
        <v>40307.800000000003</v>
      </c>
      <c r="H4" s="84">
        <v>99543</v>
      </c>
      <c r="I4" s="84">
        <v>170178</v>
      </c>
      <c r="J4" s="84">
        <v>492294</v>
      </c>
      <c r="K4" s="84">
        <v>204337</v>
      </c>
      <c r="L4" s="366">
        <v>84663.38</v>
      </c>
    </row>
    <row r="5" spans="1:12" ht="13.8">
      <c r="A5" s="93" t="s">
        <v>54</v>
      </c>
      <c r="B5" s="84">
        <v>720811</v>
      </c>
      <c r="C5" s="84">
        <v>1743906.48</v>
      </c>
      <c r="D5" s="84">
        <v>1611629.5</v>
      </c>
      <c r="E5" s="84">
        <v>283048.12</v>
      </c>
      <c r="F5" s="84"/>
      <c r="G5" s="84"/>
      <c r="H5" s="84"/>
      <c r="I5" s="84"/>
      <c r="J5" s="84"/>
      <c r="K5" s="84"/>
      <c r="L5" s="84">
        <v>212725</v>
      </c>
    </row>
    <row r="6" spans="1:12" ht="13.8">
      <c r="A6" s="93" t="s">
        <v>199</v>
      </c>
      <c r="B6" s="84"/>
      <c r="C6" s="84"/>
      <c r="D6" s="84"/>
      <c r="E6" s="84"/>
      <c r="F6" s="84"/>
      <c r="G6" s="84"/>
      <c r="H6" s="84"/>
      <c r="I6" s="84"/>
      <c r="J6" s="84">
        <v>1387</v>
      </c>
      <c r="K6" s="84"/>
      <c r="L6" s="84">
        <v>227790</v>
      </c>
    </row>
    <row r="7" spans="1:12" ht="13.8">
      <c r="A7" s="93" t="s">
        <v>55</v>
      </c>
      <c r="B7" s="84">
        <v>1750665</v>
      </c>
      <c r="C7" s="84">
        <v>5384783</v>
      </c>
      <c r="D7" s="84"/>
      <c r="E7" s="84">
        <v>14000000</v>
      </c>
      <c r="F7" s="84"/>
      <c r="G7" s="84">
        <v>1877580.5</v>
      </c>
      <c r="H7" s="84"/>
      <c r="I7" s="84">
        <v>7369712</v>
      </c>
      <c r="J7" s="84">
        <v>1580664</v>
      </c>
      <c r="K7" s="84">
        <v>3892087</v>
      </c>
      <c r="L7" s="84">
        <v>8533771.6500000004</v>
      </c>
    </row>
    <row r="8" spans="1:12" ht="13.8">
      <c r="A8" s="93" t="s">
        <v>56</v>
      </c>
      <c r="B8" s="84"/>
      <c r="C8" s="84"/>
      <c r="D8" s="84"/>
      <c r="E8" s="84"/>
      <c r="F8" s="84">
        <v>7980000</v>
      </c>
      <c r="G8" s="84">
        <v>680000</v>
      </c>
      <c r="H8" s="84">
        <v>2438220</v>
      </c>
      <c r="I8" s="84"/>
      <c r="J8" s="84"/>
      <c r="K8" s="84"/>
      <c r="L8" s="84"/>
    </row>
    <row r="9" spans="1:12" ht="13.8">
      <c r="A9" s="93" t="s">
        <v>241</v>
      </c>
      <c r="B9" s="84"/>
      <c r="C9" s="84">
        <v>928718</v>
      </c>
      <c r="D9" s="84">
        <v>348570</v>
      </c>
      <c r="E9" s="84"/>
      <c r="F9" s="84"/>
      <c r="G9" s="84">
        <v>85217</v>
      </c>
      <c r="H9" s="84">
        <v>72676</v>
      </c>
      <c r="I9" s="84">
        <v>203432</v>
      </c>
      <c r="J9" s="84">
        <v>166061</v>
      </c>
      <c r="K9" s="84">
        <v>184205</v>
      </c>
      <c r="L9" s="84">
        <v>669.5</v>
      </c>
    </row>
    <row r="10" spans="1:12" ht="13.8">
      <c r="A10" s="93" t="s">
        <v>242</v>
      </c>
      <c r="B10" s="84"/>
      <c r="C10" s="84">
        <v>420929</v>
      </c>
      <c r="D10" s="84"/>
      <c r="E10" s="84"/>
      <c r="F10" s="84"/>
      <c r="G10" s="84"/>
      <c r="H10" s="84"/>
      <c r="I10" s="84"/>
      <c r="J10" s="84"/>
      <c r="K10" s="84"/>
      <c r="L10" s="84"/>
    </row>
    <row r="11" spans="1:12" ht="13.8">
      <c r="A11" s="93" t="s">
        <v>386</v>
      </c>
      <c r="B11" s="84"/>
      <c r="C11" s="84">
        <v>946738.51</v>
      </c>
      <c r="D11" s="84"/>
      <c r="E11" s="84"/>
      <c r="F11" s="84"/>
      <c r="G11" s="84"/>
      <c r="H11" s="84">
        <v>500</v>
      </c>
      <c r="I11" s="84">
        <v>500</v>
      </c>
      <c r="J11" s="84"/>
      <c r="K11" s="84">
        <v>627892</v>
      </c>
      <c r="L11" s="84"/>
    </row>
    <row r="12" spans="1:12" ht="13.8">
      <c r="A12" s="93" t="s">
        <v>169</v>
      </c>
      <c r="B12" s="84">
        <v>9750112</v>
      </c>
      <c r="C12" s="84">
        <v>1349403</v>
      </c>
      <c r="D12" s="84">
        <v>642763</v>
      </c>
      <c r="E12" s="84">
        <v>1610425</v>
      </c>
      <c r="F12" s="84">
        <v>154274</v>
      </c>
      <c r="G12" s="84"/>
      <c r="H12" s="84"/>
      <c r="I12" s="84">
        <v>10733065</v>
      </c>
      <c r="J12" s="84"/>
      <c r="K12" s="84"/>
      <c r="L12" s="84"/>
    </row>
    <row r="13" spans="1:12" ht="13.8">
      <c r="A13" s="93" t="s">
        <v>57</v>
      </c>
      <c r="B13" s="84">
        <v>20851010</v>
      </c>
      <c r="C13" s="84"/>
      <c r="D13" s="84">
        <v>3412000</v>
      </c>
      <c r="E13" s="84"/>
      <c r="F13" s="84"/>
      <c r="G13" s="84"/>
      <c r="H13" s="84"/>
      <c r="I13" s="84"/>
      <c r="J13" s="84"/>
      <c r="K13" s="84"/>
      <c r="L13" s="84"/>
    </row>
    <row r="14" spans="1:12" ht="13.8">
      <c r="A14" s="93" t="s">
        <v>58</v>
      </c>
      <c r="B14" s="84">
        <v>5788</v>
      </c>
      <c r="C14" s="84">
        <v>820.08</v>
      </c>
      <c r="D14" s="84">
        <v>5000</v>
      </c>
      <c r="E14" s="84">
        <v>5000</v>
      </c>
      <c r="F14" s="84">
        <v>5729</v>
      </c>
      <c r="G14" s="84">
        <v>5899.13</v>
      </c>
      <c r="H14" s="84">
        <v>5980</v>
      </c>
      <c r="I14" s="84">
        <v>5980</v>
      </c>
      <c r="J14" s="84">
        <v>5000</v>
      </c>
      <c r="K14" s="84">
        <v>9037</v>
      </c>
      <c r="L14" s="84">
        <v>5000</v>
      </c>
    </row>
    <row r="15" spans="1:12" ht="13.8">
      <c r="A15" s="93" t="s">
        <v>170</v>
      </c>
      <c r="B15" s="84">
        <v>9716071</v>
      </c>
      <c r="C15" s="84">
        <v>1954790.5</v>
      </c>
      <c r="D15" s="84">
        <v>12908339</v>
      </c>
      <c r="E15" s="84">
        <v>1316455</v>
      </c>
      <c r="F15" s="84">
        <v>12003446.75</v>
      </c>
      <c r="G15" s="84">
        <v>10868814</v>
      </c>
      <c r="H15" s="84">
        <v>5038680</v>
      </c>
      <c r="I15" s="84">
        <v>6978254</v>
      </c>
      <c r="J15" s="84">
        <v>9629687</v>
      </c>
      <c r="K15" s="84">
        <v>5592447</v>
      </c>
      <c r="L15" s="84">
        <v>2173554</v>
      </c>
    </row>
    <row r="16" spans="1:12" ht="13.8">
      <c r="A16" s="93" t="s">
        <v>59</v>
      </c>
      <c r="B16" s="84"/>
      <c r="C16" s="84"/>
      <c r="D16" s="84">
        <v>600000</v>
      </c>
      <c r="E16" s="84"/>
      <c r="F16" s="84"/>
      <c r="G16" s="84"/>
      <c r="H16" s="84"/>
      <c r="I16" s="84"/>
      <c r="J16" s="84"/>
      <c r="K16" s="84"/>
      <c r="L16" s="84"/>
    </row>
    <row r="17" spans="1:16" ht="13.8">
      <c r="A17" s="93" t="s">
        <v>60</v>
      </c>
      <c r="B17" s="84">
        <v>4068146</v>
      </c>
      <c r="C17" s="84">
        <v>6370225.5</v>
      </c>
      <c r="D17" s="84">
        <v>1596594</v>
      </c>
      <c r="E17" s="84">
        <v>2196196.7799999998</v>
      </c>
      <c r="F17" s="84">
        <v>490964.5</v>
      </c>
      <c r="G17" s="84">
        <v>1815933.75</v>
      </c>
      <c r="H17" s="84">
        <v>476466</v>
      </c>
      <c r="I17" s="84">
        <v>524163</v>
      </c>
      <c r="J17" s="84">
        <v>440084</v>
      </c>
      <c r="K17" s="84">
        <v>1698152</v>
      </c>
      <c r="L17" s="84">
        <v>10320000</v>
      </c>
    </row>
    <row r="18" spans="1:16" ht="13.8">
      <c r="A18" s="93" t="s">
        <v>61</v>
      </c>
      <c r="B18" s="84">
        <v>1996948</v>
      </c>
      <c r="C18" s="84">
        <v>3666163</v>
      </c>
      <c r="D18" s="84"/>
      <c r="E18" s="84"/>
      <c r="F18" s="84"/>
      <c r="G18" s="84">
        <v>786320</v>
      </c>
      <c r="H18" s="84"/>
      <c r="I18" s="84"/>
      <c r="J18" s="84"/>
      <c r="K18" s="84"/>
      <c r="L18" s="84"/>
    </row>
    <row r="19" spans="1:16" ht="13.8">
      <c r="A19" s="93" t="s">
        <v>62</v>
      </c>
      <c r="B19" s="84"/>
      <c r="C19" s="84">
        <v>3156008</v>
      </c>
      <c r="D19" s="84"/>
      <c r="E19" s="84"/>
      <c r="F19" s="84"/>
      <c r="G19" s="84"/>
      <c r="H19" s="84"/>
      <c r="I19" s="84"/>
      <c r="J19" s="84"/>
      <c r="K19" s="84"/>
      <c r="L19" s="84"/>
    </row>
    <row r="20" spans="1:16" ht="13.8">
      <c r="A20" s="93" t="s">
        <v>63</v>
      </c>
      <c r="B20" s="84"/>
      <c r="C20" s="84">
        <v>15381.84</v>
      </c>
      <c r="D20" s="84"/>
      <c r="E20" s="84"/>
      <c r="F20" s="84">
        <v>1333393</v>
      </c>
      <c r="G20" s="84">
        <v>1783866</v>
      </c>
      <c r="H20" s="84"/>
      <c r="I20" s="84">
        <v>491757</v>
      </c>
      <c r="J20" s="84">
        <v>280574</v>
      </c>
      <c r="K20" s="84"/>
      <c r="L20" s="84"/>
    </row>
    <row r="21" spans="1:16" s="367" customFormat="1" ht="13.8">
      <c r="A21" s="93" t="s">
        <v>171</v>
      </c>
      <c r="B21" s="84"/>
      <c r="C21" s="84">
        <v>2365285.0499999998</v>
      </c>
      <c r="D21" s="84">
        <v>572468.53</v>
      </c>
      <c r="E21" s="84"/>
      <c r="F21" s="84"/>
      <c r="G21" s="84"/>
      <c r="H21" s="84"/>
      <c r="I21" s="84"/>
      <c r="J21" s="84">
        <v>171567</v>
      </c>
      <c r="K21" s="84"/>
      <c r="L21" s="84"/>
    </row>
    <row r="22" spans="1:16" s="367" customFormat="1" ht="13.8">
      <c r="A22" s="93" t="s">
        <v>64</v>
      </c>
      <c r="B22" s="84">
        <v>3344161</v>
      </c>
      <c r="C22" s="84">
        <v>4437146.2</v>
      </c>
      <c r="D22" s="84">
        <v>333123.40000000002</v>
      </c>
      <c r="E22" s="84"/>
      <c r="F22" s="84"/>
      <c r="G22" s="84">
        <v>260540</v>
      </c>
      <c r="H22" s="84">
        <v>866530</v>
      </c>
      <c r="I22" s="84">
        <v>225545</v>
      </c>
      <c r="J22" s="84">
        <v>1200</v>
      </c>
      <c r="K22" s="84">
        <v>638445</v>
      </c>
      <c r="L22" s="84">
        <v>1200</v>
      </c>
    </row>
    <row r="23" spans="1:16" ht="13.8">
      <c r="A23" s="208" t="s">
        <v>85</v>
      </c>
      <c r="B23" s="365">
        <f t="shared" ref="B23:K23" si="0">SUM(B4:B22)</f>
        <v>52203712</v>
      </c>
      <c r="C23" s="365">
        <f t="shared" si="0"/>
        <v>38046341.160000004</v>
      </c>
      <c r="D23" s="365">
        <f t="shared" si="0"/>
        <v>23741722.07</v>
      </c>
      <c r="E23" s="365">
        <f t="shared" si="0"/>
        <v>20104220.399999999</v>
      </c>
      <c r="F23" s="365">
        <f t="shared" si="0"/>
        <v>22112085.41</v>
      </c>
      <c r="G23" s="365">
        <f t="shared" si="0"/>
        <v>18204478.18</v>
      </c>
      <c r="H23" s="365">
        <f t="shared" si="0"/>
        <v>8998595</v>
      </c>
      <c r="I23" s="365">
        <f t="shared" si="0"/>
        <v>26702586</v>
      </c>
      <c r="J23" s="365">
        <f t="shared" si="0"/>
        <v>12768518</v>
      </c>
      <c r="K23" s="365">
        <f t="shared" si="0"/>
        <v>12846602</v>
      </c>
      <c r="L23" s="365">
        <f>SUM(L4:L22)</f>
        <v>21559373.530000001</v>
      </c>
    </row>
    <row r="24" spans="1:16" ht="14.25" customHeight="1"/>
    <row r="25" spans="1:16" ht="13.8">
      <c r="A25" s="94" t="s">
        <v>173</v>
      </c>
    </row>
    <row r="26" spans="1:16" ht="13.8">
      <c r="A26" s="144" t="s">
        <v>172</v>
      </c>
      <c r="B26" s="144"/>
      <c r="C26" s="144"/>
      <c r="D26" s="144"/>
      <c r="E26" s="144"/>
      <c r="F26" s="144"/>
      <c r="G26" s="144"/>
      <c r="H26" s="144"/>
      <c r="I26" s="144"/>
      <c r="J26" s="144"/>
      <c r="K26" s="144"/>
      <c r="L26" s="144"/>
    </row>
    <row r="27" spans="1:16" ht="13.8">
      <c r="A27" s="144" t="s">
        <v>437</v>
      </c>
      <c r="B27" s="144"/>
      <c r="C27" s="144"/>
      <c r="D27" s="144"/>
      <c r="E27" s="144"/>
      <c r="F27" s="144"/>
      <c r="G27" s="144"/>
      <c r="H27" s="144"/>
      <c r="I27" s="144"/>
      <c r="J27" s="144"/>
      <c r="K27" s="144"/>
      <c r="L27" s="144"/>
      <c r="M27" s="144"/>
      <c r="N27" s="144"/>
      <c r="O27" s="144"/>
    </row>
    <row r="28" spans="1:16" ht="13.8">
      <c r="A28" s="144" t="s">
        <v>420</v>
      </c>
      <c r="B28" s="144"/>
      <c r="C28" s="144"/>
      <c r="D28" s="144"/>
      <c r="E28" s="144"/>
      <c r="F28" s="144"/>
      <c r="G28" s="144"/>
      <c r="H28" s="144"/>
      <c r="I28" s="144"/>
      <c r="J28" s="144"/>
      <c r="K28" s="144"/>
      <c r="L28" s="144"/>
      <c r="M28" s="144"/>
      <c r="N28" s="144"/>
      <c r="O28" s="144"/>
      <c r="P28" s="162"/>
    </row>
    <row r="29" spans="1:16" ht="13.8">
      <c r="A29" s="144" t="s">
        <v>438</v>
      </c>
      <c r="B29" s="144"/>
      <c r="C29" s="144"/>
      <c r="D29" s="144"/>
      <c r="E29" s="144"/>
      <c r="F29" s="144"/>
      <c r="G29" s="144"/>
      <c r="H29" s="144"/>
      <c r="I29" s="144"/>
      <c r="J29" s="144"/>
      <c r="K29" s="144"/>
      <c r="L29" s="144"/>
      <c r="M29" s="144"/>
      <c r="N29" s="144"/>
      <c r="O29" s="144"/>
      <c r="P29" s="162"/>
    </row>
    <row r="30" spans="1:16" ht="13.95" customHeight="1">
      <c r="M30" s="236"/>
      <c r="N30" s="236"/>
      <c r="O30" s="143"/>
    </row>
    <row r="32" spans="1:16" ht="13.8">
      <c r="A32" s="94" t="s">
        <v>392</v>
      </c>
    </row>
    <row r="33" spans="1:2" ht="13.8">
      <c r="A33" s="93" t="s">
        <v>60</v>
      </c>
      <c r="B33" s="84">
        <v>10320000</v>
      </c>
    </row>
    <row r="34" spans="1:2" ht="13.8">
      <c r="A34" s="93" t="s">
        <v>55</v>
      </c>
      <c r="B34" s="84">
        <v>8533771.6500000004</v>
      </c>
    </row>
    <row r="35" spans="1:2" ht="13.8">
      <c r="A35" s="93" t="s">
        <v>170</v>
      </c>
      <c r="B35" s="84">
        <v>2173554</v>
      </c>
    </row>
    <row r="36" spans="1:2" ht="13.8">
      <c r="A36" s="93" t="s">
        <v>199</v>
      </c>
      <c r="B36" s="84">
        <v>227790</v>
      </c>
    </row>
    <row r="37" spans="1:2" ht="13.8">
      <c r="A37" s="93" t="s">
        <v>54</v>
      </c>
      <c r="B37" s="84">
        <v>212725</v>
      </c>
    </row>
    <row r="38" spans="1:2" ht="13.8">
      <c r="A38" s="93" t="s">
        <v>53</v>
      </c>
      <c r="B38" s="84">
        <v>84663.38</v>
      </c>
    </row>
    <row r="39" spans="1:2" ht="13.8">
      <c r="A39" s="93"/>
      <c r="B39" s="84"/>
    </row>
    <row r="40" spans="1:2" ht="13.8">
      <c r="A40" s="93"/>
      <c r="B40" s="84"/>
    </row>
    <row r="41" spans="1:2" ht="13.8">
      <c r="A41" s="93"/>
      <c r="B41" s="84"/>
    </row>
    <row r="42" spans="1:2" ht="13.8">
      <c r="A42" s="208" t="s">
        <v>74</v>
      </c>
      <c r="B42" s="84"/>
    </row>
    <row r="43" spans="1:2" ht="13.8">
      <c r="A43" s="93" t="str">
        <f>"Total: $" &amp; TEXT(L23,"#0.0,,") &amp; " million"</f>
        <v>Total: $21.6 million</v>
      </c>
      <c r="B43" s="84"/>
    </row>
    <row r="44" spans="1:2" ht="13.8">
      <c r="B44" s="84"/>
    </row>
    <row r="45" spans="1:2" ht="13.8">
      <c r="A45" s="364"/>
      <c r="B45" s="84"/>
    </row>
    <row r="46" spans="1:2" ht="13.8">
      <c r="A46" s="93"/>
      <c r="B46" s="84"/>
    </row>
    <row r="47" spans="1:2" ht="13.8">
      <c r="A47" s="93"/>
      <c r="B47" s="84"/>
    </row>
    <row r="48" spans="1:2" ht="13.8">
      <c r="A48" s="93"/>
      <c r="B48" s="84"/>
    </row>
    <row r="49" spans="1:2" ht="13.8">
      <c r="A49" s="93"/>
      <c r="B49" s="84"/>
    </row>
    <row r="50" spans="1:2" ht="13.8">
      <c r="A50" s="368"/>
      <c r="B50" s="84"/>
    </row>
    <row r="51" spans="1:2" ht="13.8">
      <c r="B51" s="84"/>
    </row>
    <row r="52" spans="1:2" ht="13.8">
      <c r="B52" s="84"/>
    </row>
    <row r="53" spans="1:2" ht="13.8">
      <c r="A53" s="93"/>
    </row>
    <row r="54" spans="1:2" ht="13.8">
      <c r="A54" s="93"/>
    </row>
    <row r="55" spans="1:2" ht="13.8">
      <c r="A55" s="93"/>
    </row>
    <row r="56" spans="1:2" ht="13.8">
      <c r="A56" s="93"/>
    </row>
    <row r="57" spans="1:2" ht="13.8">
      <c r="A57" s="93"/>
    </row>
    <row r="58" spans="1:2" ht="13.8">
      <c r="A58" s="93"/>
    </row>
    <row r="59" spans="1:2" ht="13.8">
      <c r="A59" s="93"/>
    </row>
    <row r="60" spans="1:2" ht="13.8">
      <c r="A60" s="93"/>
    </row>
    <row r="61" spans="1:2" ht="13.8">
      <c r="A61" s="93"/>
    </row>
    <row r="62" spans="1:2" ht="13.8">
      <c r="A62" s="93"/>
    </row>
    <row r="63" spans="1:2" ht="13.8">
      <c r="A63" s="93"/>
    </row>
  </sheetData>
  <sortState xmlns:xlrd2="http://schemas.microsoft.com/office/spreadsheetml/2017/richdata2" ref="A4:L22">
    <sortCondition ref="A4:A22"/>
  </sortState>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54"/>
  <sheetViews>
    <sheetView workbookViewId="0">
      <selection activeCell="A17" sqref="A17"/>
    </sheetView>
  </sheetViews>
  <sheetFormatPr defaultColWidth="9.109375" defaultRowHeight="13.2"/>
  <cols>
    <col min="1" max="1" width="33.33203125" style="40" customWidth="1"/>
    <col min="2" max="2" width="9.33203125" style="40" customWidth="1"/>
    <col min="3" max="3" width="10.109375" style="40" customWidth="1"/>
    <col min="4" max="29" width="9.33203125" style="40" customWidth="1"/>
    <col min="30" max="30" width="10.33203125" style="40" customWidth="1"/>
    <col min="31" max="31" width="11.5546875" style="40" customWidth="1"/>
    <col min="32" max="36" width="10.33203125" style="40" bestFit="1" customWidth="1"/>
    <col min="37" max="37" width="10.33203125" style="40" customWidth="1"/>
    <col min="38" max="38" width="9.109375" style="40"/>
    <col min="39" max="40" width="9.44140625" style="40" bestFit="1" customWidth="1"/>
    <col min="41" max="16384" width="9.109375" style="40"/>
  </cols>
  <sheetData>
    <row r="1" spans="1:42">
      <c r="A1" s="195" t="s">
        <v>323</v>
      </c>
      <c r="B1" s="196"/>
      <c r="C1" s="196"/>
      <c r="D1" s="196"/>
    </row>
    <row r="3" spans="1:42" s="103" customFormat="1" ht="15">
      <c r="A3" s="20" t="s">
        <v>439</v>
      </c>
    </row>
    <row r="4" spans="1:42" s="103" customFormat="1"/>
    <row r="5" spans="1:42" s="103" customFormat="1">
      <c r="B5" s="106" t="s">
        <v>70</v>
      </c>
      <c r="C5" s="106">
        <v>1981</v>
      </c>
      <c r="D5" s="106">
        <v>1982</v>
      </c>
      <c r="E5" s="106">
        <v>1983</v>
      </c>
      <c r="F5" s="106">
        <v>1984</v>
      </c>
      <c r="G5" s="106">
        <v>1985</v>
      </c>
      <c r="H5" s="106">
        <v>1986</v>
      </c>
      <c r="I5" s="106">
        <v>1987</v>
      </c>
      <c r="J5" s="106">
        <v>1988</v>
      </c>
      <c r="K5" s="106">
        <v>1989</v>
      </c>
      <c r="L5" s="106">
        <v>1990</v>
      </c>
      <c r="M5" s="106">
        <v>1991</v>
      </c>
      <c r="N5" s="106">
        <v>1992</v>
      </c>
      <c r="O5" s="106">
        <v>1993</v>
      </c>
      <c r="P5" s="106">
        <v>1994</v>
      </c>
      <c r="Q5" s="106">
        <v>1995</v>
      </c>
      <c r="R5" s="106">
        <v>1996</v>
      </c>
      <c r="S5" s="106">
        <v>1997</v>
      </c>
      <c r="T5" s="106">
        <v>1998</v>
      </c>
      <c r="U5" s="106">
        <v>1999</v>
      </c>
      <c r="V5" s="106">
        <v>2000</v>
      </c>
      <c r="W5" s="106">
        <v>2001</v>
      </c>
      <c r="X5" s="106">
        <v>2002</v>
      </c>
      <c r="Y5" s="106">
        <v>2003</v>
      </c>
      <c r="Z5" s="106">
        <v>2004</v>
      </c>
      <c r="AA5" s="106">
        <v>2005</v>
      </c>
      <c r="AB5" s="106">
        <v>2006</v>
      </c>
      <c r="AC5" s="106">
        <v>2007</v>
      </c>
      <c r="AD5" s="106">
        <v>2008</v>
      </c>
      <c r="AE5" s="106">
        <v>2009</v>
      </c>
      <c r="AF5" s="106">
        <v>2010</v>
      </c>
      <c r="AG5" s="106">
        <v>2011</v>
      </c>
      <c r="AH5" s="106">
        <v>2012</v>
      </c>
      <c r="AI5" s="106">
        <v>2013</v>
      </c>
      <c r="AJ5" s="106">
        <v>2014</v>
      </c>
      <c r="AK5" s="106">
        <v>2015</v>
      </c>
      <c r="AL5" s="106">
        <v>2016</v>
      </c>
      <c r="AM5" s="106">
        <v>2017</v>
      </c>
      <c r="AN5" s="105">
        <v>2018</v>
      </c>
      <c r="AO5" s="103" t="s">
        <v>247</v>
      </c>
    </row>
    <row r="6" spans="1:42" s="103" customFormat="1">
      <c r="A6" s="103" t="s">
        <v>69</v>
      </c>
      <c r="B6" s="104">
        <f>B18</f>
        <v>0</v>
      </c>
      <c r="C6" s="104">
        <f t="shared" ref="C6:AN6" si="0">B6+C18</f>
        <v>0</v>
      </c>
      <c r="D6" s="104">
        <f t="shared" si="0"/>
        <v>0</v>
      </c>
      <c r="E6" s="104">
        <f t="shared" si="0"/>
        <v>0</v>
      </c>
      <c r="F6" s="104">
        <f t="shared" si="0"/>
        <v>12</v>
      </c>
      <c r="G6" s="104">
        <f t="shared" si="0"/>
        <v>29</v>
      </c>
      <c r="H6" s="104">
        <f t="shared" si="0"/>
        <v>103</v>
      </c>
      <c r="I6" s="104">
        <f t="shared" si="0"/>
        <v>114</v>
      </c>
      <c r="J6" s="104">
        <f t="shared" si="0"/>
        <v>154</v>
      </c>
      <c r="K6" s="104">
        <f t="shared" si="0"/>
        <v>194</v>
      </c>
      <c r="L6" s="104">
        <f t="shared" si="0"/>
        <v>234</v>
      </c>
      <c r="M6" s="104">
        <f t="shared" si="0"/>
        <v>274</v>
      </c>
      <c r="N6" s="104">
        <f t="shared" si="0"/>
        <v>333</v>
      </c>
      <c r="O6" s="104">
        <f t="shared" si="0"/>
        <v>437</v>
      </c>
      <c r="P6" s="104">
        <f t="shared" si="0"/>
        <v>548.70000000000005</v>
      </c>
      <c r="Q6" s="104">
        <f t="shared" si="0"/>
        <v>612.20000000000005</v>
      </c>
      <c r="R6" s="104">
        <f t="shared" si="0"/>
        <v>612.20000000000005</v>
      </c>
      <c r="S6" s="104">
        <f t="shared" si="0"/>
        <v>612.20000000000005</v>
      </c>
      <c r="T6" s="104">
        <f t="shared" si="0"/>
        <v>617.6</v>
      </c>
      <c r="U6" s="104">
        <f t="shared" si="0"/>
        <v>665.2</v>
      </c>
      <c r="V6" s="104">
        <f t="shared" si="0"/>
        <v>730</v>
      </c>
      <c r="W6" s="104">
        <f t="shared" si="0"/>
        <v>2119.6</v>
      </c>
      <c r="X6" s="104">
        <f t="shared" si="0"/>
        <v>2267.4</v>
      </c>
      <c r="Y6" s="104">
        <f t="shared" si="0"/>
        <v>2438.5</v>
      </c>
      <c r="Z6" s="104">
        <f t="shared" si="0"/>
        <v>2629.5</v>
      </c>
      <c r="AA6" s="104">
        <f t="shared" si="0"/>
        <v>2740.3</v>
      </c>
      <c r="AB6" s="104">
        <f t="shared" si="0"/>
        <v>2908.4776403128003</v>
      </c>
      <c r="AC6" s="104">
        <f t="shared" si="0"/>
        <v>3029.1676403128004</v>
      </c>
      <c r="AD6" s="104">
        <f t="shared" si="0"/>
        <v>3304.1151715013721</v>
      </c>
      <c r="AE6" s="104">
        <f t="shared" si="0"/>
        <v>3544.4265926055655</v>
      </c>
      <c r="AF6" s="104">
        <f t="shared" si="0"/>
        <v>3854.4929987687915</v>
      </c>
      <c r="AG6" s="104">
        <f t="shared" si="0"/>
        <v>3925.1834749287914</v>
      </c>
      <c r="AH6" s="104">
        <f t="shared" si="0"/>
        <v>3963.6334749287912</v>
      </c>
      <c r="AI6" s="104">
        <f t="shared" si="0"/>
        <v>4049.4374749287913</v>
      </c>
      <c r="AJ6" s="104">
        <f t="shared" si="0"/>
        <v>4245.589253548791</v>
      </c>
      <c r="AK6" s="104">
        <f t="shared" si="0"/>
        <v>4313.070576635243</v>
      </c>
      <c r="AL6" s="104">
        <f t="shared" si="0"/>
        <v>4363.3616128404046</v>
      </c>
      <c r="AM6" s="104">
        <f t="shared" si="0"/>
        <v>4342.8256128404046</v>
      </c>
      <c r="AN6" s="104">
        <f t="shared" si="0"/>
        <v>4367.086273836534</v>
      </c>
    </row>
    <row r="7" spans="1:42" s="103" customFormat="1">
      <c r="A7" s="103" t="s">
        <v>68</v>
      </c>
      <c r="B7" s="104">
        <f t="shared" ref="B7:B10" si="1">B19</f>
        <v>0</v>
      </c>
      <c r="C7" s="104">
        <f t="shared" ref="C7:AN7" si="2">B7+C19</f>
        <v>3</v>
      </c>
      <c r="D7" s="104">
        <f t="shared" si="2"/>
        <v>17</v>
      </c>
      <c r="E7" s="104">
        <f t="shared" si="2"/>
        <v>18</v>
      </c>
      <c r="F7" s="104">
        <f t="shared" si="2"/>
        <v>26</v>
      </c>
      <c r="G7" s="104">
        <f t="shared" si="2"/>
        <v>53</v>
      </c>
      <c r="H7" s="104">
        <f t="shared" si="2"/>
        <v>72</v>
      </c>
      <c r="I7" s="104">
        <f t="shared" si="2"/>
        <v>81</v>
      </c>
      <c r="J7" s="104">
        <f t="shared" si="2"/>
        <v>91</v>
      </c>
      <c r="K7" s="104">
        <f t="shared" si="2"/>
        <v>106</v>
      </c>
      <c r="L7" s="104">
        <f t="shared" si="2"/>
        <v>121</v>
      </c>
      <c r="M7" s="104">
        <f t="shared" si="2"/>
        <v>136</v>
      </c>
      <c r="N7" s="104">
        <f t="shared" si="2"/>
        <v>159</v>
      </c>
      <c r="O7" s="104">
        <f t="shared" si="2"/>
        <v>204</v>
      </c>
      <c r="P7" s="104">
        <f t="shared" si="2"/>
        <v>266</v>
      </c>
      <c r="Q7" s="104">
        <f t="shared" si="2"/>
        <v>273.10000000000002</v>
      </c>
      <c r="R7" s="104">
        <f t="shared" si="2"/>
        <v>354.8</v>
      </c>
      <c r="S7" s="104">
        <f t="shared" si="2"/>
        <v>462.6</v>
      </c>
      <c r="T7" s="104">
        <f t="shared" si="2"/>
        <v>579.1</v>
      </c>
      <c r="U7" s="104">
        <f t="shared" si="2"/>
        <v>776.90000000000009</v>
      </c>
      <c r="V7" s="104">
        <f t="shared" si="2"/>
        <v>970.00000000000011</v>
      </c>
      <c r="W7" s="104">
        <f t="shared" si="2"/>
        <v>1085.9000000000001</v>
      </c>
      <c r="X7" s="104">
        <f t="shared" si="2"/>
        <v>1098.5</v>
      </c>
      <c r="Y7" s="104">
        <f t="shared" si="2"/>
        <v>1177.7</v>
      </c>
      <c r="Z7" s="104">
        <f t="shared" si="2"/>
        <v>1199.4000000000001</v>
      </c>
      <c r="AA7" s="104">
        <f t="shared" si="2"/>
        <v>1381.5</v>
      </c>
      <c r="AB7" s="104">
        <f t="shared" si="2"/>
        <v>1778.9380996800001</v>
      </c>
      <c r="AC7" s="104">
        <f t="shared" si="2"/>
        <v>2061.5630996800001</v>
      </c>
      <c r="AD7" s="104">
        <f t="shared" si="2"/>
        <v>2335.0825265371427</v>
      </c>
      <c r="AE7" s="104">
        <f t="shared" si="2"/>
        <v>2477.8965265371426</v>
      </c>
      <c r="AF7" s="104">
        <f t="shared" si="2"/>
        <v>2577.3274901139166</v>
      </c>
      <c r="AG7" s="104">
        <f t="shared" si="2"/>
        <v>2734.0094936139167</v>
      </c>
      <c r="AH7" s="104">
        <f t="shared" si="2"/>
        <v>2886.2094936139165</v>
      </c>
      <c r="AI7" s="104">
        <f t="shared" si="2"/>
        <v>3021.7174936139163</v>
      </c>
      <c r="AJ7" s="104">
        <f t="shared" si="2"/>
        <v>3144.4618380929487</v>
      </c>
      <c r="AK7" s="104">
        <f t="shared" si="2"/>
        <v>3340.2572852013359</v>
      </c>
      <c r="AL7" s="104">
        <f t="shared" si="2"/>
        <v>3416.8991706426264</v>
      </c>
      <c r="AM7" s="104">
        <f t="shared" si="2"/>
        <v>3426.4991706426263</v>
      </c>
      <c r="AN7" s="104">
        <f t="shared" si="2"/>
        <v>3429.3991706426264</v>
      </c>
    </row>
    <row r="8" spans="1:42" s="103" customFormat="1">
      <c r="A8" s="103" t="s">
        <v>67</v>
      </c>
      <c r="B8" s="104">
        <f t="shared" si="1"/>
        <v>15</v>
      </c>
      <c r="C8" s="104">
        <f t="shared" ref="C8:AN8" si="3">B8+C20</f>
        <v>21.1</v>
      </c>
      <c r="D8" s="104">
        <f t="shared" si="3"/>
        <v>32.6</v>
      </c>
      <c r="E8" s="104">
        <f t="shared" si="3"/>
        <v>46.8</v>
      </c>
      <c r="F8" s="104">
        <f t="shared" si="3"/>
        <v>62.8</v>
      </c>
      <c r="G8" s="104">
        <f t="shared" si="3"/>
        <v>82.699999999999989</v>
      </c>
      <c r="H8" s="104">
        <f t="shared" si="3"/>
        <v>106.39999999999999</v>
      </c>
      <c r="I8" s="104">
        <f t="shared" si="3"/>
        <v>136.1</v>
      </c>
      <c r="J8" s="104">
        <f t="shared" si="3"/>
        <v>155.1</v>
      </c>
      <c r="K8" s="104">
        <f t="shared" si="3"/>
        <v>178.7</v>
      </c>
      <c r="L8" s="104">
        <f t="shared" si="3"/>
        <v>202.1</v>
      </c>
      <c r="M8" s="104">
        <f t="shared" si="3"/>
        <v>226.4</v>
      </c>
      <c r="N8" s="104">
        <f t="shared" si="3"/>
        <v>254.8</v>
      </c>
      <c r="O8" s="104">
        <f t="shared" si="3"/>
        <v>285.3</v>
      </c>
      <c r="P8" s="104">
        <f t="shared" si="3"/>
        <v>320.2</v>
      </c>
      <c r="Q8" s="104">
        <f t="shared" si="3"/>
        <v>356.3</v>
      </c>
      <c r="R8" s="104">
        <f t="shared" si="3"/>
        <v>391.7</v>
      </c>
      <c r="S8" s="104">
        <f t="shared" si="3"/>
        <v>427.6</v>
      </c>
      <c r="T8" s="104">
        <f t="shared" si="3"/>
        <v>463.98</v>
      </c>
      <c r="U8" s="104">
        <f t="shared" si="3"/>
        <v>502.88</v>
      </c>
      <c r="V8" s="104">
        <f t="shared" si="3"/>
        <v>540.48</v>
      </c>
      <c r="W8" s="104">
        <f t="shared" si="3"/>
        <v>582.98</v>
      </c>
      <c r="X8" s="104">
        <f t="shared" si="3"/>
        <v>633.89</v>
      </c>
      <c r="Y8" s="104">
        <f t="shared" si="3"/>
        <v>686.44499999999994</v>
      </c>
      <c r="Z8" s="104">
        <f t="shared" si="3"/>
        <v>743.64499999999998</v>
      </c>
      <c r="AA8" s="104">
        <f t="shared" si="3"/>
        <v>801.56499999999994</v>
      </c>
      <c r="AB8" s="104">
        <f t="shared" si="3"/>
        <v>862.21499999999992</v>
      </c>
      <c r="AC8" s="104">
        <f t="shared" si="3"/>
        <v>922.4799999999999</v>
      </c>
      <c r="AD8" s="104">
        <f t="shared" si="3"/>
        <v>984.70249999999987</v>
      </c>
      <c r="AE8" s="104">
        <f t="shared" si="3"/>
        <v>1048.9724999999999</v>
      </c>
      <c r="AF8" s="104">
        <f t="shared" si="3"/>
        <v>1118.6734873599999</v>
      </c>
      <c r="AG8" s="104">
        <f t="shared" si="3"/>
        <v>1192.9385881399999</v>
      </c>
      <c r="AH8" s="104">
        <f t="shared" si="3"/>
        <v>1265.9485881399999</v>
      </c>
      <c r="AI8" s="104">
        <f t="shared" si="3"/>
        <v>1344.4485881399999</v>
      </c>
      <c r="AJ8" s="104">
        <f t="shared" si="3"/>
        <v>1434.7485881399998</v>
      </c>
      <c r="AK8" s="104">
        <f t="shared" si="3"/>
        <v>1519.6140736399998</v>
      </c>
      <c r="AL8" s="104">
        <f t="shared" si="3"/>
        <v>1607.7994219599998</v>
      </c>
      <c r="AM8" s="104">
        <f t="shared" si="3"/>
        <v>1693.0222221549998</v>
      </c>
      <c r="AN8" s="104">
        <f t="shared" si="3"/>
        <v>1782.8988112399998</v>
      </c>
    </row>
    <row r="9" spans="1:42" s="103" customFormat="1">
      <c r="A9" s="103" t="s">
        <v>66</v>
      </c>
      <c r="B9" s="104">
        <f t="shared" si="1"/>
        <v>2.2999999999999998</v>
      </c>
      <c r="C9" s="104">
        <f t="shared" ref="C9:AN9" si="4">B9+C21</f>
        <v>4.5999999999999996</v>
      </c>
      <c r="D9" s="104">
        <f t="shared" si="4"/>
        <v>9.1999999999999993</v>
      </c>
      <c r="E9" s="104">
        <f t="shared" si="4"/>
        <v>18.299999999999997</v>
      </c>
      <c r="F9" s="104">
        <f t="shared" si="4"/>
        <v>37.9</v>
      </c>
      <c r="G9" s="104">
        <f t="shared" si="4"/>
        <v>53.8</v>
      </c>
      <c r="H9" s="104">
        <f t="shared" si="4"/>
        <v>73.400000000000006</v>
      </c>
      <c r="I9" s="104">
        <f t="shared" si="4"/>
        <v>95.600000000000009</v>
      </c>
      <c r="J9" s="104">
        <f t="shared" si="4"/>
        <v>114.4</v>
      </c>
      <c r="K9" s="104">
        <f t="shared" si="4"/>
        <v>137.4</v>
      </c>
      <c r="L9" s="104">
        <f t="shared" si="4"/>
        <v>170.2</v>
      </c>
      <c r="M9" s="104">
        <f t="shared" si="4"/>
        <v>203.2</v>
      </c>
      <c r="N9" s="104">
        <f t="shared" si="4"/>
        <v>270.2</v>
      </c>
      <c r="O9" s="104">
        <f t="shared" si="4"/>
        <v>319.8</v>
      </c>
      <c r="P9" s="104">
        <f t="shared" si="4"/>
        <v>375.7</v>
      </c>
      <c r="Q9" s="104">
        <f t="shared" si="4"/>
        <v>447.1</v>
      </c>
      <c r="R9" s="104">
        <f t="shared" si="4"/>
        <v>515.6</v>
      </c>
      <c r="S9" s="104">
        <f t="shared" si="4"/>
        <v>597.80000000000007</v>
      </c>
      <c r="T9" s="104">
        <f t="shared" si="4"/>
        <v>702.7</v>
      </c>
      <c r="U9" s="104">
        <f t="shared" si="4"/>
        <v>810.90000000000009</v>
      </c>
      <c r="V9" s="104">
        <f t="shared" si="4"/>
        <v>919.10000000000014</v>
      </c>
      <c r="W9" s="104">
        <f t="shared" si="4"/>
        <v>1020.2000000000002</v>
      </c>
      <c r="X9" s="104">
        <f t="shared" si="4"/>
        <v>1157.3000000000002</v>
      </c>
      <c r="Y9" s="104">
        <f t="shared" si="4"/>
        <v>1298.0000000000002</v>
      </c>
      <c r="Z9" s="104">
        <f t="shared" si="4"/>
        <v>1435.9000000000003</v>
      </c>
      <c r="AA9" s="104">
        <f t="shared" si="4"/>
        <v>1571.7000000000003</v>
      </c>
      <c r="AB9" s="104">
        <f t="shared" si="4"/>
        <v>1709.6000000000004</v>
      </c>
      <c r="AC9" s="104">
        <f t="shared" si="4"/>
        <v>1849.0820000000003</v>
      </c>
      <c r="AD9" s="104">
        <f t="shared" si="4"/>
        <v>1997.9794339400003</v>
      </c>
      <c r="AE9" s="104">
        <f t="shared" si="4"/>
        <v>2175.8388767700003</v>
      </c>
      <c r="AF9" s="104">
        <f t="shared" si="4"/>
        <v>2375.4210898000001</v>
      </c>
      <c r="AG9" s="104">
        <f t="shared" si="4"/>
        <v>2596.47471404</v>
      </c>
      <c r="AH9" s="104">
        <f t="shared" si="4"/>
        <v>2845.4047140399998</v>
      </c>
      <c r="AI9" s="104">
        <f t="shared" si="4"/>
        <v>3084.4047140399998</v>
      </c>
      <c r="AJ9" s="104">
        <f t="shared" si="4"/>
        <v>3316.2061960399997</v>
      </c>
      <c r="AK9" s="104">
        <f t="shared" si="4"/>
        <v>3574.3834078699997</v>
      </c>
      <c r="AL9" s="104">
        <f t="shared" si="4"/>
        <v>3832.5255977999996</v>
      </c>
      <c r="AM9" s="104">
        <f t="shared" si="4"/>
        <v>4087.2298052899996</v>
      </c>
      <c r="AN9" s="104">
        <f t="shared" si="4"/>
        <v>4345.9344566299997</v>
      </c>
    </row>
    <row r="10" spans="1:42" s="103" customFormat="1">
      <c r="A10" s="103" t="s">
        <v>65</v>
      </c>
      <c r="B10" s="104">
        <f t="shared" si="1"/>
        <v>24</v>
      </c>
      <c r="C10" s="104">
        <f t="shared" ref="C10:AN10" si="5">B10+C22</f>
        <v>32.799999999999997</v>
      </c>
      <c r="D10" s="104">
        <f t="shared" si="5"/>
        <v>45.199999999999996</v>
      </c>
      <c r="E10" s="104">
        <f t="shared" si="5"/>
        <v>61.099999999999994</v>
      </c>
      <c r="F10" s="104">
        <f t="shared" si="5"/>
        <v>77.699999999999989</v>
      </c>
      <c r="G10" s="104">
        <f t="shared" si="5"/>
        <v>97.399999999999991</v>
      </c>
      <c r="H10" s="104">
        <f t="shared" si="5"/>
        <v>119.5</v>
      </c>
      <c r="I10" s="104">
        <f t="shared" si="5"/>
        <v>148</v>
      </c>
      <c r="J10" s="104">
        <f t="shared" si="5"/>
        <v>179</v>
      </c>
      <c r="K10" s="104">
        <f t="shared" si="5"/>
        <v>210.9</v>
      </c>
      <c r="L10" s="104">
        <f t="shared" si="5"/>
        <v>245.2</v>
      </c>
      <c r="M10" s="104">
        <f t="shared" si="5"/>
        <v>283.39999999999998</v>
      </c>
      <c r="N10" s="104">
        <f t="shared" si="5"/>
        <v>325.29999999999995</v>
      </c>
      <c r="O10" s="104">
        <f t="shared" si="5"/>
        <v>378.9</v>
      </c>
      <c r="P10" s="104">
        <f t="shared" si="5"/>
        <v>440.2</v>
      </c>
      <c r="Q10" s="104">
        <f t="shared" si="5"/>
        <v>503.79999999999995</v>
      </c>
      <c r="R10" s="104">
        <f t="shared" si="5"/>
        <v>576.9</v>
      </c>
      <c r="S10" s="104">
        <f t="shared" si="5"/>
        <v>653.19999999999993</v>
      </c>
      <c r="T10" s="104">
        <f t="shared" si="5"/>
        <v>727.3</v>
      </c>
      <c r="U10" s="104">
        <f t="shared" si="5"/>
        <v>803.4</v>
      </c>
      <c r="V10" s="104">
        <f t="shared" si="5"/>
        <v>879.69999999999993</v>
      </c>
      <c r="W10" s="104">
        <f t="shared" si="5"/>
        <v>957.9</v>
      </c>
      <c r="X10" s="104">
        <f t="shared" si="5"/>
        <v>1036.0999999999999</v>
      </c>
      <c r="Y10" s="104">
        <f t="shared" si="5"/>
        <v>1116.5999999999999</v>
      </c>
      <c r="Z10" s="104">
        <f t="shared" si="5"/>
        <v>1202</v>
      </c>
      <c r="AA10" s="104">
        <f t="shared" si="5"/>
        <v>1291.7</v>
      </c>
      <c r="AB10" s="104">
        <f t="shared" si="5"/>
        <v>1379.2</v>
      </c>
      <c r="AC10" s="104">
        <f t="shared" si="5"/>
        <v>1492.1100000000001</v>
      </c>
      <c r="AD10" s="104">
        <f t="shared" si="5"/>
        <v>1608.3100000000002</v>
      </c>
      <c r="AE10" s="104">
        <f t="shared" si="5"/>
        <v>1728.3100000000002</v>
      </c>
      <c r="AF10" s="104">
        <f t="shared" si="5"/>
        <v>1851.8261102145098</v>
      </c>
      <c r="AG10" s="104">
        <f t="shared" si="5"/>
        <v>1978.9986920591759</v>
      </c>
      <c r="AH10" s="104">
        <f t="shared" si="5"/>
        <v>2110.4986920591759</v>
      </c>
      <c r="AI10" s="104">
        <f t="shared" si="5"/>
        <v>2253.898692059176</v>
      </c>
      <c r="AJ10" s="104">
        <f t="shared" si="5"/>
        <v>2395.1986920591762</v>
      </c>
      <c r="AK10" s="104">
        <f t="shared" si="5"/>
        <v>2545.7774713522472</v>
      </c>
      <c r="AL10" s="104">
        <f t="shared" si="5"/>
        <v>2693.99445848705</v>
      </c>
      <c r="AM10" s="104">
        <f t="shared" si="5"/>
        <v>2815.371941085838</v>
      </c>
      <c r="AN10" s="104">
        <f t="shared" si="5"/>
        <v>2920.4450397831351</v>
      </c>
    </row>
    <row r="11" spans="1:42" s="103" customFormat="1">
      <c r="A11" s="105" t="s">
        <v>200</v>
      </c>
      <c r="B11" s="104">
        <f>SUM(B6:B10)</f>
        <v>41.3</v>
      </c>
      <c r="C11" s="104">
        <v>76.599999999999994</v>
      </c>
      <c r="D11" s="104">
        <v>168.4</v>
      </c>
      <c r="E11" s="104">
        <v>247.8</v>
      </c>
      <c r="F11" s="104">
        <v>312.39999999999998</v>
      </c>
      <c r="G11" s="104">
        <v>448.8</v>
      </c>
      <c r="H11" s="104">
        <v>602.20000000000005</v>
      </c>
      <c r="I11" s="104">
        <v>757.4</v>
      </c>
      <c r="J11" s="104">
        <v>860.5</v>
      </c>
      <c r="K11" s="104">
        <v>975.7</v>
      </c>
      <c r="L11" s="104">
        <v>1107.5999999999999</v>
      </c>
      <c r="M11" s="104">
        <v>1241.5999999999999</v>
      </c>
      <c r="N11" s="104">
        <v>1431.1</v>
      </c>
      <c r="O11" s="104">
        <v>1763.3</v>
      </c>
      <c r="P11" s="104">
        <v>2087.6999999999998</v>
      </c>
      <c r="Q11" s="104">
        <v>2337.4</v>
      </c>
      <c r="R11" s="104">
        <v>2594.1</v>
      </c>
      <c r="S11" s="104">
        <v>2805.5</v>
      </c>
      <c r="T11" s="104">
        <v>3090.7</v>
      </c>
      <c r="U11" s="104">
        <v>3512</v>
      </c>
      <c r="V11" s="104">
        <v>3992</v>
      </c>
      <c r="W11" s="104">
        <v>5719.3</v>
      </c>
      <c r="X11" s="104">
        <v>6146.1</v>
      </c>
      <c r="Y11" s="104">
        <v>6670.2</v>
      </c>
      <c r="Z11" s="104">
        <v>7163.4</v>
      </c>
      <c r="AA11" s="104">
        <v>7738.7</v>
      </c>
      <c r="AB11" s="104">
        <v>8590.4</v>
      </c>
      <c r="AC11" s="104">
        <v>9306.4</v>
      </c>
      <c r="AD11" s="104">
        <v>10182.1</v>
      </c>
      <c r="AE11" s="104">
        <v>10927.4</v>
      </c>
      <c r="AF11" s="104">
        <v>11729.7</v>
      </c>
      <c r="AG11" s="104">
        <v>12435.3</v>
      </c>
      <c r="AH11" s="104">
        <f t="shared" ref="AH11:AN11" si="6">SUM(AH6:AH10)</f>
        <v>13071.694962781883</v>
      </c>
      <c r="AI11" s="104">
        <f t="shared" si="6"/>
        <v>13753.906962781883</v>
      </c>
      <c r="AJ11" s="104">
        <f t="shared" si="6"/>
        <v>14536.204567880915</v>
      </c>
      <c r="AK11" s="104">
        <f t="shared" si="6"/>
        <v>15293.102814698825</v>
      </c>
      <c r="AL11" s="104">
        <f t="shared" si="6"/>
        <v>15914.58026173008</v>
      </c>
      <c r="AM11" s="104">
        <f t="shared" si="6"/>
        <v>16364.948752013866</v>
      </c>
      <c r="AN11" s="104">
        <f t="shared" si="6"/>
        <v>16845.763752132294</v>
      </c>
      <c r="AP11" s="103">
        <v>16845.763752132294</v>
      </c>
    </row>
    <row r="12" spans="1:42" s="103" customFormat="1">
      <c r="A12" s="10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row>
    <row r="13" spans="1:42" s="103" customFormat="1">
      <c r="A13" s="103" t="s">
        <v>248</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1:42" s="103" customFormat="1">
      <c r="A14" s="172" t="s">
        <v>249</v>
      </c>
      <c r="B14" s="104">
        <f>B24</f>
        <v>30</v>
      </c>
      <c r="C14" s="104">
        <f>B14+C24</f>
        <v>47.9</v>
      </c>
      <c r="D14" s="104">
        <f t="shared" ref="D14:AN14" si="7">C14+D24</f>
        <v>109.6</v>
      </c>
      <c r="E14" s="104">
        <f t="shared" si="7"/>
        <v>164.7</v>
      </c>
      <c r="F14" s="104">
        <f t="shared" si="7"/>
        <v>173.7</v>
      </c>
      <c r="G14" s="104">
        <f t="shared" si="7"/>
        <v>230.29999999999998</v>
      </c>
      <c r="H14" s="104">
        <f t="shared" si="7"/>
        <v>247.39999999999998</v>
      </c>
      <c r="I14" s="104">
        <f t="shared" si="7"/>
        <v>330.7</v>
      </c>
      <c r="J14" s="104">
        <f t="shared" si="7"/>
        <v>346</v>
      </c>
      <c r="K14" s="104">
        <f t="shared" si="7"/>
        <v>359.6</v>
      </c>
      <c r="L14" s="104">
        <f t="shared" si="7"/>
        <v>380.3</v>
      </c>
      <c r="M14" s="104">
        <f t="shared" si="7"/>
        <v>402</v>
      </c>
      <c r="N14" s="104">
        <f t="shared" si="7"/>
        <v>414.1</v>
      </c>
      <c r="O14" s="104">
        <f t="shared" si="7"/>
        <v>517.20000000000005</v>
      </c>
      <c r="P14" s="104">
        <f t="shared" si="7"/>
        <v>577.1</v>
      </c>
      <c r="Q14" s="104">
        <f t="shared" si="7"/>
        <v>648.9</v>
      </c>
      <c r="R14" s="104">
        <f t="shared" si="7"/>
        <v>720</v>
      </c>
      <c r="S14" s="104">
        <f t="shared" si="7"/>
        <v>705.5</v>
      </c>
      <c r="T14" s="104">
        <f t="shared" si="7"/>
        <v>727.5</v>
      </c>
      <c r="U14" s="104">
        <f t="shared" si="7"/>
        <v>756.3</v>
      </c>
      <c r="V14" s="104">
        <f t="shared" si="7"/>
        <v>817.19999999999993</v>
      </c>
      <c r="W14" s="104">
        <f t="shared" si="7"/>
        <v>839.9</v>
      </c>
      <c r="X14" s="104">
        <f t="shared" si="7"/>
        <v>854.8</v>
      </c>
      <c r="Y14" s="104">
        <f t="shared" si="7"/>
        <v>934.8</v>
      </c>
      <c r="Z14" s="104">
        <f t="shared" si="7"/>
        <v>1019.1999999999999</v>
      </c>
      <c r="AA14" s="104">
        <f t="shared" si="7"/>
        <v>1085.1999999999998</v>
      </c>
      <c r="AB14" s="104">
        <f t="shared" si="7"/>
        <v>1481.4999999999998</v>
      </c>
      <c r="AC14" s="104">
        <f t="shared" si="7"/>
        <v>1578.1059999999998</v>
      </c>
      <c r="AD14" s="104">
        <f t="shared" si="7"/>
        <v>1642.2773130699998</v>
      </c>
      <c r="AE14" s="104">
        <f t="shared" si="7"/>
        <v>1805.9887742999997</v>
      </c>
      <c r="AF14" s="104">
        <f t="shared" si="7"/>
        <v>1903.6048668099997</v>
      </c>
      <c r="AG14" s="104">
        <f t="shared" si="7"/>
        <v>2097.5427319999999</v>
      </c>
      <c r="AH14" s="104">
        <f t="shared" si="7"/>
        <v>2269.8730289999999</v>
      </c>
      <c r="AI14" s="104">
        <f t="shared" si="7"/>
        <v>2425.5630289999999</v>
      </c>
      <c r="AJ14" s="104">
        <f t="shared" si="7"/>
        <v>2564.71637732</v>
      </c>
      <c r="AK14" s="104">
        <f t="shared" si="7"/>
        <v>2668.8422863199999</v>
      </c>
      <c r="AL14" s="104">
        <f t="shared" si="7"/>
        <v>2720.2148798200001</v>
      </c>
      <c r="AM14" s="104">
        <f t="shared" si="7"/>
        <v>2785.8487883600001</v>
      </c>
      <c r="AN14" s="104">
        <f t="shared" si="7"/>
        <v>2869.0654863600002</v>
      </c>
    </row>
    <row r="15" spans="1:42" s="103" customFormat="1">
      <c r="A15" s="103" t="s">
        <v>250</v>
      </c>
      <c r="B15" s="104">
        <f>B25</f>
        <v>0</v>
      </c>
      <c r="C15" s="104">
        <f>B15+C25</f>
        <v>0</v>
      </c>
      <c r="D15" s="104">
        <f t="shared" ref="D15:AN15" si="8">C15+D25</f>
        <v>0</v>
      </c>
      <c r="E15" s="104">
        <f t="shared" si="8"/>
        <v>0</v>
      </c>
      <c r="F15" s="104">
        <f t="shared" si="8"/>
        <v>0</v>
      </c>
      <c r="G15" s="104">
        <f t="shared" si="8"/>
        <v>0</v>
      </c>
      <c r="H15" s="104">
        <f t="shared" si="8"/>
        <v>0</v>
      </c>
      <c r="I15" s="104">
        <f t="shared" si="8"/>
        <v>0</v>
      </c>
      <c r="J15" s="104">
        <f t="shared" si="8"/>
        <v>0</v>
      </c>
      <c r="K15" s="104">
        <f t="shared" si="8"/>
        <v>0</v>
      </c>
      <c r="L15" s="104">
        <f t="shared" si="8"/>
        <v>0</v>
      </c>
      <c r="M15" s="104">
        <f t="shared" si="8"/>
        <v>0</v>
      </c>
      <c r="N15" s="104">
        <f t="shared" si="8"/>
        <v>0</v>
      </c>
      <c r="O15" s="104">
        <f t="shared" si="8"/>
        <v>0</v>
      </c>
      <c r="P15" s="104">
        <f t="shared" si="8"/>
        <v>0</v>
      </c>
      <c r="Q15" s="104">
        <f t="shared" si="8"/>
        <v>-45.2</v>
      </c>
      <c r="R15" s="104">
        <f t="shared" si="8"/>
        <v>-70.7</v>
      </c>
      <c r="S15" s="104">
        <f t="shared" si="8"/>
        <v>-100.4</v>
      </c>
      <c r="T15" s="104">
        <f t="shared" si="8"/>
        <v>-136.10000000000002</v>
      </c>
      <c r="U15" s="104">
        <f t="shared" si="8"/>
        <v>-182.10000000000002</v>
      </c>
      <c r="V15" s="104">
        <f t="shared" si="8"/>
        <v>-232.50000000000003</v>
      </c>
      <c r="W15" s="104">
        <f t="shared" si="8"/>
        <v>-815.6</v>
      </c>
      <c r="X15" s="104">
        <f t="shared" si="8"/>
        <v>-882</v>
      </c>
      <c r="Y15" s="104">
        <f t="shared" si="8"/>
        <v>-1034.3</v>
      </c>
      <c r="Z15" s="104">
        <f t="shared" si="8"/>
        <v>-1111.3</v>
      </c>
      <c r="AA15" s="104">
        <f t="shared" si="8"/>
        <v>-1169</v>
      </c>
      <c r="AB15" s="104">
        <f t="shared" si="8"/>
        <v>-1245.3528333016243</v>
      </c>
      <c r="AC15" s="104">
        <f t="shared" si="8"/>
        <v>-1311.4528333016242</v>
      </c>
      <c r="AD15" s="104">
        <f t="shared" si="8"/>
        <v>-1411.9625633399057</v>
      </c>
      <c r="AE15" s="104">
        <f t="shared" si="8"/>
        <v>-1511.461221851521</v>
      </c>
      <c r="AF15" s="104">
        <f t="shared" si="8"/>
        <v>-1634.3040526929101</v>
      </c>
      <c r="AG15" s="104">
        <f t="shared" si="8"/>
        <v>-1719.6532810194801</v>
      </c>
      <c r="AH15" s="104">
        <f t="shared" si="8"/>
        <v>-1796.6351772504802</v>
      </c>
      <c r="AI15" s="104">
        <f t="shared" si="8"/>
        <v>-1880.7293692504802</v>
      </c>
      <c r="AJ15" s="104">
        <f t="shared" si="8"/>
        <v>-1984.5819430441002</v>
      </c>
      <c r="AK15" s="104">
        <f t="shared" si="8"/>
        <v>-2062.300201343689</v>
      </c>
      <c r="AL15" s="104">
        <f t="shared" si="8"/>
        <v>-2134.9278487874799</v>
      </c>
      <c r="AM15" s="104">
        <f t="shared" si="8"/>
        <v>-2188.65618192584</v>
      </c>
      <c r="AN15" s="104">
        <f t="shared" si="8"/>
        <v>-2258.7561819258399</v>
      </c>
    </row>
    <row r="16" spans="1:42" s="103" customFormat="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row>
    <row r="17" spans="1:45" s="103" customFormat="1">
      <c r="A17" s="145"/>
      <c r="B17" s="146"/>
      <c r="C17" s="146"/>
      <c r="D17" s="146"/>
      <c r="E17" s="146"/>
      <c r="F17" s="146"/>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row>
    <row r="18" spans="1:45" s="103" customFormat="1">
      <c r="A18" s="103" t="s">
        <v>225</v>
      </c>
      <c r="B18" s="104">
        <v>0</v>
      </c>
      <c r="C18" s="104">
        <v>0</v>
      </c>
      <c r="D18" s="104">
        <v>0</v>
      </c>
      <c r="E18" s="104">
        <v>0</v>
      </c>
      <c r="F18" s="104">
        <v>12</v>
      </c>
      <c r="G18" s="104">
        <v>17</v>
      </c>
      <c r="H18" s="104">
        <v>74</v>
      </c>
      <c r="I18" s="104">
        <v>11</v>
      </c>
      <c r="J18" s="104">
        <v>40</v>
      </c>
      <c r="K18" s="104">
        <v>40</v>
      </c>
      <c r="L18" s="104">
        <v>40</v>
      </c>
      <c r="M18" s="104">
        <v>40</v>
      </c>
      <c r="N18" s="104">
        <v>59</v>
      </c>
      <c r="O18" s="104">
        <v>104</v>
      </c>
      <c r="P18" s="104">
        <v>111.7</v>
      </c>
      <c r="Q18" s="104">
        <v>63.5</v>
      </c>
      <c r="R18" s="104">
        <v>0</v>
      </c>
      <c r="S18" s="104">
        <v>0</v>
      </c>
      <c r="T18" s="104">
        <v>5.4</v>
      </c>
      <c r="U18" s="104">
        <v>47.6</v>
      </c>
      <c r="V18" s="104">
        <v>64.8</v>
      </c>
      <c r="W18" s="104">
        <v>1389.6</v>
      </c>
      <c r="X18" s="104">
        <v>147.80000000000001</v>
      </c>
      <c r="Y18" s="104">
        <v>171.1</v>
      </c>
      <c r="Z18" s="104">
        <v>191</v>
      </c>
      <c r="AA18" s="104">
        <v>110.8</v>
      </c>
      <c r="AB18" s="104">
        <v>168.17764031279995</v>
      </c>
      <c r="AC18" s="104">
        <v>120.69</v>
      </c>
      <c r="AD18" s="104">
        <v>274.94753118857147</v>
      </c>
      <c r="AE18" s="104">
        <v>240.31142110419358</v>
      </c>
      <c r="AF18" s="104">
        <v>310.06640616322585</v>
      </c>
      <c r="AG18" s="104">
        <v>70.690476160000003</v>
      </c>
      <c r="AH18" s="104">
        <v>38.450000000000003</v>
      </c>
      <c r="AI18" s="104">
        <v>85.804000000000002</v>
      </c>
      <c r="AJ18" s="104">
        <v>196.15177862000002</v>
      </c>
      <c r="AK18" s="104">
        <v>67.48132308645161</v>
      </c>
      <c r="AL18" s="104">
        <v>50.291036205161291</v>
      </c>
      <c r="AM18" s="104">
        <v>-20.536000000000001</v>
      </c>
      <c r="AN18" s="108">
        <v>24.260660996129033</v>
      </c>
      <c r="AO18" s="103" t="s">
        <v>246</v>
      </c>
    </row>
    <row r="19" spans="1:45" s="103" customFormat="1">
      <c r="A19" s="103" t="s">
        <v>226</v>
      </c>
      <c r="B19" s="104">
        <v>0</v>
      </c>
      <c r="C19" s="104">
        <v>3</v>
      </c>
      <c r="D19" s="104">
        <v>14</v>
      </c>
      <c r="E19" s="104">
        <v>1</v>
      </c>
      <c r="F19" s="104">
        <v>8</v>
      </c>
      <c r="G19" s="104">
        <v>27</v>
      </c>
      <c r="H19" s="104">
        <v>19</v>
      </c>
      <c r="I19" s="104">
        <v>9</v>
      </c>
      <c r="J19" s="104">
        <v>10</v>
      </c>
      <c r="K19" s="104">
        <v>15</v>
      </c>
      <c r="L19" s="104">
        <v>15</v>
      </c>
      <c r="M19" s="104">
        <v>15</v>
      </c>
      <c r="N19" s="104">
        <v>23</v>
      </c>
      <c r="O19" s="104">
        <v>45</v>
      </c>
      <c r="P19" s="104">
        <v>62</v>
      </c>
      <c r="Q19" s="104">
        <v>7.1</v>
      </c>
      <c r="R19" s="104">
        <v>81.7</v>
      </c>
      <c r="S19" s="104">
        <v>107.8</v>
      </c>
      <c r="T19" s="104">
        <v>116.5</v>
      </c>
      <c r="U19" s="104">
        <v>197.8</v>
      </c>
      <c r="V19" s="104">
        <v>193.1</v>
      </c>
      <c r="W19" s="104">
        <v>115.9</v>
      </c>
      <c r="X19" s="104">
        <v>12.6</v>
      </c>
      <c r="Y19" s="104">
        <v>79.2</v>
      </c>
      <c r="Z19" s="104">
        <v>21.7</v>
      </c>
      <c r="AA19" s="104">
        <v>182.1</v>
      </c>
      <c r="AB19" s="104">
        <v>397.43809968000011</v>
      </c>
      <c r="AC19" s="104">
        <v>282.625</v>
      </c>
      <c r="AD19" s="104">
        <v>273.51942685714278</v>
      </c>
      <c r="AE19" s="104">
        <v>142.81399999999999</v>
      </c>
      <c r="AF19" s="104">
        <v>99.430963576774104</v>
      </c>
      <c r="AG19" s="104">
        <v>156.68200350000001</v>
      </c>
      <c r="AH19" s="104">
        <v>152.19999999999999</v>
      </c>
      <c r="AI19" s="104">
        <v>135.50800000000001</v>
      </c>
      <c r="AJ19" s="104">
        <v>122.74434447903229</v>
      </c>
      <c r="AK19" s="104">
        <v>195.79544710838707</v>
      </c>
      <c r="AL19" s="104">
        <v>76.641885441290313</v>
      </c>
      <c r="AM19" s="104">
        <v>9.6</v>
      </c>
      <c r="AN19" s="108">
        <v>2.9</v>
      </c>
      <c r="AO19" s="103" t="s">
        <v>246</v>
      </c>
    </row>
    <row r="20" spans="1:45" s="103" customFormat="1">
      <c r="A20" s="103" t="s">
        <v>227</v>
      </c>
      <c r="B20" s="104">
        <v>15</v>
      </c>
      <c r="C20" s="104">
        <v>6.1</v>
      </c>
      <c r="D20" s="104">
        <v>11.5</v>
      </c>
      <c r="E20" s="104">
        <v>14.2</v>
      </c>
      <c r="F20" s="104">
        <v>16</v>
      </c>
      <c r="G20" s="104">
        <v>19.899999999999999</v>
      </c>
      <c r="H20" s="104">
        <v>23.7</v>
      </c>
      <c r="I20" s="104">
        <v>29.7</v>
      </c>
      <c r="J20" s="104">
        <v>19</v>
      </c>
      <c r="K20" s="104">
        <v>23.6</v>
      </c>
      <c r="L20" s="104">
        <v>23.4</v>
      </c>
      <c r="M20" s="104">
        <v>24.3</v>
      </c>
      <c r="N20" s="104">
        <v>28.4</v>
      </c>
      <c r="O20" s="104">
        <v>30.5</v>
      </c>
      <c r="P20" s="104">
        <v>34.9</v>
      </c>
      <c r="Q20" s="104">
        <v>36.1</v>
      </c>
      <c r="R20" s="104">
        <v>35.4</v>
      </c>
      <c r="S20" s="104">
        <v>35.900000000000006</v>
      </c>
      <c r="T20" s="104">
        <v>36.380000000000003</v>
      </c>
      <c r="U20" s="104">
        <v>38.9</v>
      </c>
      <c r="V20" s="104">
        <v>37.6</v>
      </c>
      <c r="W20" s="104">
        <v>42.5</v>
      </c>
      <c r="X20" s="104">
        <v>50.910000000000004</v>
      </c>
      <c r="Y20" s="104">
        <v>52.555</v>
      </c>
      <c r="Z20" s="104">
        <v>57.199999999999996</v>
      </c>
      <c r="AA20" s="104">
        <v>57.92</v>
      </c>
      <c r="AB20" s="104">
        <v>60.650000000000006</v>
      </c>
      <c r="AC20" s="104">
        <v>60.265000000000001</v>
      </c>
      <c r="AD20" s="104">
        <v>62.222499999999997</v>
      </c>
      <c r="AE20" s="104">
        <v>64.27</v>
      </c>
      <c r="AF20" s="104">
        <v>69.700987359999999</v>
      </c>
      <c r="AG20" s="104">
        <v>74.265100779999997</v>
      </c>
      <c r="AH20" s="104">
        <v>73.010000000000005</v>
      </c>
      <c r="AI20" s="104">
        <v>78.5</v>
      </c>
      <c r="AJ20" s="104">
        <v>90.3</v>
      </c>
      <c r="AK20" s="104">
        <v>84.865485499999991</v>
      </c>
      <c r="AL20" s="104">
        <v>88.185348320000003</v>
      </c>
      <c r="AM20" s="104">
        <v>85.222800195000005</v>
      </c>
      <c r="AN20" s="108">
        <v>89.876589085000006</v>
      </c>
      <c r="AO20" s="103" t="s">
        <v>246</v>
      </c>
    </row>
    <row r="21" spans="1:45" s="103" customFormat="1">
      <c r="A21" s="103" t="s">
        <v>228</v>
      </c>
      <c r="B21" s="104">
        <v>2.2999999999999998</v>
      </c>
      <c r="C21" s="108">
        <v>2.2999999999999998</v>
      </c>
      <c r="D21" s="108">
        <v>4.5999999999999996</v>
      </c>
      <c r="E21" s="108">
        <v>9.1</v>
      </c>
      <c r="F21" s="108">
        <v>19.600000000000001</v>
      </c>
      <c r="G21" s="108">
        <v>15.9</v>
      </c>
      <c r="H21" s="108">
        <v>19.600000000000001</v>
      </c>
      <c r="I21" s="108">
        <v>22.2</v>
      </c>
      <c r="J21" s="108">
        <v>18.8</v>
      </c>
      <c r="K21" s="108">
        <v>23</v>
      </c>
      <c r="L21" s="108">
        <v>32.799999999999997</v>
      </c>
      <c r="M21" s="108">
        <v>33</v>
      </c>
      <c r="N21" s="108">
        <v>67</v>
      </c>
      <c r="O21" s="108">
        <v>49.6</v>
      </c>
      <c r="P21" s="108">
        <v>55.9</v>
      </c>
      <c r="Q21" s="108">
        <v>71.400000000000006</v>
      </c>
      <c r="R21" s="108">
        <v>68.5</v>
      </c>
      <c r="S21" s="108">
        <v>82.2</v>
      </c>
      <c r="T21" s="108">
        <v>104.9</v>
      </c>
      <c r="U21" s="108">
        <v>108.2</v>
      </c>
      <c r="V21" s="108">
        <v>108.2</v>
      </c>
      <c r="W21" s="108">
        <v>101.1</v>
      </c>
      <c r="X21" s="108">
        <v>137.1</v>
      </c>
      <c r="Y21" s="108">
        <v>140.69999999999999</v>
      </c>
      <c r="Z21" s="108">
        <v>137.9</v>
      </c>
      <c r="AA21" s="108">
        <v>135.80000000000001</v>
      </c>
      <c r="AB21" s="108">
        <v>137.9</v>
      </c>
      <c r="AC21" s="108">
        <v>139.482</v>
      </c>
      <c r="AD21" s="108">
        <v>148.89743393999996</v>
      </c>
      <c r="AE21" s="108">
        <v>177.85944282999998</v>
      </c>
      <c r="AF21" s="108">
        <v>199.58221303000002</v>
      </c>
      <c r="AG21" s="108">
        <v>221.05362423999992</v>
      </c>
      <c r="AH21" s="108">
        <v>248.93</v>
      </c>
      <c r="AI21" s="108">
        <v>239</v>
      </c>
      <c r="AJ21" s="108">
        <v>231.80148199999996</v>
      </c>
      <c r="AK21" s="108">
        <v>258.17721182999998</v>
      </c>
      <c r="AL21" s="108">
        <v>258.14218992999997</v>
      </c>
      <c r="AM21" s="108">
        <v>254.70420748999999</v>
      </c>
      <c r="AN21" s="108">
        <v>258.70465134000005</v>
      </c>
      <c r="AO21" s="103" t="s">
        <v>246</v>
      </c>
    </row>
    <row r="22" spans="1:45" s="103" customFormat="1">
      <c r="A22" s="103" t="s">
        <v>229</v>
      </c>
      <c r="B22" s="108">
        <v>24</v>
      </c>
      <c r="C22" s="108">
        <v>8.8000000000000007</v>
      </c>
      <c r="D22" s="108">
        <v>12.399999999999999</v>
      </c>
      <c r="E22" s="108">
        <v>15.899999999999999</v>
      </c>
      <c r="F22" s="108">
        <v>16.599999999999998</v>
      </c>
      <c r="G22" s="108">
        <v>19.7</v>
      </c>
      <c r="H22" s="108">
        <v>22.1</v>
      </c>
      <c r="I22" s="108">
        <v>28.5</v>
      </c>
      <c r="J22" s="108">
        <v>31</v>
      </c>
      <c r="K22" s="108">
        <v>31.9</v>
      </c>
      <c r="L22" s="108">
        <v>34.299999999999997</v>
      </c>
      <c r="M22" s="108">
        <v>38.199999999999996</v>
      </c>
      <c r="N22" s="108">
        <v>41.9</v>
      </c>
      <c r="O22" s="108">
        <v>53.6</v>
      </c>
      <c r="P22" s="108">
        <v>61.3</v>
      </c>
      <c r="Q22" s="108">
        <v>63.599999999999994</v>
      </c>
      <c r="R22" s="108">
        <v>73.100000000000009</v>
      </c>
      <c r="S22" s="108">
        <v>76.3</v>
      </c>
      <c r="T22" s="108">
        <v>74.099999999999994</v>
      </c>
      <c r="U22" s="108">
        <v>76.100000000000009</v>
      </c>
      <c r="V22" s="108">
        <v>76.3</v>
      </c>
      <c r="W22" s="108">
        <v>78.2</v>
      </c>
      <c r="X22" s="108">
        <v>78.2</v>
      </c>
      <c r="Y22" s="108">
        <v>80.5</v>
      </c>
      <c r="Z22" s="108">
        <v>85.399999999999991</v>
      </c>
      <c r="AA22" s="108">
        <v>89.7</v>
      </c>
      <c r="AB22" s="108">
        <v>87.5</v>
      </c>
      <c r="AC22" s="108">
        <v>112.91000000000001</v>
      </c>
      <c r="AD22" s="108">
        <v>116.20000000000002</v>
      </c>
      <c r="AE22" s="108">
        <v>120.00000000000001</v>
      </c>
      <c r="AF22" s="108">
        <v>123.51611021450958</v>
      </c>
      <c r="AG22" s="108">
        <v>127.17258184466625</v>
      </c>
      <c r="AH22" s="108">
        <v>131.5</v>
      </c>
      <c r="AI22" s="108">
        <v>143.4</v>
      </c>
      <c r="AJ22" s="108">
        <v>141.30000000000001</v>
      </c>
      <c r="AK22" s="108">
        <v>150.57877929307099</v>
      </c>
      <c r="AL22" s="108">
        <v>148.21698713480282</v>
      </c>
      <c r="AM22" s="108">
        <v>121.37748259878786</v>
      </c>
      <c r="AN22" s="108">
        <v>105.07309869729694</v>
      </c>
      <c r="AO22" s="103" t="s">
        <v>246</v>
      </c>
    </row>
    <row r="23" spans="1:45" s="103" customFormat="1">
      <c r="A23" s="103" t="s">
        <v>248</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row>
    <row r="24" spans="1:45" s="103" customFormat="1">
      <c r="A24" s="172" t="s">
        <v>249</v>
      </c>
      <c r="B24" s="104">
        <v>30</v>
      </c>
      <c r="C24" s="104">
        <v>17.899999999999999</v>
      </c>
      <c r="D24" s="104">
        <v>61.7</v>
      </c>
      <c r="E24" s="104">
        <v>55.1</v>
      </c>
      <c r="F24" s="104">
        <v>9</v>
      </c>
      <c r="G24" s="104">
        <v>56.599999999999994</v>
      </c>
      <c r="H24" s="104">
        <v>17.100000000000001</v>
      </c>
      <c r="I24" s="104">
        <v>83.3</v>
      </c>
      <c r="J24" s="104">
        <v>15.3</v>
      </c>
      <c r="K24" s="104">
        <v>13.600000000000001</v>
      </c>
      <c r="L24" s="104">
        <v>20.7</v>
      </c>
      <c r="M24" s="104">
        <v>21.7</v>
      </c>
      <c r="N24" s="104">
        <v>12.1</v>
      </c>
      <c r="O24" s="104">
        <v>103.1</v>
      </c>
      <c r="P24" s="104">
        <v>59.9</v>
      </c>
      <c r="Q24" s="104">
        <v>71.8</v>
      </c>
      <c r="R24" s="104">
        <v>71.099999999999994</v>
      </c>
      <c r="S24" s="104">
        <v>-14.5</v>
      </c>
      <c r="T24" s="104">
        <v>22</v>
      </c>
      <c r="U24" s="104">
        <v>28.799999999999997</v>
      </c>
      <c r="V24" s="104">
        <v>60.9</v>
      </c>
      <c r="W24" s="104">
        <v>22.7</v>
      </c>
      <c r="X24" s="104">
        <v>14.9</v>
      </c>
      <c r="Y24" s="104">
        <v>80</v>
      </c>
      <c r="Z24" s="104">
        <v>84.4</v>
      </c>
      <c r="AA24" s="104">
        <v>66</v>
      </c>
      <c r="AB24" s="104">
        <v>396.3</v>
      </c>
      <c r="AC24" s="104">
        <v>96.605999999999995</v>
      </c>
      <c r="AD24" s="104">
        <v>64.171313069999997</v>
      </c>
      <c r="AE24" s="104">
        <v>163.71146123</v>
      </c>
      <c r="AF24" s="104">
        <v>97.616092509999987</v>
      </c>
      <c r="AG24" s="104">
        <v>193.93786518999997</v>
      </c>
      <c r="AH24" s="104">
        <v>172.330297</v>
      </c>
      <c r="AI24" s="104">
        <v>155.69</v>
      </c>
      <c r="AJ24" s="104">
        <v>139.15334831999999</v>
      </c>
      <c r="AK24" s="104">
        <v>104.12590900000001</v>
      </c>
      <c r="AL24" s="104">
        <v>51.372593500000008</v>
      </c>
      <c r="AM24" s="104">
        <v>65.633908539999993</v>
      </c>
      <c r="AN24" s="104">
        <v>83.216698000000008</v>
      </c>
    </row>
    <row r="25" spans="1:45" s="103" customFormat="1">
      <c r="A25" s="103" t="s">
        <v>250</v>
      </c>
      <c r="B25" s="108">
        <v>0</v>
      </c>
      <c r="C25" s="108">
        <v>0</v>
      </c>
      <c r="D25" s="108">
        <v>0</v>
      </c>
      <c r="E25" s="108">
        <v>0</v>
      </c>
      <c r="F25" s="108">
        <v>0</v>
      </c>
      <c r="G25" s="108">
        <v>0</v>
      </c>
      <c r="H25" s="108">
        <v>0</v>
      </c>
      <c r="I25" s="108">
        <v>0</v>
      </c>
      <c r="J25" s="108">
        <v>0</v>
      </c>
      <c r="K25" s="108">
        <v>0</v>
      </c>
      <c r="L25" s="108">
        <v>0</v>
      </c>
      <c r="M25" s="108">
        <v>0</v>
      </c>
      <c r="N25" s="108">
        <v>0</v>
      </c>
      <c r="O25" s="108">
        <v>0</v>
      </c>
      <c r="P25" s="108">
        <v>0</v>
      </c>
      <c r="Q25" s="108">
        <v>-45.2</v>
      </c>
      <c r="R25" s="108">
        <v>-25.5</v>
      </c>
      <c r="S25" s="108">
        <v>-29.7</v>
      </c>
      <c r="T25" s="108">
        <v>-35.700000000000003</v>
      </c>
      <c r="U25" s="108">
        <v>-46</v>
      </c>
      <c r="V25" s="108">
        <v>-50.4</v>
      </c>
      <c r="W25" s="108">
        <v>-583.1</v>
      </c>
      <c r="X25" s="108">
        <v>-66.400000000000006</v>
      </c>
      <c r="Y25" s="108">
        <v>-152.30000000000001</v>
      </c>
      <c r="Z25" s="108">
        <v>-77</v>
      </c>
      <c r="AA25" s="108">
        <v>-57.7</v>
      </c>
      <c r="AB25" s="108">
        <v>-76.352833301624401</v>
      </c>
      <c r="AC25" s="108">
        <v>-66.099999999999994</v>
      </c>
      <c r="AD25" s="108">
        <v>-100.50973003828143</v>
      </c>
      <c r="AE25" s="108">
        <v>-99.498658511615204</v>
      </c>
      <c r="AF25" s="108">
        <v>-122.842830841389</v>
      </c>
      <c r="AG25" s="108">
        <v>-85.34922832657</v>
      </c>
      <c r="AH25" s="108">
        <v>-76.981896231000007</v>
      </c>
      <c r="AI25" s="108">
        <v>-84.094192000000007</v>
      </c>
      <c r="AJ25" s="108">
        <v>-103.85257379362</v>
      </c>
      <c r="AK25" s="108">
        <v>-77.718258299588697</v>
      </c>
      <c r="AL25" s="108">
        <v>-72.627647443790963</v>
      </c>
      <c r="AM25" s="108">
        <v>-53.72833313836</v>
      </c>
      <c r="AN25" s="108">
        <v>-70.099999999999994</v>
      </c>
    </row>
    <row r="26" spans="1:45" s="103" customFormat="1">
      <c r="AJ26" s="107"/>
      <c r="AK26" s="107"/>
    </row>
    <row r="27" spans="1:45">
      <c r="AG27" s="149" t="s">
        <v>231</v>
      </c>
    </row>
    <row r="28" spans="1:45">
      <c r="AG28" s="105" t="str">
        <f>"Total: "&amp;TEXT(AN11,"$#,0.0,")&amp;" billion does not reflect $"&amp;TEXT(AN14,"#0.00,")&amp;" billion in obligations to capital projects or $"&amp;TEXT(ABS(AN15),"#0.00,")&amp;" billion in credits"</f>
        <v>Total: $16.8 billion does not reflect $2.87 billion in obligations to capital projects or $2.26 billion in credits</v>
      </c>
      <c r="AS28" s="105" t="s">
        <v>230</v>
      </c>
    </row>
    <row r="29" spans="1:45">
      <c r="C29" s="104"/>
    </row>
    <row r="30" spans="1:45">
      <c r="C30" s="104"/>
    </row>
    <row r="31" spans="1:45">
      <c r="C31" s="104"/>
    </row>
    <row r="32" spans="1:45">
      <c r="C32" s="104"/>
    </row>
    <row r="33" spans="3:43">
      <c r="C33" s="104"/>
    </row>
    <row r="34" spans="3:43" ht="14.4">
      <c r="C34" s="104"/>
      <c r="AQ34" s="155" t="s">
        <v>234</v>
      </c>
    </row>
    <row r="35" spans="3:43" ht="14.4">
      <c r="C35" s="104"/>
      <c r="AQ35" s="155" t="s">
        <v>232</v>
      </c>
    </row>
    <row r="36" spans="3:43" ht="14.4">
      <c r="C36" s="197"/>
      <c r="AQ36" s="155" t="s">
        <v>233</v>
      </c>
    </row>
    <row r="54" spans="33:33" ht="14.4">
      <c r="AG54" s="156" t="s">
        <v>224</v>
      </c>
    </row>
  </sheetData>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2FF2-5CB5-4C50-B12B-0FAA12DF915E}">
  <sheetPr>
    <pageSetUpPr fitToPage="1"/>
  </sheetPr>
  <dimension ref="A1:IT88"/>
  <sheetViews>
    <sheetView topLeftCell="A22" workbookViewId="0">
      <selection sqref="A1:Z1"/>
    </sheetView>
  </sheetViews>
  <sheetFormatPr defaultColWidth="8.88671875" defaultRowHeight="18.600000000000001"/>
  <cols>
    <col min="1" max="1" width="90.44140625" style="265" customWidth="1"/>
    <col min="2" max="22" width="11.5546875" style="265" customWidth="1"/>
    <col min="23" max="23" width="13.5546875" style="265" customWidth="1"/>
    <col min="24" max="24" width="11.5546875" style="265" customWidth="1"/>
    <col min="25" max="25" width="12.109375" style="265" customWidth="1"/>
    <col min="26" max="28" width="11.5546875" style="265" customWidth="1"/>
    <col min="29" max="29" width="12.33203125" style="261" customWidth="1"/>
    <col min="30" max="30" width="13.33203125" style="262" customWidth="1"/>
    <col min="31" max="31" width="16.5546875" style="263" customWidth="1"/>
    <col min="32" max="32" width="17.44140625" style="263" customWidth="1"/>
    <col min="33" max="33" width="14.6640625" style="263" customWidth="1"/>
    <col min="34" max="43" width="14.5546875" style="263" customWidth="1"/>
    <col min="44" max="257" width="8.88671875" style="263"/>
    <col min="258" max="258" width="90.44140625" style="263" customWidth="1"/>
    <col min="259" max="279" width="11.5546875" style="263" customWidth="1"/>
    <col min="280" max="280" width="13.5546875" style="263" customWidth="1"/>
    <col min="281" max="281" width="11.5546875" style="263" customWidth="1"/>
    <col min="282" max="282" width="12.109375" style="263" customWidth="1"/>
    <col min="283" max="285" width="11.5546875" style="263" customWidth="1"/>
    <col min="286" max="286" width="12.33203125" style="263" customWidth="1"/>
    <col min="287" max="287" width="13.33203125" style="263" customWidth="1"/>
    <col min="288" max="288" width="16.5546875" style="263" customWidth="1"/>
    <col min="289" max="289" width="17.44140625" style="263" customWidth="1"/>
    <col min="290" max="290" width="14.6640625" style="263" customWidth="1"/>
    <col min="291" max="293" width="14.5546875" style="263" customWidth="1"/>
    <col min="294" max="294" width="20" style="263" bestFit="1" customWidth="1"/>
    <col min="295" max="295" width="20.88671875" style="263" customWidth="1"/>
    <col min="296" max="296" width="99" style="263" bestFit="1" customWidth="1"/>
    <col min="297" max="297" width="25.88671875" style="263" bestFit="1" customWidth="1"/>
    <col min="298" max="513" width="8.88671875" style="263"/>
    <col min="514" max="514" width="90.44140625" style="263" customWidth="1"/>
    <col min="515" max="535" width="11.5546875" style="263" customWidth="1"/>
    <col min="536" max="536" width="13.5546875" style="263" customWidth="1"/>
    <col min="537" max="537" width="11.5546875" style="263" customWidth="1"/>
    <col min="538" max="538" width="12.109375" style="263" customWidth="1"/>
    <col min="539" max="541" width="11.5546875" style="263" customWidth="1"/>
    <col min="542" max="542" width="12.33203125" style="263" customWidth="1"/>
    <col min="543" max="543" width="13.33203125" style="263" customWidth="1"/>
    <col min="544" max="544" width="16.5546875" style="263" customWidth="1"/>
    <col min="545" max="545" width="17.44140625" style="263" customWidth="1"/>
    <col min="546" max="546" width="14.6640625" style="263" customWidth="1"/>
    <col min="547" max="549" width="14.5546875" style="263" customWidth="1"/>
    <col min="550" max="550" width="20" style="263" bestFit="1" customWidth="1"/>
    <col min="551" max="551" width="20.88671875" style="263" customWidth="1"/>
    <col min="552" max="552" width="99" style="263" bestFit="1" customWidth="1"/>
    <col min="553" max="553" width="25.88671875" style="263" bestFit="1" customWidth="1"/>
    <col min="554" max="769" width="8.88671875" style="263"/>
    <col min="770" max="770" width="90.44140625" style="263" customWidth="1"/>
    <col min="771" max="791" width="11.5546875" style="263" customWidth="1"/>
    <col min="792" max="792" width="13.5546875" style="263" customWidth="1"/>
    <col min="793" max="793" width="11.5546875" style="263" customWidth="1"/>
    <col min="794" max="794" width="12.109375" style="263" customWidth="1"/>
    <col min="795" max="797" width="11.5546875" style="263" customWidth="1"/>
    <col min="798" max="798" width="12.33203125" style="263" customWidth="1"/>
    <col min="799" max="799" width="13.33203125" style="263" customWidth="1"/>
    <col min="800" max="800" width="16.5546875" style="263" customWidth="1"/>
    <col min="801" max="801" width="17.44140625" style="263" customWidth="1"/>
    <col min="802" max="802" width="14.6640625" style="263" customWidth="1"/>
    <col min="803" max="805" width="14.5546875" style="263" customWidth="1"/>
    <col min="806" max="806" width="20" style="263" bestFit="1" customWidth="1"/>
    <col min="807" max="807" width="20.88671875" style="263" customWidth="1"/>
    <col min="808" max="808" width="99" style="263" bestFit="1" customWidth="1"/>
    <col min="809" max="809" width="25.88671875" style="263" bestFit="1" customWidth="1"/>
    <col min="810" max="1025" width="8.88671875" style="263"/>
    <col min="1026" max="1026" width="90.44140625" style="263" customWidth="1"/>
    <col min="1027" max="1047" width="11.5546875" style="263" customWidth="1"/>
    <col min="1048" max="1048" width="13.5546875" style="263" customWidth="1"/>
    <col min="1049" max="1049" width="11.5546875" style="263" customWidth="1"/>
    <col min="1050" max="1050" width="12.109375" style="263" customWidth="1"/>
    <col min="1051" max="1053" width="11.5546875" style="263" customWidth="1"/>
    <col min="1054" max="1054" width="12.33203125" style="263" customWidth="1"/>
    <col min="1055" max="1055" width="13.33203125" style="263" customWidth="1"/>
    <col min="1056" max="1056" width="16.5546875" style="263" customWidth="1"/>
    <col min="1057" max="1057" width="17.44140625" style="263" customWidth="1"/>
    <col min="1058" max="1058" width="14.6640625" style="263" customWidth="1"/>
    <col min="1059" max="1061" width="14.5546875" style="263" customWidth="1"/>
    <col min="1062" max="1062" width="20" style="263" bestFit="1" customWidth="1"/>
    <col min="1063" max="1063" width="20.88671875" style="263" customWidth="1"/>
    <col min="1064" max="1064" width="99" style="263" bestFit="1" customWidth="1"/>
    <col min="1065" max="1065" width="25.88671875" style="263" bestFit="1" customWidth="1"/>
    <col min="1066" max="1281" width="8.88671875" style="263"/>
    <col min="1282" max="1282" width="90.44140625" style="263" customWidth="1"/>
    <col min="1283" max="1303" width="11.5546875" style="263" customWidth="1"/>
    <col min="1304" max="1304" width="13.5546875" style="263" customWidth="1"/>
    <col min="1305" max="1305" width="11.5546875" style="263" customWidth="1"/>
    <col min="1306" max="1306" width="12.109375" style="263" customWidth="1"/>
    <col min="1307" max="1309" width="11.5546875" style="263" customWidth="1"/>
    <col min="1310" max="1310" width="12.33203125" style="263" customWidth="1"/>
    <col min="1311" max="1311" width="13.33203125" style="263" customWidth="1"/>
    <col min="1312" max="1312" width="16.5546875" style="263" customWidth="1"/>
    <col min="1313" max="1313" width="17.44140625" style="263" customWidth="1"/>
    <col min="1314" max="1314" width="14.6640625" style="263" customWidth="1"/>
    <col min="1315" max="1317" width="14.5546875" style="263" customWidth="1"/>
    <col min="1318" max="1318" width="20" style="263" bestFit="1" customWidth="1"/>
    <col min="1319" max="1319" width="20.88671875" style="263" customWidth="1"/>
    <col min="1320" max="1320" width="99" style="263" bestFit="1" customWidth="1"/>
    <col min="1321" max="1321" width="25.88671875" style="263" bestFit="1" customWidth="1"/>
    <col min="1322" max="1537" width="8.88671875" style="263"/>
    <col min="1538" max="1538" width="90.44140625" style="263" customWidth="1"/>
    <col min="1539" max="1559" width="11.5546875" style="263" customWidth="1"/>
    <col min="1560" max="1560" width="13.5546875" style="263" customWidth="1"/>
    <col min="1561" max="1561" width="11.5546875" style="263" customWidth="1"/>
    <col min="1562" max="1562" width="12.109375" style="263" customWidth="1"/>
    <col min="1563" max="1565" width="11.5546875" style="263" customWidth="1"/>
    <col min="1566" max="1566" width="12.33203125" style="263" customWidth="1"/>
    <col min="1567" max="1567" width="13.33203125" style="263" customWidth="1"/>
    <col min="1568" max="1568" width="16.5546875" style="263" customWidth="1"/>
    <col min="1569" max="1569" width="17.44140625" style="263" customWidth="1"/>
    <col min="1570" max="1570" width="14.6640625" style="263" customWidth="1"/>
    <col min="1571" max="1573" width="14.5546875" style="263" customWidth="1"/>
    <col min="1574" max="1574" width="20" style="263" bestFit="1" customWidth="1"/>
    <col min="1575" max="1575" width="20.88671875" style="263" customWidth="1"/>
    <col min="1576" max="1576" width="99" style="263" bestFit="1" customWidth="1"/>
    <col min="1577" max="1577" width="25.88671875" style="263" bestFit="1" customWidth="1"/>
    <col min="1578" max="1793" width="8.88671875" style="263"/>
    <col min="1794" max="1794" width="90.44140625" style="263" customWidth="1"/>
    <col min="1795" max="1815" width="11.5546875" style="263" customWidth="1"/>
    <col min="1816" max="1816" width="13.5546875" style="263" customWidth="1"/>
    <col min="1817" max="1817" width="11.5546875" style="263" customWidth="1"/>
    <col min="1818" max="1818" width="12.109375" style="263" customWidth="1"/>
    <col min="1819" max="1821" width="11.5546875" style="263" customWidth="1"/>
    <col min="1822" max="1822" width="12.33203125" style="263" customWidth="1"/>
    <col min="1823" max="1823" width="13.33203125" style="263" customWidth="1"/>
    <col min="1824" max="1824" width="16.5546875" style="263" customWidth="1"/>
    <col min="1825" max="1825" width="17.44140625" style="263" customWidth="1"/>
    <col min="1826" max="1826" width="14.6640625" style="263" customWidth="1"/>
    <col min="1827" max="1829" width="14.5546875" style="263" customWidth="1"/>
    <col min="1830" max="1830" width="20" style="263" bestFit="1" customWidth="1"/>
    <col min="1831" max="1831" width="20.88671875" style="263" customWidth="1"/>
    <col min="1832" max="1832" width="99" style="263" bestFit="1" customWidth="1"/>
    <col min="1833" max="1833" width="25.88671875" style="263" bestFit="1" customWidth="1"/>
    <col min="1834" max="2049" width="8.88671875" style="263"/>
    <col min="2050" max="2050" width="90.44140625" style="263" customWidth="1"/>
    <col min="2051" max="2071" width="11.5546875" style="263" customWidth="1"/>
    <col min="2072" max="2072" width="13.5546875" style="263" customWidth="1"/>
    <col min="2073" max="2073" width="11.5546875" style="263" customWidth="1"/>
    <col min="2074" max="2074" width="12.109375" style="263" customWidth="1"/>
    <col min="2075" max="2077" width="11.5546875" style="263" customWidth="1"/>
    <col min="2078" max="2078" width="12.33203125" style="263" customWidth="1"/>
    <col min="2079" max="2079" width="13.33203125" style="263" customWidth="1"/>
    <col min="2080" max="2080" width="16.5546875" style="263" customWidth="1"/>
    <col min="2081" max="2081" width="17.44140625" style="263" customWidth="1"/>
    <col min="2082" max="2082" width="14.6640625" style="263" customWidth="1"/>
    <col min="2083" max="2085" width="14.5546875" style="263" customWidth="1"/>
    <col min="2086" max="2086" width="20" style="263" bestFit="1" customWidth="1"/>
    <col min="2087" max="2087" width="20.88671875" style="263" customWidth="1"/>
    <col min="2088" max="2088" width="99" style="263" bestFit="1" customWidth="1"/>
    <col min="2089" max="2089" width="25.88671875" style="263" bestFit="1" customWidth="1"/>
    <col min="2090" max="2305" width="8.88671875" style="263"/>
    <col min="2306" max="2306" width="90.44140625" style="263" customWidth="1"/>
    <col min="2307" max="2327" width="11.5546875" style="263" customWidth="1"/>
    <col min="2328" max="2328" width="13.5546875" style="263" customWidth="1"/>
    <col min="2329" max="2329" width="11.5546875" style="263" customWidth="1"/>
    <col min="2330" max="2330" width="12.109375" style="263" customWidth="1"/>
    <col min="2331" max="2333" width="11.5546875" style="263" customWidth="1"/>
    <col min="2334" max="2334" width="12.33203125" style="263" customWidth="1"/>
    <col min="2335" max="2335" width="13.33203125" style="263" customWidth="1"/>
    <col min="2336" max="2336" width="16.5546875" style="263" customWidth="1"/>
    <col min="2337" max="2337" width="17.44140625" style="263" customWidth="1"/>
    <col min="2338" max="2338" width="14.6640625" style="263" customWidth="1"/>
    <col min="2339" max="2341" width="14.5546875" style="263" customWidth="1"/>
    <col min="2342" max="2342" width="20" style="263" bestFit="1" customWidth="1"/>
    <col min="2343" max="2343" width="20.88671875" style="263" customWidth="1"/>
    <col min="2344" max="2344" width="99" style="263" bestFit="1" customWidth="1"/>
    <col min="2345" max="2345" width="25.88671875" style="263" bestFit="1" customWidth="1"/>
    <col min="2346" max="2561" width="8.88671875" style="263"/>
    <col min="2562" max="2562" width="90.44140625" style="263" customWidth="1"/>
    <col min="2563" max="2583" width="11.5546875" style="263" customWidth="1"/>
    <col min="2584" max="2584" width="13.5546875" style="263" customWidth="1"/>
    <col min="2585" max="2585" width="11.5546875" style="263" customWidth="1"/>
    <col min="2586" max="2586" width="12.109375" style="263" customWidth="1"/>
    <col min="2587" max="2589" width="11.5546875" style="263" customWidth="1"/>
    <col min="2590" max="2590" width="12.33203125" style="263" customWidth="1"/>
    <col min="2591" max="2591" width="13.33203125" style="263" customWidth="1"/>
    <col min="2592" max="2592" width="16.5546875" style="263" customWidth="1"/>
    <col min="2593" max="2593" width="17.44140625" style="263" customWidth="1"/>
    <col min="2594" max="2594" width="14.6640625" style="263" customWidth="1"/>
    <col min="2595" max="2597" width="14.5546875" style="263" customWidth="1"/>
    <col min="2598" max="2598" width="20" style="263" bestFit="1" customWidth="1"/>
    <col min="2599" max="2599" width="20.88671875" style="263" customWidth="1"/>
    <col min="2600" max="2600" width="99" style="263" bestFit="1" customWidth="1"/>
    <col min="2601" max="2601" width="25.88671875" style="263" bestFit="1" customWidth="1"/>
    <col min="2602" max="2817" width="8.88671875" style="263"/>
    <col min="2818" max="2818" width="90.44140625" style="263" customWidth="1"/>
    <col min="2819" max="2839" width="11.5546875" style="263" customWidth="1"/>
    <col min="2840" max="2840" width="13.5546875" style="263" customWidth="1"/>
    <col min="2841" max="2841" width="11.5546875" style="263" customWidth="1"/>
    <col min="2842" max="2842" width="12.109375" style="263" customWidth="1"/>
    <col min="2843" max="2845" width="11.5546875" style="263" customWidth="1"/>
    <col min="2846" max="2846" width="12.33203125" style="263" customWidth="1"/>
    <col min="2847" max="2847" width="13.33203125" style="263" customWidth="1"/>
    <col min="2848" max="2848" width="16.5546875" style="263" customWidth="1"/>
    <col min="2849" max="2849" width="17.44140625" style="263" customWidth="1"/>
    <col min="2850" max="2850" width="14.6640625" style="263" customWidth="1"/>
    <col min="2851" max="2853" width="14.5546875" style="263" customWidth="1"/>
    <col min="2854" max="2854" width="20" style="263" bestFit="1" customWidth="1"/>
    <col min="2855" max="2855" width="20.88671875" style="263" customWidth="1"/>
    <col min="2856" max="2856" width="99" style="263" bestFit="1" customWidth="1"/>
    <col min="2857" max="2857" width="25.88671875" style="263" bestFit="1" customWidth="1"/>
    <col min="2858" max="3073" width="8.88671875" style="263"/>
    <col min="3074" max="3074" width="90.44140625" style="263" customWidth="1"/>
    <col min="3075" max="3095" width="11.5546875" style="263" customWidth="1"/>
    <col min="3096" max="3096" width="13.5546875" style="263" customWidth="1"/>
    <col min="3097" max="3097" width="11.5546875" style="263" customWidth="1"/>
    <col min="3098" max="3098" width="12.109375" style="263" customWidth="1"/>
    <col min="3099" max="3101" width="11.5546875" style="263" customWidth="1"/>
    <col min="3102" max="3102" width="12.33203125" style="263" customWidth="1"/>
    <col min="3103" max="3103" width="13.33203125" style="263" customWidth="1"/>
    <col min="3104" max="3104" width="16.5546875" style="263" customWidth="1"/>
    <col min="3105" max="3105" width="17.44140625" style="263" customWidth="1"/>
    <col min="3106" max="3106" width="14.6640625" style="263" customWidth="1"/>
    <col min="3107" max="3109" width="14.5546875" style="263" customWidth="1"/>
    <col min="3110" max="3110" width="20" style="263" bestFit="1" customWidth="1"/>
    <col min="3111" max="3111" width="20.88671875" style="263" customWidth="1"/>
    <col min="3112" max="3112" width="99" style="263" bestFit="1" customWidth="1"/>
    <col min="3113" max="3113" width="25.88671875" style="263" bestFit="1" customWidth="1"/>
    <col min="3114" max="3329" width="8.88671875" style="263"/>
    <col min="3330" max="3330" width="90.44140625" style="263" customWidth="1"/>
    <col min="3331" max="3351" width="11.5546875" style="263" customWidth="1"/>
    <col min="3352" max="3352" width="13.5546875" style="263" customWidth="1"/>
    <col min="3353" max="3353" width="11.5546875" style="263" customWidth="1"/>
    <col min="3354" max="3354" width="12.109375" style="263" customWidth="1"/>
    <col min="3355" max="3357" width="11.5546875" style="263" customWidth="1"/>
    <col min="3358" max="3358" width="12.33203125" style="263" customWidth="1"/>
    <col min="3359" max="3359" width="13.33203125" style="263" customWidth="1"/>
    <col min="3360" max="3360" width="16.5546875" style="263" customWidth="1"/>
    <col min="3361" max="3361" width="17.44140625" style="263" customWidth="1"/>
    <col min="3362" max="3362" width="14.6640625" style="263" customWidth="1"/>
    <col min="3363" max="3365" width="14.5546875" style="263" customWidth="1"/>
    <col min="3366" max="3366" width="20" style="263" bestFit="1" customWidth="1"/>
    <col min="3367" max="3367" width="20.88671875" style="263" customWidth="1"/>
    <col min="3368" max="3368" width="99" style="263" bestFit="1" customWidth="1"/>
    <col min="3369" max="3369" width="25.88671875" style="263" bestFit="1" customWidth="1"/>
    <col min="3370" max="3585" width="8.88671875" style="263"/>
    <col min="3586" max="3586" width="90.44140625" style="263" customWidth="1"/>
    <col min="3587" max="3607" width="11.5546875" style="263" customWidth="1"/>
    <col min="3608" max="3608" width="13.5546875" style="263" customWidth="1"/>
    <col min="3609" max="3609" width="11.5546875" style="263" customWidth="1"/>
    <col min="3610" max="3610" width="12.109375" style="263" customWidth="1"/>
    <col min="3611" max="3613" width="11.5546875" style="263" customWidth="1"/>
    <col min="3614" max="3614" width="12.33203125" style="263" customWidth="1"/>
    <col min="3615" max="3615" width="13.33203125" style="263" customWidth="1"/>
    <col min="3616" max="3616" width="16.5546875" style="263" customWidth="1"/>
    <col min="3617" max="3617" width="17.44140625" style="263" customWidth="1"/>
    <col min="3618" max="3618" width="14.6640625" style="263" customWidth="1"/>
    <col min="3619" max="3621" width="14.5546875" style="263" customWidth="1"/>
    <col min="3622" max="3622" width="20" style="263" bestFit="1" customWidth="1"/>
    <col min="3623" max="3623" width="20.88671875" style="263" customWidth="1"/>
    <col min="3624" max="3624" width="99" style="263" bestFit="1" customWidth="1"/>
    <col min="3625" max="3625" width="25.88671875" style="263" bestFit="1" customWidth="1"/>
    <col min="3626" max="3841" width="8.88671875" style="263"/>
    <col min="3842" max="3842" width="90.44140625" style="263" customWidth="1"/>
    <col min="3843" max="3863" width="11.5546875" style="263" customWidth="1"/>
    <col min="3864" max="3864" width="13.5546875" style="263" customWidth="1"/>
    <col min="3865" max="3865" width="11.5546875" style="263" customWidth="1"/>
    <col min="3866" max="3866" width="12.109375" style="263" customWidth="1"/>
    <col min="3867" max="3869" width="11.5546875" style="263" customWidth="1"/>
    <col min="3870" max="3870" width="12.33203125" style="263" customWidth="1"/>
    <col min="3871" max="3871" width="13.33203125" style="263" customWidth="1"/>
    <col min="3872" max="3872" width="16.5546875" style="263" customWidth="1"/>
    <col min="3873" max="3873" width="17.44140625" style="263" customWidth="1"/>
    <col min="3874" max="3874" width="14.6640625" style="263" customWidth="1"/>
    <col min="3875" max="3877" width="14.5546875" style="263" customWidth="1"/>
    <col min="3878" max="3878" width="20" style="263" bestFit="1" customWidth="1"/>
    <col min="3879" max="3879" width="20.88671875" style="263" customWidth="1"/>
    <col min="3880" max="3880" width="99" style="263" bestFit="1" customWidth="1"/>
    <col min="3881" max="3881" width="25.88671875" style="263" bestFit="1" customWidth="1"/>
    <col min="3882" max="4097" width="8.88671875" style="263"/>
    <col min="4098" max="4098" width="90.44140625" style="263" customWidth="1"/>
    <col min="4099" max="4119" width="11.5546875" style="263" customWidth="1"/>
    <col min="4120" max="4120" width="13.5546875" style="263" customWidth="1"/>
    <col min="4121" max="4121" width="11.5546875" style="263" customWidth="1"/>
    <col min="4122" max="4122" width="12.109375" style="263" customWidth="1"/>
    <col min="4123" max="4125" width="11.5546875" style="263" customWidth="1"/>
    <col min="4126" max="4126" width="12.33203125" style="263" customWidth="1"/>
    <col min="4127" max="4127" width="13.33203125" style="263" customWidth="1"/>
    <col min="4128" max="4128" width="16.5546875" style="263" customWidth="1"/>
    <col min="4129" max="4129" width="17.44140625" style="263" customWidth="1"/>
    <col min="4130" max="4130" width="14.6640625" style="263" customWidth="1"/>
    <col min="4131" max="4133" width="14.5546875" style="263" customWidth="1"/>
    <col min="4134" max="4134" width="20" style="263" bestFit="1" customWidth="1"/>
    <col min="4135" max="4135" width="20.88671875" style="263" customWidth="1"/>
    <col min="4136" max="4136" width="99" style="263" bestFit="1" customWidth="1"/>
    <col min="4137" max="4137" width="25.88671875" style="263" bestFit="1" customWidth="1"/>
    <col min="4138" max="4353" width="8.88671875" style="263"/>
    <col min="4354" max="4354" width="90.44140625" style="263" customWidth="1"/>
    <col min="4355" max="4375" width="11.5546875" style="263" customWidth="1"/>
    <col min="4376" max="4376" width="13.5546875" style="263" customWidth="1"/>
    <col min="4377" max="4377" width="11.5546875" style="263" customWidth="1"/>
    <col min="4378" max="4378" width="12.109375" style="263" customWidth="1"/>
    <col min="4379" max="4381" width="11.5546875" style="263" customWidth="1"/>
    <col min="4382" max="4382" width="12.33203125" style="263" customWidth="1"/>
    <col min="4383" max="4383" width="13.33203125" style="263" customWidth="1"/>
    <col min="4384" max="4384" width="16.5546875" style="263" customWidth="1"/>
    <col min="4385" max="4385" width="17.44140625" style="263" customWidth="1"/>
    <col min="4386" max="4386" width="14.6640625" style="263" customWidth="1"/>
    <col min="4387" max="4389" width="14.5546875" style="263" customWidth="1"/>
    <col min="4390" max="4390" width="20" style="263" bestFit="1" customWidth="1"/>
    <col min="4391" max="4391" width="20.88671875" style="263" customWidth="1"/>
    <col min="4392" max="4392" width="99" style="263" bestFit="1" customWidth="1"/>
    <col min="4393" max="4393" width="25.88671875" style="263" bestFit="1" customWidth="1"/>
    <col min="4394" max="4609" width="8.88671875" style="263"/>
    <col min="4610" max="4610" width="90.44140625" style="263" customWidth="1"/>
    <col min="4611" max="4631" width="11.5546875" style="263" customWidth="1"/>
    <col min="4632" max="4632" width="13.5546875" style="263" customWidth="1"/>
    <col min="4633" max="4633" width="11.5546875" style="263" customWidth="1"/>
    <col min="4634" max="4634" width="12.109375" style="263" customWidth="1"/>
    <col min="4635" max="4637" width="11.5546875" style="263" customWidth="1"/>
    <col min="4638" max="4638" width="12.33203125" style="263" customWidth="1"/>
    <col min="4639" max="4639" width="13.33203125" style="263" customWidth="1"/>
    <col min="4640" max="4640" width="16.5546875" style="263" customWidth="1"/>
    <col min="4641" max="4641" width="17.44140625" style="263" customWidth="1"/>
    <col min="4642" max="4642" width="14.6640625" style="263" customWidth="1"/>
    <col min="4643" max="4645" width="14.5546875" style="263" customWidth="1"/>
    <col min="4646" max="4646" width="20" style="263" bestFit="1" customWidth="1"/>
    <col min="4647" max="4647" width="20.88671875" style="263" customWidth="1"/>
    <col min="4648" max="4648" width="99" style="263" bestFit="1" customWidth="1"/>
    <col min="4649" max="4649" width="25.88671875" style="263" bestFit="1" customWidth="1"/>
    <col min="4650" max="4865" width="8.88671875" style="263"/>
    <col min="4866" max="4866" width="90.44140625" style="263" customWidth="1"/>
    <col min="4867" max="4887" width="11.5546875" style="263" customWidth="1"/>
    <col min="4888" max="4888" width="13.5546875" style="263" customWidth="1"/>
    <col min="4889" max="4889" width="11.5546875" style="263" customWidth="1"/>
    <col min="4890" max="4890" width="12.109375" style="263" customWidth="1"/>
    <col min="4891" max="4893" width="11.5546875" style="263" customWidth="1"/>
    <col min="4894" max="4894" width="12.33203125" style="263" customWidth="1"/>
    <col min="4895" max="4895" width="13.33203125" style="263" customWidth="1"/>
    <col min="4896" max="4896" width="16.5546875" style="263" customWidth="1"/>
    <col min="4897" max="4897" width="17.44140625" style="263" customWidth="1"/>
    <col min="4898" max="4898" width="14.6640625" style="263" customWidth="1"/>
    <col min="4899" max="4901" width="14.5546875" style="263" customWidth="1"/>
    <col min="4902" max="4902" width="20" style="263" bestFit="1" customWidth="1"/>
    <col min="4903" max="4903" width="20.88671875" style="263" customWidth="1"/>
    <col min="4904" max="4904" width="99" style="263" bestFit="1" customWidth="1"/>
    <col min="4905" max="4905" width="25.88671875" style="263" bestFit="1" customWidth="1"/>
    <col min="4906" max="5121" width="8.88671875" style="263"/>
    <col min="5122" max="5122" width="90.44140625" style="263" customWidth="1"/>
    <col min="5123" max="5143" width="11.5546875" style="263" customWidth="1"/>
    <col min="5144" max="5144" width="13.5546875" style="263" customWidth="1"/>
    <col min="5145" max="5145" width="11.5546875" style="263" customWidth="1"/>
    <col min="5146" max="5146" width="12.109375" style="263" customWidth="1"/>
    <col min="5147" max="5149" width="11.5546875" style="263" customWidth="1"/>
    <col min="5150" max="5150" width="12.33203125" style="263" customWidth="1"/>
    <col min="5151" max="5151" width="13.33203125" style="263" customWidth="1"/>
    <col min="5152" max="5152" width="16.5546875" style="263" customWidth="1"/>
    <col min="5153" max="5153" width="17.44140625" style="263" customWidth="1"/>
    <col min="5154" max="5154" width="14.6640625" style="263" customWidth="1"/>
    <col min="5155" max="5157" width="14.5546875" style="263" customWidth="1"/>
    <col min="5158" max="5158" width="20" style="263" bestFit="1" customWidth="1"/>
    <col min="5159" max="5159" width="20.88671875" style="263" customWidth="1"/>
    <col min="5160" max="5160" width="99" style="263" bestFit="1" customWidth="1"/>
    <col min="5161" max="5161" width="25.88671875" style="263" bestFit="1" customWidth="1"/>
    <col min="5162" max="5377" width="8.88671875" style="263"/>
    <col min="5378" max="5378" width="90.44140625" style="263" customWidth="1"/>
    <col min="5379" max="5399" width="11.5546875" style="263" customWidth="1"/>
    <col min="5400" max="5400" width="13.5546875" style="263" customWidth="1"/>
    <col min="5401" max="5401" width="11.5546875" style="263" customWidth="1"/>
    <col min="5402" max="5402" width="12.109375" style="263" customWidth="1"/>
    <col min="5403" max="5405" width="11.5546875" style="263" customWidth="1"/>
    <col min="5406" max="5406" width="12.33203125" style="263" customWidth="1"/>
    <col min="5407" max="5407" width="13.33203125" style="263" customWidth="1"/>
    <col min="5408" max="5408" width="16.5546875" style="263" customWidth="1"/>
    <col min="5409" max="5409" width="17.44140625" style="263" customWidth="1"/>
    <col min="5410" max="5410" width="14.6640625" style="263" customWidth="1"/>
    <col min="5411" max="5413" width="14.5546875" style="263" customWidth="1"/>
    <col min="5414" max="5414" width="20" style="263" bestFit="1" customWidth="1"/>
    <col min="5415" max="5415" width="20.88671875" style="263" customWidth="1"/>
    <col min="5416" max="5416" width="99" style="263" bestFit="1" customWidth="1"/>
    <col min="5417" max="5417" width="25.88671875" style="263" bestFit="1" customWidth="1"/>
    <col min="5418" max="5633" width="8.88671875" style="263"/>
    <col min="5634" max="5634" width="90.44140625" style="263" customWidth="1"/>
    <col min="5635" max="5655" width="11.5546875" style="263" customWidth="1"/>
    <col min="5656" max="5656" width="13.5546875" style="263" customWidth="1"/>
    <col min="5657" max="5657" width="11.5546875" style="263" customWidth="1"/>
    <col min="5658" max="5658" width="12.109375" style="263" customWidth="1"/>
    <col min="5659" max="5661" width="11.5546875" style="263" customWidth="1"/>
    <col min="5662" max="5662" width="12.33203125" style="263" customWidth="1"/>
    <col min="5663" max="5663" width="13.33203125" style="263" customWidth="1"/>
    <col min="5664" max="5664" width="16.5546875" style="263" customWidth="1"/>
    <col min="5665" max="5665" width="17.44140625" style="263" customWidth="1"/>
    <col min="5666" max="5666" width="14.6640625" style="263" customWidth="1"/>
    <col min="5667" max="5669" width="14.5546875" style="263" customWidth="1"/>
    <col min="5670" max="5670" width="20" style="263" bestFit="1" customWidth="1"/>
    <col min="5671" max="5671" width="20.88671875" style="263" customWidth="1"/>
    <col min="5672" max="5672" width="99" style="263" bestFit="1" customWidth="1"/>
    <col min="5673" max="5673" width="25.88671875" style="263" bestFit="1" customWidth="1"/>
    <col min="5674" max="5889" width="8.88671875" style="263"/>
    <col min="5890" max="5890" width="90.44140625" style="263" customWidth="1"/>
    <col min="5891" max="5911" width="11.5546875" style="263" customWidth="1"/>
    <col min="5912" max="5912" width="13.5546875" style="263" customWidth="1"/>
    <col min="5913" max="5913" width="11.5546875" style="263" customWidth="1"/>
    <col min="5914" max="5914" width="12.109375" style="263" customWidth="1"/>
    <col min="5915" max="5917" width="11.5546875" style="263" customWidth="1"/>
    <col min="5918" max="5918" width="12.33203125" style="263" customWidth="1"/>
    <col min="5919" max="5919" width="13.33203125" style="263" customWidth="1"/>
    <col min="5920" max="5920" width="16.5546875" style="263" customWidth="1"/>
    <col min="5921" max="5921" width="17.44140625" style="263" customWidth="1"/>
    <col min="5922" max="5922" width="14.6640625" style="263" customWidth="1"/>
    <col min="5923" max="5925" width="14.5546875" style="263" customWidth="1"/>
    <col min="5926" max="5926" width="20" style="263" bestFit="1" customWidth="1"/>
    <col min="5927" max="5927" width="20.88671875" style="263" customWidth="1"/>
    <col min="5928" max="5928" width="99" style="263" bestFit="1" customWidth="1"/>
    <col min="5929" max="5929" width="25.88671875" style="263" bestFit="1" customWidth="1"/>
    <col min="5930" max="6145" width="8.88671875" style="263"/>
    <col min="6146" max="6146" width="90.44140625" style="263" customWidth="1"/>
    <col min="6147" max="6167" width="11.5546875" style="263" customWidth="1"/>
    <col min="6168" max="6168" width="13.5546875" style="263" customWidth="1"/>
    <col min="6169" max="6169" width="11.5546875" style="263" customWidth="1"/>
    <col min="6170" max="6170" width="12.109375" style="263" customWidth="1"/>
    <col min="6171" max="6173" width="11.5546875" style="263" customWidth="1"/>
    <col min="6174" max="6174" width="12.33203125" style="263" customWidth="1"/>
    <col min="6175" max="6175" width="13.33203125" style="263" customWidth="1"/>
    <col min="6176" max="6176" width="16.5546875" style="263" customWidth="1"/>
    <col min="6177" max="6177" width="17.44140625" style="263" customWidth="1"/>
    <col min="6178" max="6178" width="14.6640625" style="263" customWidth="1"/>
    <col min="6179" max="6181" width="14.5546875" style="263" customWidth="1"/>
    <col min="6182" max="6182" width="20" style="263" bestFit="1" customWidth="1"/>
    <col min="6183" max="6183" width="20.88671875" style="263" customWidth="1"/>
    <col min="6184" max="6184" width="99" style="263" bestFit="1" customWidth="1"/>
    <col min="6185" max="6185" width="25.88671875" style="263" bestFit="1" customWidth="1"/>
    <col min="6186" max="6401" width="8.88671875" style="263"/>
    <col min="6402" max="6402" width="90.44140625" style="263" customWidth="1"/>
    <col min="6403" max="6423" width="11.5546875" style="263" customWidth="1"/>
    <col min="6424" max="6424" width="13.5546875" style="263" customWidth="1"/>
    <col min="6425" max="6425" width="11.5546875" style="263" customWidth="1"/>
    <col min="6426" max="6426" width="12.109375" style="263" customWidth="1"/>
    <col min="6427" max="6429" width="11.5546875" style="263" customWidth="1"/>
    <col min="6430" max="6430" width="12.33203125" style="263" customWidth="1"/>
    <col min="6431" max="6431" width="13.33203125" style="263" customWidth="1"/>
    <col min="6432" max="6432" width="16.5546875" style="263" customWidth="1"/>
    <col min="6433" max="6433" width="17.44140625" style="263" customWidth="1"/>
    <col min="6434" max="6434" width="14.6640625" style="263" customWidth="1"/>
    <col min="6435" max="6437" width="14.5546875" style="263" customWidth="1"/>
    <col min="6438" max="6438" width="20" style="263" bestFit="1" customWidth="1"/>
    <col min="6439" max="6439" width="20.88671875" style="263" customWidth="1"/>
    <col min="6440" max="6440" width="99" style="263" bestFit="1" customWidth="1"/>
    <col min="6441" max="6441" width="25.88671875" style="263" bestFit="1" customWidth="1"/>
    <col min="6442" max="6657" width="8.88671875" style="263"/>
    <col min="6658" max="6658" width="90.44140625" style="263" customWidth="1"/>
    <col min="6659" max="6679" width="11.5546875" style="263" customWidth="1"/>
    <col min="6680" max="6680" width="13.5546875" style="263" customWidth="1"/>
    <col min="6681" max="6681" width="11.5546875" style="263" customWidth="1"/>
    <col min="6682" max="6682" width="12.109375" style="263" customWidth="1"/>
    <col min="6683" max="6685" width="11.5546875" style="263" customWidth="1"/>
    <col min="6686" max="6686" width="12.33203125" style="263" customWidth="1"/>
    <col min="6687" max="6687" width="13.33203125" style="263" customWidth="1"/>
    <col min="6688" max="6688" width="16.5546875" style="263" customWidth="1"/>
    <col min="6689" max="6689" width="17.44140625" style="263" customWidth="1"/>
    <col min="6690" max="6690" width="14.6640625" style="263" customWidth="1"/>
    <col min="6691" max="6693" width="14.5546875" style="263" customWidth="1"/>
    <col min="6694" max="6694" width="20" style="263" bestFit="1" customWidth="1"/>
    <col min="6695" max="6695" width="20.88671875" style="263" customWidth="1"/>
    <col min="6696" max="6696" width="99" style="263" bestFit="1" customWidth="1"/>
    <col min="6697" max="6697" width="25.88671875" style="263" bestFit="1" customWidth="1"/>
    <col min="6698" max="6913" width="8.88671875" style="263"/>
    <col min="6914" max="6914" width="90.44140625" style="263" customWidth="1"/>
    <col min="6915" max="6935" width="11.5546875" style="263" customWidth="1"/>
    <col min="6936" max="6936" width="13.5546875" style="263" customWidth="1"/>
    <col min="6937" max="6937" width="11.5546875" style="263" customWidth="1"/>
    <col min="6938" max="6938" width="12.109375" style="263" customWidth="1"/>
    <col min="6939" max="6941" width="11.5546875" style="263" customWidth="1"/>
    <col min="6942" max="6942" width="12.33203125" style="263" customWidth="1"/>
    <col min="6943" max="6943" width="13.33203125" style="263" customWidth="1"/>
    <col min="6944" max="6944" width="16.5546875" style="263" customWidth="1"/>
    <col min="6945" max="6945" width="17.44140625" style="263" customWidth="1"/>
    <col min="6946" max="6946" width="14.6640625" style="263" customWidth="1"/>
    <col min="6947" max="6949" width="14.5546875" style="263" customWidth="1"/>
    <col min="6950" max="6950" width="20" style="263" bestFit="1" customWidth="1"/>
    <col min="6951" max="6951" width="20.88671875" style="263" customWidth="1"/>
    <col min="6952" max="6952" width="99" style="263" bestFit="1" customWidth="1"/>
    <col min="6953" max="6953" width="25.88671875" style="263" bestFit="1" customWidth="1"/>
    <col min="6954" max="7169" width="8.88671875" style="263"/>
    <col min="7170" max="7170" width="90.44140625" style="263" customWidth="1"/>
    <col min="7171" max="7191" width="11.5546875" style="263" customWidth="1"/>
    <col min="7192" max="7192" width="13.5546875" style="263" customWidth="1"/>
    <col min="7193" max="7193" width="11.5546875" style="263" customWidth="1"/>
    <col min="7194" max="7194" width="12.109375" style="263" customWidth="1"/>
    <col min="7195" max="7197" width="11.5546875" style="263" customWidth="1"/>
    <col min="7198" max="7198" width="12.33203125" style="263" customWidth="1"/>
    <col min="7199" max="7199" width="13.33203125" style="263" customWidth="1"/>
    <col min="7200" max="7200" width="16.5546875" style="263" customWidth="1"/>
    <col min="7201" max="7201" width="17.44140625" style="263" customWidth="1"/>
    <col min="7202" max="7202" width="14.6640625" style="263" customWidth="1"/>
    <col min="7203" max="7205" width="14.5546875" style="263" customWidth="1"/>
    <col min="7206" max="7206" width="20" style="263" bestFit="1" customWidth="1"/>
    <col min="7207" max="7207" width="20.88671875" style="263" customWidth="1"/>
    <col min="7208" max="7208" width="99" style="263" bestFit="1" customWidth="1"/>
    <col min="7209" max="7209" width="25.88671875" style="263" bestFit="1" customWidth="1"/>
    <col min="7210" max="7425" width="8.88671875" style="263"/>
    <col min="7426" max="7426" width="90.44140625" style="263" customWidth="1"/>
    <col min="7427" max="7447" width="11.5546875" style="263" customWidth="1"/>
    <col min="7448" max="7448" width="13.5546875" style="263" customWidth="1"/>
    <col min="7449" max="7449" width="11.5546875" style="263" customWidth="1"/>
    <col min="7450" max="7450" width="12.109375" style="263" customWidth="1"/>
    <col min="7451" max="7453" width="11.5546875" style="263" customWidth="1"/>
    <col min="7454" max="7454" width="12.33203125" style="263" customWidth="1"/>
    <col min="7455" max="7455" width="13.33203125" style="263" customWidth="1"/>
    <col min="7456" max="7456" width="16.5546875" style="263" customWidth="1"/>
    <col min="7457" max="7457" width="17.44140625" style="263" customWidth="1"/>
    <col min="7458" max="7458" width="14.6640625" style="263" customWidth="1"/>
    <col min="7459" max="7461" width="14.5546875" style="263" customWidth="1"/>
    <col min="7462" max="7462" width="20" style="263" bestFit="1" customWidth="1"/>
    <col min="7463" max="7463" width="20.88671875" style="263" customWidth="1"/>
    <col min="7464" max="7464" width="99" style="263" bestFit="1" customWidth="1"/>
    <col min="7465" max="7465" width="25.88671875" style="263" bestFit="1" customWidth="1"/>
    <col min="7466" max="7681" width="8.88671875" style="263"/>
    <col min="7682" max="7682" width="90.44140625" style="263" customWidth="1"/>
    <col min="7683" max="7703" width="11.5546875" style="263" customWidth="1"/>
    <col min="7704" max="7704" width="13.5546875" style="263" customWidth="1"/>
    <col min="7705" max="7705" width="11.5546875" style="263" customWidth="1"/>
    <col min="7706" max="7706" width="12.109375" style="263" customWidth="1"/>
    <col min="7707" max="7709" width="11.5546875" style="263" customWidth="1"/>
    <col min="7710" max="7710" width="12.33203125" style="263" customWidth="1"/>
    <col min="7711" max="7711" width="13.33203125" style="263" customWidth="1"/>
    <col min="7712" max="7712" width="16.5546875" style="263" customWidth="1"/>
    <col min="7713" max="7713" width="17.44140625" style="263" customWidth="1"/>
    <col min="7714" max="7714" width="14.6640625" style="263" customWidth="1"/>
    <col min="7715" max="7717" width="14.5546875" style="263" customWidth="1"/>
    <col min="7718" max="7718" width="20" style="263" bestFit="1" customWidth="1"/>
    <col min="7719" max="7719" width="20.88671875" style="263" customWidth="1"/>
    <col min="7720" max="7720" width="99" style="263" bestFit="1" customWidth="1"/>
    <col min="7721" max="7721" width="25.88671875" style="263" bestFit="1" customWidth="1"/>
    <col min="7722" max="7937" width="8.88671875" style="263"/>
    <col min="7938" max="7938" width="90.44140625" style="263" customWidth="1"/>
    <col min="7939" max="7959" width="11.5546875" style="263" customWidth="1"/>
    <col min="7960" max="7960" width="13.5546875" style="263" customWidth="1"/>
    <col min="7961" max="7961" width="11.5546875" style="263" customWidth="1"/>
    <col min="7962" max="7962" width="12.109375" style="263" customWidth="1"/>
    <col min="7963" max="7965" width="11.5546875" style="263" customWidth="1"/>
    <col min="7966" max="7966" width="12.33203125" style="263" customWidth="1"/>
    <col min="7967" max="7967" width="13.33203125" style="263" customWidth="1"/>
    <col min="7968" max="7968" width="16.5546875" style="263" customWidth="1"/>
    <col min="7969" max="7969" width="17.44140625" style="263" customWidth="1"/>
    <col min="7970" max="7970" width="14.6640625" style="263" customWidth="1"/>
    <col min="7971" max="7973" width="14.5546875" style="263" customWidth="1"/>
    <col min="7974" max="7974" width="20" style="263" bestFit="1" customWidth="1"/>
    <col min="7975" max="7975" width="20.88671875" style="263" customWidth="1"/>
    <col min="7976" max="7976" width="99" style="263" bestFit="1" customWidth="1"/>
    <col min="7977" max="7977" width="25.88671875" style="263" bestFit="1" customWidth="1"/>
    <col min="7978" max="8193" width="8.88671875" style="263"/>
    <col min="8194" max="8194" width="90.44140625" style="263" customWidth="1"/>
    <col min="8195" max="8215" width="11.5546875" style="263" customWidth="1"/>
    <col min="8216" max="8216" width="13.5546875" style="263" customWidth="1"/>
    <col min="8217" max="8217" width="11.5546875" style="263" customWidth="1"/>
    <col min="8218" max="8218" width="12.109375" style="263" customWidth="1"/>
    <col min="8219" max="8221" width="11.5546875" style="263" customWidth="1"/>
    <col min="8222" max="8222" width="12.33203125" style="263" customWidth="1"/>
    <col min="8223" max="8223" width="13.33203125" style="263" customWidth="1"/>
    <col min="8224" max="8224" width="16.5546875" style="263" customWidth="1"/>
    <col min="8225" max="8225" width="17.44140625" style="263" customWidth="1"/>
    <col min="8226" max="8226" width="14.6640625" style="263" customWidth="1"/>
    <col min="8227" max="8229" width="14.5546875" style="263" customWidth="1"/>
    <col min="8230" max="8230" width="20" style="263" bestFit="1" customWidth="1"/>
    <col min="8231" max="8231" width="20.88671875" style="263" customWidth="1"/>
    <col min="8232" max="8232" width="99" style="263" bestFit="1" customWidth="1"/>
    <col min="8233" max="8233" width="25.88671875" style="263" bestFit="1" customWidth="1"/>
    <col min="8234" max="8449" width="8.88671875" style="263"/>
    <col min="8450" max="8450" width="90.44140625" style="263" customWidth="1"/>
    <col min="8451" max="8471" width="11.5546875" style="263" customWidth="1"/>
    <col min="8472" max="8472" width="13.5546875" style="263" customWidth="1"/>
    <col min="8473" max="8473" width="11.5546875" style="263" customWidth="1"/>
    <col min="8474" max="8474" width="12.109375" style="263" customWidth="1"/>
    <col min="8475" max="8477" width="11.5546875" style="263" customWidth="1"/>
    <col min="8478" max="8478" width="12.33203125" style="263" customWidth="1"/>
    <col min="8479" max="8479" width="13.33203125" style="263" customWidth="1"/>
    <col min="8480" max="8480" width="16.5546875" style="263" customWidth="1"/>
    <col min="8481" max="8481" width="17.44140625" style="263" customWidth="1"/>
    <col min="8482" max="8482" width="14.6640625" style="263" customWidth="1"/>
    <col min="8483" max="8485" width="14.5546875" style="263" customWidth="1"/>
    <col min="8486" max="8486" width="20" style="263" bestFit="1" customWidth="1"/>
    <col min="8487" max="8487" width="20.88671875" style="263" customWidth="1"/>
    <col min="8488" max="8488" width="99" style="263" bestFit="1" customWidth="1"/>
    <col min="8489" max="8489" width="25.88671875" style="263" bestFit="1" customWidth="1"/>
    <col min="8490" max="8705" width="8.88671875" style="263"/>
    <col min="8706" max="8706" width="90.44140625" style="263" customWidth="1"/>
    <col min="8707" max="8727" width="11.5546875" style="263" customWidth="1"/>
    <col min="8728" max="8728" width="13.5546875" style="263" customWidth="1"/>
    <col min="8729" max="8729" width="11.5546875" style="263" customWidth="1"/>
    <col min="8730" max="8730" width="12.109375" style="263" customWidth="1"/>
    <col min="8731" max="8733" width="11.5546875" style="263" customWidth="1"/>
    <col min="8734" max="8734" width="12.33203125" style="263" customWidth="1"/>
    <col min="8735" max="8735" width="13.33203125" style="263" customWidth="1"/>
    <col min="8736" max="8736" width="16.5546875" style="263" customWidth="1"/>
    <col min="8737" max="8737" width="17.44140625" style="263" customWidth="1"/>
    <col min="8738" max="8738" width="14.6640625" style="263" customWidth="1"/>
    <col min="8739" max="8741" width="14.5546875" style="263" customWidth="1"/>
    <col min="8742" max="8742" width="20" style="263" bestFit="1" customWidth="1"/>
    <col min="8743" max="8743" width="20.88671875" style="263" customWidth="1"/>
    <col min="8744" max="8744" width="99" style="263" bestFit="1" customWidth="1"/>
    <col min="8745" max="8745" width="25.88671875" style="263" bestFit="1" customWidth="1"/>
    <col min="8746" max="8961" width="8.88671875" style="263"/>
    <col min="8962" max="8962" width="90.44140625" style="263" customWidth="1"/>
    <col min="8963" max="8983" width="11.5546875" style="263" customWidth="1"/>
    <col min="8984" max="8984" width="13.5546875" style="263" customWidth="1"/>
    <col min="8985" max="8985" width="11.5546875" style="263" customWidth="1"/>
    <col min="8986" max="8986" width="12.109375" style="263" customWidth="1"/>
    <col min="8987" max="8989" width="11.5546875" style="263" customWidth="1"/>
    <col min="8990" max="8990" width="12.33203125" style="263" customWidth="1"/>
    <col min="8991" max="8991" width="13.33203125" style="263" customWidth="1"/>
    <col min="8992" max="8992" width="16.5546875" style="263" customWidth="1"/>
    <col min="8993" max="8993" width="17.44140625" style="263" customWidth="1"/>
    <col min="8994" max="8994" width="14.6640625" style="263" customWidth="1"/>
    <col min="8995" max="8997" width="14.5546875" style="263" customWidth="1"/>
    <col min="8998" max="8998" width="20" style="263" bestFit="1" customWidth="1"/>
    <col min="8999" max="8999" width="20.88671875" style="263" customWidth="1"/>
    <col min="9000" max="9000" width="99" style="263" bestFit="1" customWidth="1"/>
    <col min="9001" max="9001" width="25.88671875" style="263" bestFit="1" customWidth="1"/>
    <col min="9002" max="9217" width="8.88671875" style="263"/>
    <col min="9218" max="9218" width="90.44140625" style="263" customWidth="1"/>
    <col min="9219" max="9239" width="11.5546875" style="263" customWidth="1"/>
    <col min="9240" max="9240" width="13.5546875" style="263" customWidth="1"/>
    <col min="9241" max="9241" width="11.5546875" style="263" customWidth="1"/>
    <col min="9242" max="9242" width="12.109375" style="263" customWidth="1"/>
    <col min="9243" max="9245" width="11.5546875" style="263" customWidth="1"/>
    <col min="9246" max="9246" width="12.33203125" style="263" customWidth="1"/>
    <col min="9247" max="9247" width="13.33203125" style="263" customWidth="1"/>
    <col min="9248" max="9248" width="16.5546875" style="263" customWidth="1"/>
    <col min="9249" max="9249" width="17.44140625" style="263" customWidth="1"/>
    <col min="9250" max="9250" width="14.6640625" style="263" customWidth="1"/>
    <col min="9251" max="9253" width="14.5546875" style="263" customWidth="1"/>
    <col min="9254" max="9254" width="20" style="263" bestFit="1" customWidth="1"/>
    <col min="9255" max="9255" width="20.88671875" style="263" customWidth="1"/>
    <col min="9256" max="9256" width="99" style="263" bestFit="1" customWidth="1"/>
    <col min="9257" max="9257" width="25.88671875" style="263" bestFit="1" customWidth="1"/>
    <col min="9258" max="9473" width="8.88671875" style="263"/>
    <col min="9474" max="9474" width="90.44140625" style="263" customWidth="1"/>
    <col min="9475" max="9495" width="11.5546875" style="263" customWidth="1"/>
    <col min="9496" max="9496" width="13.5546875" style="263" customWidth="1"/>
    <col min="9497" max="9497" width="11.5546875" style="263" customWidth="1"/>
    <col min="9498" max="9498" width="12.109375" style="263" customWidth="1"/>
    <col min="9499" max="9501" width="11.5546875" style="263" customWidth="1"/>
    <col min="9502" max="9502" width="12.33203125" style="263" customWidth="1"/>
    <col min="9503" max="9503" width="13.33203125" style="263" customWidth="1"/>
    <col min="9504" max="9504" width="16.5546875" style="263" customWidth="1"/>
    <col min="9505" max="9505" width="17.44140625" style="263" customWidth="1"/>
    <col min="9506" max="9506" width="14.6640625" style="263" customWidth="1"/>
    <col min="9507" max="9509" width="14.5546875" style="263" customWidth="1"/>
    <col min="9510" max="9510" width="20" style="263" bestFit="1" customWidth="1"/>
    <col min="9511" max="9511" width="20.88671875" style="263" customWidth="1"/>
    <col min="9512" max="9512" width="99" style="263" bestFit="1" customWidth="1"/>
    <col min="9513" max="9513" width="25.88671875" style="263" bestFit="1" customWidth="1"/>
    <col min="9514" max="9729" width="8.88671875" style="263"/>
    <col min="9730" max="9730" width="90.44140625" style="263" customWidth="1"/>
    <col min="9731" max="9751" width="11.5546875" style="263" customWidth="1"/>
    <col min="9752" max="9752" width="13.5546875" style="263" customWidth="1"/>
    <col min="9753" max="9753" width="11.5546875" style="263" customWidth="1"/>
    <col min="9754" max="9754" width="12.109375" style="263" customWidth="1"/>
    <col min="9755" max="9757" width="11.5546875" style="263" customWidth="1"/>
    <col min="9758" max="9758" width="12.33203125" style="263" customWidth="1"/>
    <col min="9759" max="9759" width="13.33203125" style="263" customWidth="1"/>
    <col min="9760" max="9760" width="16.5546875" style="263" customWidth="1"/>
    <col min="9761" max="9761" width="17.44140625" style="263" customWidth="1"/>
    <col min="9762" max="9762" width="14.6640625" style="263" customWidth="1"/>
    <col min="9763" max="9765" width="14.5546875" style="263" customWidth="1"/>
    <col min="9766" max="9766" width="20" style="263" bestFit="1" customWidth="1"/>
    <col min="9767" max="9767" width="20.88671875" style="263" customWidth="1"/>
    <col min="9768" max="9768" width="99" style="263" bestFit="1" customWidth="1"/>
    <col min="9769" max="9769" width="25.88671875" style="263" bestFit="1" customWidth="1"/>
    <col min="9770" max="9985" width="8.88671875" style="263"/>
    <col min="9986" max="9986" width="90.44140625" style="263" customWidth="1"/>
    <col min="9987" max="10007" width="11.5546875" style="263" customWidth="1"/>
    <col min="10008" max="10008" width="13.5546875" style="263" customWidth="1"/>
    <col min="10009" max="10009" width="11.5546875" style="263" customWidth="1"/>
    <col min="10010" max="10010" width="12.109375" style="263" customWidth="1"/>
    <col min="10011" max="10013" width="11.5546875" style="263" customWidth="1"/>
    <col min="10014" max="10014" width="12.33203125" style="263" customWidth="1"/>
    <col min="10015" max="10015" width="13.33203125" style="263" customWidth="1"/>
    <col min="10016" max="10016" width="16.5546875" style="263" customWidth="1"/>
    <col min="10017" max="10017" width="17.44140625" style="263" customWidth="1"/>
    <col min="10018" max="10018" width="14.6640625" style="263" customWidth="1"/>
    <col min="10019" max="10021" width="14.5546875" style="263" customWidth="1"/>
    <col min="10022" max="10022" width="20" style="263" bestFit="1" customWidth="1"/>
    <col min="10023" max="10023" width="20.88671875" style="263" customWidth="1"/>
    <col min="10024" max="10024" width="99" style="263" bestFit="1" customWidth="1"/>
    <col min="10025" max="10025" width="25.88671875" style="263" bestFit="1" customWidth="1"/>
    <col min="10026" max="10241" width="8.88671875" style="263"/>
    <col min="10242" max="10242" width="90.44140625" style="263" customWidth="1"/>
    <col min="10243" max="10263" width="11.5546875" style="263" customWidth="1"/>
    <col min="10264" max="10264" width="13.5546875" style="263" customWidth="1"/>
    <col min="10265" max="10265" width="11.5546875" style="263" customWidth="1"/>
    <col min="10266" max="10266" width="12.109375" style="263" customWidth="1"/>
    <col min="10267" max="10269" width="11.5546875" style="263" customWidth="1"/>
    <col min="10270" max="10270" width="12.33203125" style="263" customWidth="1"/>
    <col min="10271" max="10271" width="13.33203125" style="263" customWidth="1"/>
    <col min="10272" max="10272" width="16.5546875" style="263" customWidth="1"/>
    <col min="10273" max="10273" width="17.44140625" style="263" customWidth="1"/>
    <col min="10274" max="10274" width="14.6640625" style="263" customWidth="1"/>
    <col min="10275" max="10277" width="14.5546875" style="263" customWidth="1"/>
    <col min="10278" max="10278" width="20" style="263" bestFit="1" customWidth="1"/>
    <col min="10279" max="10279" width="20.88671875" style="263" customWidth="1"/>
    <col min="10280" max="10280" width="99" style="263" bestFit="1" customWidth="1"/>
    <col min="10281" max="10281" width="25.88671875" style="263" bestFit="1" customWidth="1"/>
    <col min="10282" max="10497" width="8.88671875" style="263"/>
    <col min="10498" max="10498" width="90.44140625" style="263" customWidth="1"/>
    <col min="10499" max="10519" width="11.5546875" style="263" customWidth="1"/>
    <col min="10520" max="10520" width="13.5546875" style="263" customWidth="1"/>
    <col min="10521" max="10521" width="11.5546875" style="263" customWidth="1"/>
    <col min="10522" max="10522" width="12.109375" style="263" customWidth="1"/>
    <col min="10523" max="10525" width="11.5546875" style="263" customWidth="1"/>
    <col min="10526" max="10526" width="12.33203125" style="263" customWidth="1"/>
    <col min="10527" max="10527" width="13.33203125" style="263" customWidth="1"/>
    <col min="10528" max="10528" width="16.5546875" style="263" customWidth="1"/>
    <col min="10529" max="10529" width="17.44140625" style="263" customWidth="1"/>
    <col min="10530" max="10530" width="14.6640625" style="263" customWidth="1"/>
    <col min="10531" max="10533" width="14.5546875" style="263" customWidth="1"/>
    <col min="10534" max="10534" width="20" style="263" bestFit="1" customWidth="1"/>
    <col min="10535" max="10535" width="20.88671875" style="263" customWidth="1"/>
    <col min="10536" max="10536" width="99" style="263" bestFit="1" customWidth="1"/>
    <col min="10537" max="10537" width="25.88671875" style="263" bestFit="1" customWidth="1"/>
    <col min="10538" max="10753" width="8.88671875" style="263"/>
    <col min="10754" max="10754" width="90.44140625" style="263" customWidth="1"/>
    <col min="10755" max="10775" width="11.5546875" style="263" customWidth="1"/>
    <col min="10776" max="10776" width="13.5546875" style="263" customWidth="1"/>
    <col min="10777" max="10777" width="11.5546875" style="263" customWidth="1"/>
    <col min="10778" max="10778" width="12.109375" style="263" customWidth="1"/>
    <col min="10779" max="10781" width="11.5546875" style="263" customWidth="1"/>
    <col min="10782" max="10782" width="12.33203125" style="263" customWidth="1"/>
    <col min="10783" max="10783" width="13.33203125" style="263" customWidth="1"/>
    <col min="10784" max="10784" width="16.5546875" style="263" customWidth="1"/>
    <col min="10785" max="10785" width="17.44140625" style="263" customWidth="1"/>
    <col min="10786" max="10786" width="14.6640625" style="263" customWidth="1"/>
    <col min="10787" max="10789" width="14.5546875" style="263" customWidth="1"/>
    <col min="10790" max="10790" width="20" style="263" bestFit="1" customWidth="1"/>
    <col min="10791" max="10791" width="20.88671875" style="263" customWidth="1"/>
    <col min="10792" max="10792" width="99" style="263" bestFit="1" customWidth="1"/>
    <col min="10793" max="10793" width="25.88671875" style="263" bestFit="1" customWidth="1"/>
    <col min="10794" max="11009" width="8.88671875" style="263"/>
    <col min="11010" max="11010" width="90.44140625" style="263" customWidth="1"/>
    <col min="11011" max="11031" width="11.5546875" style="263" customWidth="1"/>
    <col min="11032" max="11032" width="13.5546875" style="263" customWidth="1"/>
    <col min="11033" max="11033" width="11.5546875" style="263" customWidth="1"/>
    <col min="11034" max="11034" width="12.109375" style="263" customWidth="1"/>
    <col min="11035" max="11037" width="11.5546875" style="263" customWidth="1"/>
    <col min="11038" max="11038" width="12.33203125" style="263" customWidth="1"/>
    <col min="11039" max="11039" width="13.33203125" style="263" customWidth="1"/>
    <col min="11040" max="11040" width="16.5546875" style="263" customWidth="1"/>
    <col min="11041" max="11041" width="17.44140625" style="263" customWidth="1"/>
    <col min="11042" max="11042" width="14.6640625" style="263" customWidth="1"/>
    <col min="11043" max="11045" width="14.5546875" style="263" customWidth="1"/>
    <col min="11046" max="11046" width="20" style="263" bestFit="1" customWidth="1"/>
    <col min="11047" max="11047" width="20.88671875" style="263" customWidth="1"/>
    <col min="11048" max="11048" width="99" style="263" bestFit="1" customWidth="1"/>
    <col min="11049" max="11049" width="25.88671875" style="263" bestFit="1" customWidth="1"/>
    <col min="11050" max="11265" width="8.88671875" style="263"/>
    <col min="11266" max="11266" width="90.44140625" style="263" customWidth="1"/>
    <col min="11267" max="11287" width="11.5546875" style="263" customWidth="1"/>
    <col min="11288" max="11288" width="13.5546875" style="263" customWidth="1"/>
    <col min="11289" max="11289" width="11.5546875" style="263" customWidth="1"/>
    <col min="11290" max="11290" width="12.109375" style="263" customWidth="1"/>
    <col min="11291" max="11293" width="11.5546875" style="263" customWidth="1"/>
    <col min="11294" max="11294" width="12.33203125" style="263" customWidth="1"/>
    <col min="11295" max="11295" width="13.33203125" style="263" customWidth="1"/>
    <col min="11296" max="11296" width="16.5546875" style="263" customWidth="1"/>
    <col min="11297" max="11297" width="17.44140625" style="263" customWidth="1"/>
    <col min="11298" max="11298" width="14.6640625" style="263" customWidth="1"/>
    <col min="11299" max="11301" width="14.5546875" style="263" customWidth="1"/>
    <col min="11302" max="11302" width="20" style="263" bestFit="1" customWidth="1"/>
    <col min="11303" max="11303" width="20.88671875" style="263" customWidth="1"/>
    <col min="11304" max="11304" width="99" style="263" bestFit="1" customWidth="1"/>
    <col min="11305" max="11305" width="25.88671875" style="263" bestFit="1" customWidth="1"/>
    <col min="11306" max="11521" width="8.88671875" style="263"/>
    <col min="11522" max="11522" width="90.44140625" style="263" customWidth="1"/>
    <col min="11523" max="11543" width="11.5546875" style="263" customWidth="1"/>
    <col min="11544" max="11544" width="13.5546875" style="263" customWidth="1"/>
    <col min="11545" max="11545" width="11.5546875" style="263" customWidth="1"/>
    <col min="11546" max="11546" width="12.109375" style="263" customWidth="1"/>
    <col min="11547" max="11549" width="11.5546875" style="263" customWidth="1"/>
    <col min="11550" max="11550" width="12.33203125" style="263" customWidth="1"/>
    <col min="11551" max="11551" width="13.33203125" style="263" customWidth="1"/>
    <col min="11552" max="11552" width="16.5546875" style="263" customWidth="1"/>
    <col min="11553" max="11553" width="17.44140625" style="263" customWidth="1"/>
    <col min="11554" max="11554" width="14.6640625" style="263" customWidth="1"/>
    <col min="11555" max="11557" width="14.5546875" style="263" customWidth="1"/>
    <col min="11558" max="11558" width="20" style="263" bestFit="1" customWidth="1"/>
    <col min="11559" max="11559" width="20.88671875" style="263" customWidth="1"/>
    <col min="11560" max="11560" width="99" style="263" bestFit="1" customWidth="1"/>
    <col min="11561" max="11561" width="25.88671875" style="263" bestFit="1" customWidth="1"/>
    <col min="11562" max="11777" width="8.88671875" style="263"/>
    <col min="11778" max="11778" width="90.44140625" style="263" customWidth="1"/>
    <col min="11779" max="11799" width="11.5546875" style="263" customWidth="1"/>
    <col min="11800" max="11800" width="13.5546875" style="263" customWidth="1"/>
    <col min="11801" max="11801" width="11.5546875" style="263" customWidth="1"/>
    <col min="11802" max="11802" width="12.109375" style="263" customWidth="1"/>
    <col min="11803" max="11805" width="11.5546875" style="263" customWidth="1"/>
    <col min="11806" max="11806" width="12.33203125" style="263" customWidth="1"/>
    <col min="11807" max="11807" width="13.33203125" style="263" customWidth="1"/>
    <col min="11808" max="11808" width="16.5546875" style="263" customWidth="1"/>
    <col min="11809" max="11809" width="17.44140625" style="263" customWidth="1"/>
    <col min="11810" max="11810" width="14.6640625" style="263" customWidth="1"/>
    <col min="11811" max="11813" width="14.5546875" style="263" customWidth="1"/>
    <col min="11814" max="11814" width="20" style="263" bestFit="1" customWidth="1"/>
    <col min="11815" max="11815" width="20.88671875" style="263" customWidth="1"/>
    <col min="11816" max="11816" width="99" style="263" bestFit="1" customWidth="1"/>
    <col min="11817" max="11817" width="25.88671875" style="263" bestFit="1" customWidth="1"/>
    <col min="11818" max="12033" width="8.88671875" style="263"/>
    <col min="12034" max="12034" width="90.44140625" style="263" customWidth="1"/>
    <col min="12035" max="12055" width="11.5546875" style="263" customWidth="1"/>
    <col min="12056" max="12056" width="13.5546875" style="263" customWidth="1"/>
    <col min="12057" max="12057" width="11.5546875" style="263" customWidth="1"/>
    <col min="12058" max="12058" width="12.109375" style="263" customWidth="1"/>
    <col min="12059" max="12061" width="11.5546875" style="263" customWidth="1"/>
    <col min="12062" max="12062" width="12.33203125" style="263" customWidth="1"/>
    <col min="12063" max="12063" width="13.33203125" style="263" customWidth="1"/>
    <col min="12064" max="12064" width="16.5546875" style="263" customWidth="1"/>
    <col min="12065" max="12065" width="17.44140625" style="263" customWidth="1"/>
    <col min="12066" max="12066" width="14.6640625" style="263" customWidth="1"/>
    <col min="12067" max="12069" width="14.5546875" style="263" customWidth="1"/>
    <col min="12070" max="12070" width="20" style="263" bestFit="1" customWidth="1"/>
    <col min="12071" max="12071" width="20.88671875" style="263" customWidth="1"/>
    <col min="12072" max="12072" width="99" style="263" bestFit="1" customWidth="1"/>
    <col min="12073" max="12073" width="25.88671875" style="263" bestFit="1" customWidth="1"/>
    <col min="12074" max="12289" width="8.88671875" style="263"/>
    <col min="12290" max="12290" width="90.44140625" style="263" customWidth="1"/>
    <col min="12291" max="12311" width="11.5546875" style="263" customWidth="1"/>
    <col min="12312" max="12312" width="13.5546875" style="263" customWidth="1"/>
    <col min="12313" max="12313" width="11.5546875" style="263" customWidth="1"/>
    <col min="12314" max="12314" width="12.109375" style="263" customWidth="1"/>
    <col min="12315" max="12317" width="11.5546875" style="263" customWidth="1"/>
    <col min="12318" max="12318" width="12.33203125" style="263" customWidth="1"/>
    <col min="12319" max="12319" width="13.33203125" style="263" customWidth="1"/>
    <col min="12320" max="12320" width="16.5546875" style="263" customWidth="1"/>
    <col min="12321" max="12321" width="17.44140625" style="263" customWidth="1"/>
    <col min="12322" max="12322" width="14.6640625" style="263" customWidth="1"/>
    <col min="12323" max="12325" width="14.5546875" style="263" customWidth="1"/>
    <col min="12326" max="12326" width="20" style="263" bestFit="1" customWidth="1"/>
    <col min="12327" max="12327" width="20.88671875" style="263" customWidth="1"/>
    <col min="12328" max="12328" width="99" style="263" bestFit="1" customWidth="1"/>
    <col min="12329" max="12329" width="25.88671875" style="263" bestFit="1" customWidth="1"/>
    <col min="12330" max="12545" width="8.88671875" style="263"/>
    <col min="12546" max="12546" width="90.44140625" style="263" customWidth="1"/>
    <col min="12547" max="12567" width="11.5546875" style="263" customWidth="1"/>
    <col min="12568" max="12568" width="13.5546875" style="263" customWidth="1"/>
    <col min="12569" max="12569" width="11.5546875" style="263" customWidth="1"/>
    <col min="12570" max="12570" width="12.109375" style="263" customWidth="1"/>
    <col min="12571" max="12573" width="11.5546875" style="263" customWidth="1"/>
    <col min="12574" max="12574" width="12.33203125" style="263" customWidth="1"/>
    <col min="12575" max="12575" width="13.33203125" style="263" customWidth="1"/>
    <col min="12576" max="12576" width="16.5546875" style="263" customWidth="1"/>
    <col min="12577" max="12577" width="17.44140625" style="263" customWidth="1"/>
    <col min="12578" max="12578" width="14.6640625" style="263" customWidth="1"/>
    <col min="12579" max="12581" width="14.5546875" style="263" customWidth="1"/>
    <col min="12582" max="12582" width="20" style="263" bestFit="1" customWidth="1"/>
    <col min="12583" max="12583" width="20.88671875" style="263" customWidth="1"/>
    <col min="12584" max="12584" width="99" style="263" bestFit="1" customWidth="1"/>
    <col min="12585" max="12585" width="25.88671875" style="263" bestFit="1" customWidth="1"/>
    <col min="12586" max="12801" width="8.88671875" style="263"/>
    <col min="12802" max="12802" width="90.44140625" style="263" customWidth="1"/>
    <col min="12803" max="12823" width="11.5546875" style="263" customWidth="1"/>
    <col min="12824" max="12824" width="13.5546875" style="263" customWidth="1"/>
    <col min="12825" max="12825" width="11.5546875" style="263" customWidth="1"/>
    <col min="12826" max="12826" width="12.109375" style="263" customWidth="1"/>
    <col min="12827" max="12829" width="11.5546875" style="263" customWidth="1"/>
    <col min="12830" max="12830" width="12.33203125" style="263" customWidth="1"/>
    <col min="12831" max="12831" width="13.33203125" style="263" customWidth="1"/>
    <col min="12832" max="12832" width="16.5546875" style="263" customWidth="1"/>
    <col min="12833" max="12833" width="17.44140625" style="263" customWidth="1"/>
    <col min="12834" max="12834" width="14.6640625" style="263" customWidth="1"/>
    <col min="12835" max="12837" width="14.5546875" style="263" customWidth="1"/>
    <col min="12838" max="12838" width="20" style="263" bestFit="1" customWidth="1"/>
    <col min="12839" max="12839" width="20.88671875" style="263" customWidth="1"/>
    <col min="12840" max="12840" width="99" style="263" bestFit="1" customWidth="1"/>
    <col min="12841" max="12841" width="25.88671875" style="263" bestFit="1" customWidth="1"/>
    <col min="12842" max="13057" width="8.88671875" style="263"/>
    <col min="13058" max="13058" width="90.44140625" style="263" customWidth="1"/>
    <col min="13059" max="13079" width="11.5546875" style="263" customWidth="1"/>
    <col min="13080" max="13080" width="13.5546875" style="263" customWidth="1"/>
    <col min="13081" max="13081" width="11.5546875" style="263" customWidth="1"/>
    <col min="13082" max="13082" width="12.109375" style="263" customWidth="1"/>
    <col min="13083" max="13085" width="11.5546875" style="263" customWidth="1"/>
    <col min="13086" max="13086" width="12.33203125" style="263" customWidth="1"/>
    <col min="13087" max="13087" width="13.33203125" style="263" customWidth="1"/>
    <col min="13088" max="13088" width="16.5546875" style="263" customWidth="1"/>
    <col min="13089" max="13089" width="17.44140625" style="263" customWidth="1"/>
    <col min="13090" max="13090" width="14.6640625" style="263" customWidth="1"/>
    <col min="13091" max="13093" width="14.5546875" style="263" customWidth="1"/>
    <col min="13094" max="13094" width="20" style="263" bestFit="1" customWidth="1"/>
    <col min="13095" max="13095" width="20.88671875" style="263" customWidth="1"/>
    <col min="13096" max="13096" width="99" style="263" bestFit="1" customWidth="1"/>
    <col min="13097" max="13097" width="25.88671875" style="263" bestFit="1" customWidth="1"/>
    <col min="13098" max="13313" width="8.88671875" style="263"/>
    <col min="13314" max="13314" width="90.44140625" style="263" customWidth="1"/>
    <col min="13315" max="13335" width="11.5546875" style="263" customWidth="1"/>
    <col min="13336" max="13336" width="13.5546875" style="263" customWidth="1"/>
    <col min="13337" max="13337" width="11.5546875" style="263" customWidth="1"/>
    <col min="13338" max="13338" width="12.109375" style="263" customWidth="1"/>
    <col min="13339" max="13341" width="11.5546875" style="263" customWidth="1"/>
    <col min="13342" max="13342" width="12.33203125" style="263" customWidth="1"/>
    <col min="13343" max="13343" width="13.33203125" style="263" customWidth="1"/>
    <col min="13344" max="13344" width="16.5546875" style="263" customWidth="1"/>
    <col min="13345" max="13345" width="17.44140625" style="263" customWidth="1"/>
    <col min="13346" max="13346" width="14.6640625" style="263" customWidth="1"/>
    <col min="13347" max="13349" width="14.5546875" style="263" customWidth="1"/>
    <col min="13350" max="13350" width="20" style="263" bestFit="1" customWidth="1"/>
    <col min="13351" max="13351" width="20.88671875" style="263" customWidth="1"/>
    <col min="13352" max="13352" width="99" style="263" bestFit="1" customWidth="1"/>
    <col min="13353" max="13353" width="25.88671875" style="263" bestFit="1" customWidth="1"/>
    <col min="13354" max="13569" width="8.88671875" style="263"/>
    <col min="13570" max="13570" width="90.44140625" style="263" customWidth="1"/>
    <col min="13571" max="13591" width="11.5546875" style="263" customWidth="1"/>
    <col min="13592" max="13592" width="13.5546875" style="263" customWidth="1"/>
    <col min="13593" max="13593" width="11.5546875" style="263" customWidth="1"/>
    <col min="13594" max="13594" width="12.109375" style="263" customWidth="1"/>
    <col min="13595" max="13597" width="11.5546875" style="263" customWidth="1"/>
    <col min="13598" max="13598" width="12.33203125" style="263" customWidth="1"/>
    <col min="13599" max="13599" width="13.33203125" style="263" customWidth="1"/>
    <col min="13600" max="13600" width="16.5546875" style="263" customWidth="1"/>
    <col min="13601" max="13601" width="17.44140625" style="263" customWidth="1"/>
    <col min="13602" max="13602" width="14.6640625" style="263" customWidth="1"/>
    <col min="13603" max="13605" width="14.5546875" style="263" customWidth="1"/>
    <col min="13606" max="13606" width="20" style="263" bestFit="1" customWidth="1"/>
    <col min="13607" max="13607" width="20.88671875" style="263" customWidth="1"/>
    <col min="13608" max="13608" width="99" style="263" bestFit="1" customWidth="1"/>
    <col min="13609" max="13609" width="25.88671875" style="263" bestFit="1" customWidth="1"/>
    <col min="13610" max="13825" width="8.88671875" style="263"/>
    <col min="13826" max="13826" width="90.44140625" style="263" customWidth="1"/>
    <col min="13827" max="13847" width="11.5546875" style="263" customWidth="1"/>
    <col min="13848" max="13848" width="13.5546875" style="263" customWidth="1"/>
    <col min="13849" max="13849" width="11.5546875" style="263" customWidth="1"/>
    <col min="13850" max="13850" width="12.109375" style="263" customWidth="1"/>
    <col min="13851" max="13853" width="11.5546875" style="263" customWidth="1"/>
    <col min="13854" max="13854" width="12.33203125" style="263" customWidth="1"/>
    <col min="13855" max="13855" width="13.33203125" style="263" customWidth="1"/>
    <col min="13856" max="13856" width="16.5546875" style="263" customWidth="1"/>
    <col min="13857" max="13857" width="17.44140625" style="263" customWidth="1"/>
    <col min="13858" max="13858" width="14.6640625" style="263" customWidth="1"/>
    <col min="13859" max="13861" width="14.5546875" style="263" customWidth="1"/>
    <col min="13862" max="13862" width="20" style="263" bestFit="1" customWidth="1"/>
    <col min="13863" max="13863" width="20.88671875" style="263" customWidth="1"/>
    <col min="13864" max="13864" width="99" style="263" bestFit="1" customWidth="1"/>
    <col min="13865" max="13865" width="25.88671875" style="263" bestFit="1" customWidth="1"/>
    <col min="13866" max="14081" width="8.88671875" style="263"/>
    <col min="14082" max="14082" width="90.44140625" style="263" customWidth="1"/>
    <col min="14083" max="14103" width="11.5546875" style="263" customWidth="1"/>
    <col min="14104" max="14104" width="13.5546875" style="263" customWidth="1"/>
    <col min="14105" max="14105" width="11.5546875" style="263" customWidth="1"/>
    <col min="14106" max="14106" width="12.109375" style="263" customWidth="1"/>
    <col min="14107" max="14109" width="11.5546875" style="263" customWidth="1"/>
    <col min="14110" max="14110" width="12.33203125" style="263" customWidth="1"/>
    <col min="14111" max="14111" width="13.33203125" style="263" customWidth="1"/>
    <col min="14112" max="14112" width="16.5546875" style="263" customWidth="1"/>
    <col min="14113" max="14113" width="17.44140625" style="263" customWidth="1"/>
    <col min="14114" max="14114" width="14.6640625" style="263" customWidth="1"/>
    <col min="14115" max="14117" width="14.5546875" style="263" customWidth="1"/>
    <col min="14118" max="14118" width="20" style="263" bestFit="1" customWidth="1"/>
    <col min="14119" max="14119" width="20.88671875" style="263" customWidth="1"/>
    <col min="14120" max="14120" width="99" style="263" bestFit="1" customWidth="1"/>
    <col min="14121" max="14121" width="25.88671875" style="263" bestFit="1" customWidth="1"/>
    <col min="14122" max="14337" width="8.88671875" style="263"/>
    <col min="14338" max="14338" width="90.44140625" style="263" customWidth="1"/>
    <col min="14339" max="14359" width="11.5546875" style="263" customWidth="1"/>
    <col min="14360" max="14360" width="13.5546875" style="263" customWidth="1"/>
    <col min="14361" max="14361" width="11.5546875" style="263" customWidth="1"/>
    <col min="14362" max="14362" width="12.109375" style="263" customWidth="1"/>
    <col min="14363" max="14365" width="11.5546875" style="263" customWidth="1"/>
    <col min="14366" max="14366" width="12.33203125" style="263" customWidth="1"/>
    <col min="14367" max="14367" width="13.33203125" style="263" customWidth="1"/>
    <col min="14368" max="14368" width="16.5546875" style="263" customWidth="1"/>
    <col min="14369" max="14369" width="17.44140625" style="263" customWidth="1"/>
    <col min="14370" max="14370" width="14.6640625" style="263" customWidth="1"/>
    <col min="14371" max="14373" width="14.5546875" style="263" customWidth="1"/>
    <col min="14374" max="14374" width="20" style="263" bestFit="1" customWidth="1"/>
    <col min="14375" max="14375" width="20.88671875" style="263" customWidth="1"/>
    <col min="14376" max="14376" width="99" style="263" bestFit="1" customWidth="1"/>
    <col min="14377" max="14377" width="25.88671875" style="263" bestFit="1" customWidth="1"/>
    <col min="14378" max="14593" width="8.88671875" style="263"/>
    <col min="14594" max="14594" width="90.44140625" style="263" customWidth="1"/>
    <col min="14595" max="14615" width="11.5546875" style="263" customWidth="1"/>
    <col min="14616" max="14616" width="13.5546875" style="263" customWidth="1"/>
    <col min="14617" max="14617" width="11.5546875" style="263" customWidth="1"/>
    <col min="14618" max="14618" width="12.109375" style="263" customWidth="1"/>
    <col min="14619" max="14621" width="11.5546875" style="263" customWidth="1"/>
    <col min="14622" max="14622" width="12.33203125" style="263" customWidth="1"/>
    <col min="14623" max="14623" width="13.33203125" style="263" customWidth="1"/>
    <col min="14624" max="14624" width="16.5546875" style="263" customWidth="1"/>
    <col min="14625" max="14625" width="17.44140625" style="263" customWidth="1"/>
    <col min="14626" max="14626" width="14.6640625" style="263" customWidth="1"/>
    <col min="14627" max="14629" width="14.5546875" style="263" customWidth="1"/>
    <col min="14630" max="14630" width="20" style="263" bestFit="1" customWidth="1"/>
    <col min="14631" max="14631" width="20.88671875" style="263" customWidth="1"/>
    <col min="14632" max="14632" width="99" style="263" bestFit="1" customWidth="1"/>
    <col min="14633" max="14633" width="25.88671875" style="263" bestFit="1" customWidth="1"/>
    <col min="14634" max="14849" width="8.88671875" style="263"/>
    <col min="14850" max="14850" width="90.44140625" style="263" customWidth="1"/>
    <col min="14851" max="14871" width="11.5546875" style="263" customWidth="1"/>
    <col min="14872" max="14872" width="13.5546875" style="263" customWidth="1"/>
    <col min="14873" max="14873" width="11.5546875" style="263" customWidth="1"/>
    <col min="14874" max="14874" width="12.109375" style="263" customWidth="1"/>
    <col min="14875" max="14877" width="11.5546875" style="263" customWidth="1"/>
    <col min="14878" max="14878" width="12.33203125" style="263" customWidth="1"/>
    <col min="14879" max="14879" width="13.33203125" style="263" customWidth="1"/>
    <col min="14880" max="14880" width="16.5546875" style="263" customWidth="1"/>
    <col min="14881" max="14881" width="17.44140625" style="263" customWidth="1"/>
    <col min="14882" max="14882" width="14.6640625" style="263" customWidth="1"/>
    <col min="14883" max="14885" width="14.5546875" style="263" customWidth="1"/>
    <col min="14886" max="14886" width="20" style="263" bestFit="1" customWidth="1"/>
    <col min="14887" max="14887" width="20.88671875" style="263" customWidth="1"/>
    <col min="14888" max="14888" width="99" style="263" bestFit="1" customWidth="1"/>
    <col min="14889" max="14889" width="25.88671875" style="263" bestFit="1" customWidth="1"/>
    <col min="14890" max="15105" width="8.88671875" style="263"/>
    <col min="15106" max="15106" width="90.44140625" style="263" customWidth="1"/>
    <col min="15107" max="15127" width="11.5546875" style="263" customWidth="1"/>
    <col min="15128" max="15128" width="13.5546875" style="263" customWidth="1"/>
    <col min="15129" max="15129" width="11.5546875" style="263" customWidth="1"/>
    <col min="15130" max="15130" width="12.109375" style="263" customWidth="1"/>
    <col min="15131" max="15133" width="11.5546875" style="263" customWidth="1"/>
    <col min="15134" max="15134" width="12.33203125" style="263" customWidth="1"/>
    <col min="15135" max="15135" width="13.33203125" style="263" customWidth="1"/>
    <col min="15136" max="15136" width="16.5546875" style="263" customWidth="1"/>
    <col min="15137" max="15137" width="17.44140625" style="263" customWidth="1"/>
    <col min="15138" max="15138" width="14.6640625" style="263" customWidth="1"/>
    <col min="15139" max="15141" width="14.5546875" style="263" customWidth="1"/>
    <col min="15142" max="15142" width="20" style="263" bestFit="1" customWidth="1"/>
    <col min="15143" max="15143" width="20.88671875" style="263" customWidth="1"/>
    <col min="15144" max="15144" width="99" style="263" bestFit="1" customWidth="1"/>
    <col min="15145" max="15145" width="25.88671875" style="263" bestFit="1" customWidth="1"/>
    <col min="15146" max="15361" width="8.88671875" style="263"/>
    <col min="15362" max="15362" width="90.44140625" style="263" customWidth="1"/>
    <col min="15363" max="15383" width="11.5546875" style="263" customWidth="1"/>
    <col min="15384" max="15384" width="13.5546875" style="263" customWidth="1"/>
    <col min="15385" max="15385" width="11.5546875" style="263" customWidth="1"/>
    <col min="15386" max="15386" width="12.109375" style="263" customWidth="1"/>
    <col min="15387" max="15389" width="11.5546875" style="263" customWidth="1"/>
    <col min="15390" max="15390" width="12.33203125" style="263" customWidth="1"/>
    <col min="15391" max="15391" width="13.33203125" style="263" customWidth="1"/>
    <col min="15392" max="15392" width="16.5546875" style="263" customWidth="1"/>
    <col min="15393" max="15393" width="17.44140625" style="263" customWidth="1"/>
    <col min="15394" max="15394" width="14.6640625" style="263" customWidth="1"/>
    <col min="15395" max="15397" width="14.5546875" style="263" customWidth="1"/>
    <col min="15398" max="15398" width="20" style="263" bestFit="1" customWidth="1"/>
    <col min="15399" max="15399" width="20.88671875" style="263" customWidth="1"/>
    <col min="15400" max="15400" width="99" style="263" bestFit="1" customWidth="1"/>
    <col min="15401" max="15401" width="25.88671875" style="263" bestFit="1" customWidth="1"/>
    <col min="15402" max="15617" width="8.88671875" style="263"/>
    <col min="15618" max="15618" width="90.44140625" style="263" customWidth="1"/>
    <col min="15619" max="15639" width="11.5546875" style="263" customWidth="1"/>
    <col min="15640" max="15640" width="13.5546875" style="263" customWidth="1"/>
    <col min="15641" max="15641" width="11.5546875" style="263" customWidth="1"/>
    <col min="15642" max="15642" width="12.109375" style="263" customWidth="1"/>
    <col min="15643" max="15645" width="11.5546875" style="263" customWidth="1"/>
    <col min="15646" max="15646" width="12.33203125" style="263" customWidth="1"/>
    <col min="15647" max="15647" width="13.33203125" style="263" customWidth="1"/>
    <col min="15648" max="15648" width="16.5546875" style="263" customWidth="1"/>
    <col min="15649" max="15649" width="17.44140625" style="263" customWidth="1"/>
    <col min="15650" max="15650" width="14.6640625" style="263" customWidth="1"/>
    <col min="15651" max="15653" width="14.5546875" style="263" customWidth="1"/>
    <col min="15654" max="15654" width="20" style="263" bestFit="1" customWidth="1"/>
    <col min="15655" max="15655" width="20.88671875" style="263" customWidth="1"/>
    <col min="15656" max="15656" width="99" style="263" bestFit="1" customWidth="1"/>
    <col min="15657" max="15657" width="25.88671875" style="263" bestFit="1" customWidth="1"/>
    <col min="15658" max="15873" width="8.88671875" style="263"/>
    <col min="15874" max="15874" width="90.44140625" style="263" customWidth="1"/>
    <col min="15875" max="15895" width="11.5546875" style="263" customWidth="1"/>
    <col min="15896" max="15896" width="13.5546875" style="263" customWidth="1"/>
    <col min="15897" max="15897" width="11.5546875" style="263" customWidth="1"/>
    <col min="15898" max="15898" width="12.109375" style="263" customWidth="1"/>
    <col min="15899" max="15901" width="11.5546875" style="263" customWidth="1"/>
    <col min="15902" max="15902" width="12.33203125" style="263" customWidth="1"/>
    <col min="15903" max="15903" width="13.33203125" style="263" customWidth="1"/>
    <col min="15904" max="15904" width="16.5546875" style="263" customWidth="1"/>
    <col min="15905" max="15905" width="17.44140625" style="263" customWidth="1"/>
    <col min="15906" max="15906" width="14.6640625" style="263" customWidth="1"/>
    <col min="15907" max="15909" width="14.5546875" style="263" customWidth="1"/>
    <col min="15910" max="15910" width="20" style="263" bestFit="1" customWidth="1"/>
    <col min="15911" max="15911" width="20.88671875" style="263" customWidth="1"/>
    <col min="15912" max="15912" width="99" style="263" bestFit="1" customWidth="1"/>
    <col min="15913" max="15913" width="25.88671875" style="263" bestFit="1" customWidth="1"/>
    <col min="15914" max="16129" width="8.88671875" style="263"/>
    <col min="16130" max="16130" width="90.44140625" style="263" customWidth="1"/>
    <col min="16131" max="16151" width="11.5546875" style="263" customWidth="1"/>
    <col min="16152" max="16152" width="13.5546875" style="263" customWidth="1"/>
    <col min="16153" max="16153" width="11.5546875" style="263" customWidth="1"/>
    <col min="16154" max="16154" width="12.109375" style="263" customWidth="1"/>
    <col min="16155" max="16157" width="11.5546875" style="263" customWidth="1"/>
    <col min="16158" max="16158" width="12.33203125" style="263" customWidth="1"/>
    <col min="16159" max="16159" width="13.33203125" style="263" customWidth="1"/>
    <col min="16160" max="16160" width="16.5546875" style="263" customWidth="1"/>
    <col min="16161" max="16161" width="17.44140625" style="263" customWidth="1"/>
    <col min="16162" max="16162" width="14.6640625" style="263" customWidth="1"/>
    <col min="16163" max="16165" width="14.5546875" style="263" customWidth="1"/>
    <col min="16166" max="16166" width="20" style="263" bestFit="1" customWidth="1"/>
    <col min="16167" max="16167" width="20.88671875" style="263" customWidth="1"/>
    <col min="16168" max="16168" width="99" style="263" bestFit="1" customWidth="1"/>
    <col min="16169" max="16169" width="25.88671875" style="263" bestFit="1" customWidth="1"/>
    <col min="16170" max="16384" width="8.88671875" style="263"/>
  </cols>
  <sheetData>
    <row r="1" spans="1:254" ht="25.2" thickBot="1">
      <c r="A1" s="401" t="s">
        <v>399</v>
      </c>
      <c r="B1" s="401"/>
      <c r="C1" s="401"/>
      <c r="D1" s="401"/>
      <c r="E1" s="401"/>
      <c r="F1" s="401"/>
      <c r="G1" s="401"/>
      <c r="H1" s="401"/>
      <c r="I1" s="401"/>
      <c r="J1" s="401"/>
      <c r="K1" s="401"/>
      <c r="L1" s="401"/>
      <c r="M1" s="401"/>
      <c r="N1" s="401"/>
      <c r="O1" s="401"/>
      <c r="P1" s="401"/>
      <c r="Q1" s="402"/>
      <c r="R1" s="402"/>
      <c r="S1" s="402"/>
      <c r="T1" s="402"/>
      <c r="U1" s="402"/>
      <c r="V1" s="402"/>
      <c r="W1" s="402"/>
      <c r="X1" s="402"/>
      <c r="Y1" s="402"/>
      <c r="Z1" s="402"/>
      <c r="AA1" s="260"/>
      <c r="AB1" s="260"/>
    </row>
    <row r="2" spans="1:254" s="272" customFormat="1" ht="34.200000000000003" thickBot="1">
      <c r="A2" s="266" t="s">
        <v>345</v>
      </c>
      <c r="B2" s="267" t="s">
        <v>346</v>
      </c>
      <c r="C2" s="267" t="s">
        <v>347</v>
      </c>
      <c r="D2" s="267" t="s">
        <v>348</v>
      </c>
      <c r="E2" s="267" t="s">
        <v>349</v>
      </c>
      <c r="F2" s="267" t="s">
        <v>350</v>
      </c>
      <c r="G2" s="267" t="s">
        <v>351</v>
      </c>
      <c r="H2" s="267" t="s">
        <v>352</v>
      </c>
      <c r="I2" s="267" t="s">
        <v>353</v>
      </c>
      <c r="J2" s="267" t="s">
        <v>354</v>
      </c>
      <c r="K2" s="267" t="s">
        <v>355</v>
      </c>
      <c r="L2" s="267" t="s">
        <v>356</v>
      </c>
      <c r="M2" s="267" t="s">
        <v>357</v>
      </c>
      <c r="N2" s="268">
        <v>1992</v>
      </c>
      <c r="O2" s="268">
        <v>1993</v>
      </c>
      <c r="P2" s="269">
        <v>1994</v>
      </c>
      <c r="Q2" s="269">
        <v>1995</v>
      </c>
      <c r="R2" s="269">
        <v>1996</v>
      </c>
      <c r="S2" s="269">
        <v>1997</v>
      </c>
      <c r="T2" s="269">
        <v>1998</v>
      </c>
      <c r="U2" s="269">
        <v>1999</v>
      </c>
      <c r="V2" s="269">
        <v>2000</v>
      </c>
      <c r="W2" s="269">
        <v>2001</v>
      </c>
      <c r="X2" s="269">
        <v>2002</v>
      </c>
      <c r="Y2" s="269">
        <v>2003</v>
      </c>
      <c r="Z2" s="269">
        <v>2004</v>
      </c>
      <c r="AA2" s="269">
        <v>2005</v>
      </c>
      <c r="AB2" s="270">
        <v>2006</v>
      </c>
      <c r="AC2" s="270">
        <v>2007</v>
      </c>
      <c r="AD2" s="270">
        <v>2008</v>
      </c>
      <c r="AE2" s="270">
        <v>2009</v>
      </c>
      <c r="AF2" s="270">
        <v>2010</v>
      </c>
      <c r="AG2" s="270">
        <v>2011</v>
      </c>
      <c r="AH2" s="270">
        <v>2012</v>
      </c>
      <c r="AI2" s="270">
        <v>2013</v>
      </c>
      <c r="AJ2" s="270">
        <v>2014</v>
      </c>
      <c r="AK2" s="270">
        <v>2015</v>
      </c>
      <c r="AL2" s="270">
        <v>2016</v>
      </c>
      <c r="AM2" s="270">
        <v>2017</v>
      </c>
      <c r="AN2" s="270">
        <v>2018</v>
      </c>
      <c r="AO2" s="270">
        <v>2019</v>
      </c>
      <c r="AP2" s="270">
        <v>2020</v>
      </c>
      <c r="AQ2" s="270">
        <v>2021</v>
      </c>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1"/>
      <c r="DX2" s="271"/>
      <c r="DY2" s="271"/>
      <c r="DZ2" s="271"/>
      <c r="EA2" s="271"/>
      <c r="EB2" s="271"/>
      <c r="EC2" s="271"/>
      <c r="ED2" s="271"/>
      <c r="EE2" s="271"/>
      <c r="EF2" s="271"/>
      <c r="EG2" s="271"/>
      <c r="EH2" s="271"/>
      <c r="EI2" s="271"/>
      <c r="EJ2" s="271"/>
      <c r="EK2" s="271"/>
      <c r="EL2" s="271"/>
      <c r="EM2" s="271"/>
      <c r="EN2" s="271"/>
      <c r="EO2" s="271"/>
      <c r="EP2" s="271"/>
      <c r="EQ2" s="271"/>
      <c r="ER2" s="271"/>
      <c r="ES2" s="271"/>
      <c r="ET2" s="271"/>
      <c r="EU2" s="271"/>
      <c r="EV2" s="271"/>
      <c r="EW2" s="271"/>
      <c r="EX2" s="271"/>
      <c r="EY2" s="271"/>
      <c r="EZ2" s="271"/>
      <c r="FA2" s="271"/>
      <c r="FB2" s="271"/>
      <c r="FC2" s="271"/>
      <c r="FD2" s="271"/>
      <c r="FE2" s="271"/>
      <c r="FF2" s="271"/>
      <c r="FG2" s="271"/>
      <c r="FH2" s="271"/>
      <c r="FI2" s="271"/>
      <c r="FJ2" s="271"/>
      <c r="FK2" s="271"/>
      <c r="FL2" s="271"/>
      <c r="FM2" s="271"/>
      <c r="FN2" s="271"/>
      <c r="FO2" s="271"/>
      <c r="FP2" s="271"/>
      <c r="FQ2" s="271"/>
      <c r="FR2" s="271"/>
      <c r="FS2" s="271"/>
      <c r="FT2" s="271"/>
      <c r="FU2" s="271"/>
      <c r="FV2" s="271"/>
      <c r="FW2" s="271"/>
      <c r="FX2" s="271"/>
      <c r="FY2" s="271"/>
      <c r="FZ2" s="271"/>
      <c r="GA2" s="271"/>
      <c r="GB2" s="271"/>
      <c r="GC2" s="271"/>
      <c r="GD2" s="271"/>
      <c r="GE2" s="271"/>
      <c r="GF2" s="271"/>
      <c r="GG2" s="271"/>
      <c r="GH2" s="271"/>
      <c r="GI2" s="271"/>
      <c r="GJ2" s="271"/>
      <c r="GK2" s="271"/>
      <c r="GL2" s="271"/>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71"/>
      <c r="HN2" s="271"/>
      <c r="HO2" s="271"/>
      <c r="HP2" s="271"/>
      <c r="HQ2" s="271"/>
      <c r="HR2" s="271"/>
      <c r="HS2" s="271"/>
      <c r="HT2" s="271"/>
      <c r="HU2" s="271"/>
      <c r="HV2" s="271"/>
      <c r="HW2" s="271"/>
      <c r="HX2" s="271"/>
      <c r="HY2" s="271"/>
      <c r="HZ2" s="271"/>
      <c r="IA2" s="271"/>
      <c r="IB2" s="271"/>
      <c r="IC2" s="271"/>
      <c r="ID2" s="271"/>
      <c r="IE2" s="271"/>
      <c r="IF2" s="271"/>
      <c r="IG2" s="271"/>
      <c r="IH2" s="271"/>
      <c r="II2" s="271"/>
      <c r="IJ2" s="271"/>
      <c r="IK2" s="271"/>
      <c r="IL2" s="271"/>
      <c r="IM2" s="271"/>
      <c r="IN2" s="271"/>
      <c r="IO2" s="271"/>
      <c r="IP2" s="271"/>
      <c r="IQ2" s="271"/>
      <c r="IR2" s="271"/>
      <c r="IS2" s="271"/>
      <c r="IT2" s="271"/>
    </row>
    <row r="3" spans="1:254" s="279" customFormat="1" ht="18">
      <c r="A3" s="273" t="s">
        <v>380</v>
      </c>
      <c r="B3" s="274"/>
      <c r="C3" s="275"/>
      <c r="D3" s="275"/>
      <c r="E3" s="275"/>
      <c r="F3" s="275"/>
      <c r="G3" s="275"/>
      <c r="H3" s="275"/>
      <c r="I3" s="275"/>
      <c r="J3" s="275"/>
      <c r="K3" s="275"/>
      <c r="L3" s="275"/>
      <c r="M3" s="275"/>
      <c r="N3" s="275"/>
      <c r="O3" s="275"/>
      <c r="P3" s="276"/>
      <c r="Q3" s="276"/>
      <c r="R3" s="276"/>
      <c r="S3" s="276"/>
      <c r="T3" s="276"/>
      <c r="U3" s="276"/>
      <c r="V3" s="276"/>
      <c r="W3" s="276"/>
      <c r="X3" s="276"/>
      <c r="Y3" s="276"/>
      <c r="Z3" s="276"/>
      <c r="AA3" s="276"/>
      <c r="AB3" s="277"/>
      <c r="AC3" s="278"/>
      <c r="AD3" s="278"/>
      <c r="AE3" s="278"/>
      <c r="AF3" s="278"/>
      <c r="AG3" s="278"/>
      <c r="AH3" s="278"/>
      <c r="AI3" s="278"/>
      <c r="AJ3" s="278"/>
      <c r="AK3" s="278"/>
      <c r="AL3" s="278"/>
      <c r="AM3" s="278"/>
      <c r="AN3" s="278"/>
      <c r="AO3" s="278"/>
      <c r="AP3" s="278"/>
      <c r="AQ3" s="278"/>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71"/>
      <c r="EG3" s="271"/>
      <c r="EH3" s="271"/>
      <c r="EI3" s="271"/>
      <c r="EJ3" s="271"/>
      <c r="EK3" s="271"/>
      <c r="EL3" s="271"/>
      <c r="EM3" s="271"/>
      <c r="EN3" s="271"/>
      <c r="EO3" s="271"/>
      <c r="EP3" s="271"/>
      <c r="EQ3" s="271"/>
      <c r="ER3" s="271"/>
      <c r="ES3" s="271"/>
      <c r="ET3" s="271"/>
      <c r="EU3" s="271"/>
      <c r="EV3" s="271"/>
      <c r="EW3" s="271"/>
      <c r="EX3" s="271"/>
      <c r="EY3" s="271"/>
      <c r="EZ3" s="271"/>
      <c r="FA3" s="271"/>
      <c r="FB3" s="271"/>
      <c r="FC3" s="271"/>
      <c r="FD3" s="271"/>
      <c r="FE3" s="271"/>
      <c r="FF3" s="271"/>
      <c r="FG3" s="271"/>
      <c r="FH3" s="271"/>
      <c r="FI3" s="271"/>
      <c r="FJ3" s="271"/>
      <c r="FK3" s="271"/>
      <c r="FL3" s="271"/>
      <c r="FM3" s="271"/>
      <c r="FN3" s="271"/>
      <c r="FO3" s="271"/>
      <c r="FP3" s="271"/>
      <c r="FQ3" s="271"/>
      <c r="FR3" s="271"/>
      <c r="FS3" s="271"/>
      <c r="FT3" s="271"/>
      <c r="FU3" s="271"/>
      <c r="FV3" s="271"/>
      <c r="FW3" s="271"/>
      <c r="FX3" s="271"/>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71"/>
      <c r="HU3" s="271"/>
      <c r="HV3" s="271"/>
      <c r="HW3" s="271"/>
      <c r="HX3" s="271"/>
      <c r="HY3" s="271"/>
      <c r="HZ3" s="271"/>
      <c r="IA3" s="271"/>
      <c r="IB3" s="271"/>
      <c r="IC3" s="271"/>
      <c r="ID3" s="271"/>
      <c r="IE3" s="271"/>
      <c r="IF3" s="271"/>
      <c r="IG3" s="271"/>
      <c r="IH3" s="271"/>
      <c r="II3" s="271"/>
      <c r="IJ3" s="271"/>
      <c r="IK3" s="271"/>
      <c r="IL3" s="271"/>
      <c r="IM3" s="271"/>
      <c r="IN3" s="271"/>
      <c r="IO3" s="271"/>
      <c r="IP3" s="271"/>
      <c r="IQ3" s="271"/>
      <c r="IR3" s="271"/>
      <c r="IS3" s="271"/>
      <c r="IT3" s="271"/>
    </row>
    <row r="4" spans="1:254" s="279" customFormat="1" ht="16.2">
      <c r="A4" s="280" t="s">
        <v>358</v>
      </c>
      <c r="B4" s="281">
        <v>0</v>
      </c>
      <c r="C4" s="282">
        <v>0</v>
      </c>
      <c r="D4" s="282">
        <v>0</v>
      </c>
      <c r="E4" s="282">
        <v>0</v>
      </c>
      <c r="F4" s="282">
        <v>0</v>
      </c>
      <c r="G4" s="282">
        <v>10.199999999999999</v>
      </c>
      <c r="H4" s="281">
        <v>8</v>
      </c>
      <c r="I4" s="281">
        <v>4.7</v>
      </c>
      <c r="J4" s="281">
        <v>7.7</v>
      </c>
      <c r="K4" s="281">
        <v>8.3000000000000007</v>
      </c>
      <c r="L4" s="281">
        <v>16.2</v>
      </c>
      <c r="M4" s="281">
        <v>17.7</v>
      </c>
      <c r="N4" s="281">
        <v>11.2</v>
      </c>
      <c r="O4" s="281">
        <v>17.3</v>
      </c>
      <c r="P4" s="283">
        <v>20.5</v>
      </c>
      <c r="Q4" s="283">
        <v>32.5</v>
      </c>
      <c r="R4" s="283">
        <v>26</v>
      </c>
      <c r="S4" s="283">
        <v>28.1</v>
      </c>
      <c r="T4" s="283">
        <v>22</v>
      </c>
      <c r="U4" s="283">
        <v>14.7</v>
      </c>
      <c r="V4" s="283">
        <v>13.9</v>
      </c>
      <c r="W4" s="283">
        <v>16.5</v>
      </c>
      <c r="X4" s="283">
        <v>6.1</v>
      </c>
      <c r="Y4" s="283">
        <v>11.6</v>
      </c>
      <c r="Z4" s="283">
        <v>8.5</v>
      </c>
      <c r="AA4" s="283">
        <v>12.2</v>
      </c>
      <c r="AB4" s="284">
        <v>35.4</v>
      </c>
      <c r="AC4" s="285">
        <v>35.168999999999997</v>
      </c>
      <c r="AD4" s="285">
        <v>25.53447087</v>
      </c>
      <c r="AE4" s="285">
        <v>27.412362430000002</v>
      </c>
      <c r="AF4" s="285">
        <v>39.998391389999995</v>
      </c>
      <c r="AG4" s="285">
        <v>90.166620269999981</v>
      </c>
      <c r="AH4" s="286">
        <v>57.45</v>
      </c>
      <c r="AI4" s="287">
        <v>52.1</v>
      </c>
      <c r="AJ4" s="287">
        <v>37.353348319999995</v>
      </c>
      <c r="AK4" s="287">
        <v>21.373337419999999</v>
      </c>
      <c r="AL4" s="287">
        <v>16.02998393</v>
      </c>
      <c r="AM4" s="287">
        <v>5.4</v>
      </c>
      <c r="AN4" s="287">
        <v>30.668736860000003</v>
      </c>
      <c r="AO4" s="287">
        <v>22.312997709999998</v>
      </c>
      <c r="AP4" s="287">
        <v>40.184699219999999</v>
      </c>
      <c r="AQ4" s="287">
        <v>41.9</v>
      </c>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row>
    <row r="5" spans="1:254" s="279" customFormat="1" ht="16.2">
      <c r="A5" s="288" t="s">
        <v>440</v>
      </c>
      <c r="B5" s="289">
        <v>0</v>
      </c>
      <c r="C5" s="289">
        <v>0</v>
      </c>
      <c r="D5" s="289">
        <v>0</v>
      </c>
      <c r="E5" s="289">
        <v>0</v>
      </c>
      <c r="F5" s="289">
        <v>0</v>
      </c>
      <c r="G5" s="289">
        <v>0</v>
      </c>
      <c r="H5" s="289">
        <v>0</v>
      </c>
      <c r="I5" s="289">
        <v>0</v>
      </c>
      <c r="J5" s="289">
        <v>0</v>
      </c>
      <c r="K5" s="289">
        <v>0</v>
      </c>
      <c r="L5" s="289">
        <v>0</v>
      </c>
      <c r="M5" s="289">
        <v>0</v>
      </c>
      <c r="N5" s="289">
        <v>0</v>
      </c>
      <c r="O5" s="289">
        <v>0</v>
      </c>
      <c r="P5" s="289">
        <v>0</v>
      </c>
      <c r="Q5" s="289">
        <v>0</v>
      </c>
      <c r="R5" s="289">
        <v>0</v>
      </c>
      <c r="S5" s="289">
        <v>0</v>
      </c>
      <c r="T5" s="289">
        <v>0</v>
      </c>
      <c r="U5" s="289">
        <v>0</v>
      </c>
      <c r="V5" s="289">
        <v>0</v>
      </c>
      <c r="W5" s="289">
        <v>0</v>
      </c>
      <c r="X5" s="289">
        <v>0</v>
      </c>
      <c r="Y5" s="289">
        <v>0</v>
      </c>
      <c r="Z5" s="289">
        <v>0</v>
      </c>
      <c r="AA5" s="289">
        <v>0</v>
      </c>
      <c r="AB5" s="284">
        <v>0.9</v>
      </c>
      <c r="AC5" s="285">
        <v>1.0369999999999999</v>
      </c>
      <c r="AD5" s="285">
        <v>1.3368422</v>
      </c>
      <c r="AE5" s="285">
        <v>0.59909880000000004</v>
      </c>
      <c r="AF5" s="285">
        <v>1.2177011199999999</v>
      </c>
      <c r="AG5" s="285">
        <v>0.82124492000000027</v>
      </c>
      <c r="AH5" s="286">
        <v>0.380297</v>
      </c>
      <c r="AI5" s="287">
        <v>0</v>
      </c>
      <c r="AJ5" s="287">
        <v>0.1</v>
      </c>
      <c r="AK5" s="287">
        <v>1.3566744300000002</v>
      </c>
      <c r="AL5" s="287">
        <v>1.2080949699999999</v>
      </c>
      <c r="AM5" s="287">
        <v>1.4</v>
      </c>
      <c r="AN5" s="287">
        <v>0.78166014000000006</v>
      </c>
      <c r="AO5" s="287">
        <v>1.256752E-2</v>
      </c>
      <c r="AP5" s="287">
        <v>0</v>
      </c>
      <c r="AQ5" s="287">
        <v>0</v>
      </c>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c r="GM5" s="271"/>
      <c r="GN5" s="271"/>
      <c r="GO5" s="271"/>
      <c r="GP5" s="271"/>
      <c r="GQ5" s="271"/>
      <c r="GR5" s="271"/>
      <c r="GS5" s="271"/>
      <c r="GT5" s="271"/>
      <c r="GU5" s="271"/>
      <c r="GV5" s="271"/>
      <c r="GW5" s="271"/>
      <c r="GX5" s="271"/>
      <c r="GY5" s="271"/>
      <c r="GZ5" s="271"/>
      <c r="HA5" s="271"/>
      <c r="HB5" s="271"/>
      <c r="HC5" s="271"/>
      <c r="HD5" s="271"/>
      <c r="HE5" s="271"/>
      <c r="HF5" s="271"/>
      <c r="HG5" s="271"/>
      <c r="HH5" s="271"/>
      <c r="HI5" s="271"/>
      <c r="HJ5" s="271"/>
      <c r="HK5" s="271"/>
      <c r="HL5" s="271"/>
      <c r="HM5" s="271"/>
      <c r="HN5" s="271"/>
      <c r="HO5" s="271"/>
      <c r="HP5" s="271"/>
      <c r="HQ5" s="271"/>
      <c r="HR5" s="271"/>
      <c r="HS5" s="271"/>
      <c r="HT5" s="271"/>
      <c r="HU5" s="271"/>
      <c r="HV5" s="271"/>
      <c r="HW5" s="271"/>
      <c r="HX5" s="271"/>
      <c r="HY5" s="271"/>
      <c r="HZ5" s="271"/>
      <c r="IA5" s="271"/>
      <c r="IB5" s="271"/>
      <c r="IC5" s="271"/>
      <c r="ID5" s="271"/>
      <c r="IE5" s="271"/>
      <c r="IF5" s="271"/>
      <c r="IG5" s="271"/>
      <c r="IH5" s="271"/>
      <c r="II5" s="271"/>
      <c r="IJ5" s="271"/>
      <c r="IK5" s="271"/>
      <c r="IL5" s="271"/>
      <c r="IM5" s="271"/>
      <c r="IN5" s="271"/>
      <c r="IO5" s="271"/>
      <c r="IP5" s="271"/>
      <c r="IQ5" s="271"/>
      <c r="IR5" s="271"/>
      <c r="IS5" s="271"/>
      <c r="IT5" s="271"/>
    </row>
    <row r="6" spans="1:254" s="279" customFormat="1" ht="16.8" thickBot="1">
      <c r="A6" s="288" t="s">
        <v>359</v>
      </c>
      <c r="B6" s="290">
        <v>30</v>
      </c>
      <c r="C6" s="290">
        <v>17.899999999999999</v>
      </c>
      <c r="D6" s="290">
        <v>61.7</v>
      </c>
      <c r="E6" s="290">
        <v>55.1</v>
      </c>
      <c r="F6" s="290">
        <v>9</v>
      </c>
      <c r="G6" s="290">
        <v>46.4</v>
      </c>
      <c r="H6" s="290">
        <v>9.1</v>
      </c>
      <c r="I6" s="290">
        <v>78.599999999999994</v>
      </c>
      <c r="J6" s="290">
        <v>7.6</v>
      </c>
      <c r="K6" s="290">
        <v>5.3</v>
      </c>
      <c r="L6" s="290">
        <v>4.5</v>
      </c>
      <c r="M6" s="290">
        <v>4</v>
      </c>
      <c r="N6" s="290">
        <v>0.9</v>
      </c>
      <c r="O6" s="290">
        <v>85.8</v>
      </c>
      <c r="P6" s="289">
        <v>39.4</v>
      </c>
      <c r="Q6" s="289">
        <v>39.299999999999997</v>
      </c>
      <c r="R6" s="289">
        <v>45.1</v>
      </c>
      <c r="S6" s="289">
        <v>-42.6</v>
      </c>
      <c r="T6" s="289">
        <v>0</v>
      </c>
      <c r="U6" s="289">
        <v>14.1</v>
      </c>
      <c r="V6" s="289">
        <v>47</v>
      </c>
      <c r="W6" s="289">
        <v>6.2</v>
      </c>
      <c r="X6" s="289">
        <v>8.8000000000000007</v>
      </c>
      <c r="Y6" s="289">
        <v>68.400000000000006</v>
      </c>
      <c r="Z6" s="289">
        <v>75.900000000000006</v>
      </c>
      <c r="AA6" s="289">
        <v>53.8</v>
      </c>
      <c r="AB6" s="291">
        <v>360</v>
      </c>
      <c r="AC6" s="292">
        <v>60.4</v>
      </c>
      <c r="AD6" s="292">
        <v>37.299999999999997</v>
      </c>
      <c r="AE6" s="292">
        <v>135.69999999999999</v>
      </c>
      <c r="AF6" s="292">
        <v>56.4</v>
      </c>
      <c r="AG6" s="292">
        <v>102.95</v>
      </c>
      <c r="AH6" s="293">
        <v>114.5</v>
      </c>
      <c r="AI6" s="294">
        <v>103.59</v>
      </c>
      <c r="AJ6" s="294">
        <v>101.7</v>
      </c>
      <c r="AK6" s="294">
        <v>81.39589715000001</v>
      </c>
      <c r="AL6" s="294">
        <v>34.134514600000003</v>
      </c>
      <c r="AM6" s="294">
        <v>58.9</v>
      </c>
      <c r="AN6" s="294">
        <v>51.766300999999999</v>
      </c>
      <c r="AO6" s="294">
        <v>55.546022000000001</v>
      </c>
      <c r="AP6" s="294">
        <v>106.55452</v>
      </c>
      <c r="AQ6" s="294">
        <v>66.7</v>
      </c>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c r="EK6" s="271"/>
      <c r="EL6" s="271"/>
      <c r="EM6" s="271"/>
      <c r="EN6" s="271"/>
      <c r="EO6" s="271"/>
      <c r="EP6" s="271"/>
      <c r="EQ6" s="271"/>
      <c r="ER6" s="271"/>
      <c r="ES6" s="271"/>
      <c r="ET6" s="271"/>
      <c r="EU6" s="271"/>
      <c r="EV6" s="271"/>
      <c r="EW6" s="271"/>
      <c r="EX6" s="271"/>
      <c r="EY6" s="271"/>
      <c r="EZ6" s="271"/>
      <c r="FA6" s="271"/>
      <c r="FB6" s="271"/>
      <c r="FC6" s="271"/>
      <c r="FD6" s="271"/>
      <c r="FE6" s="271"/>
      <c r="FF6" s="271"/>
      <c r="FG6" s="271"/>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71"/>
      <c r="GJ6" s="271"/>
      <c r="GK6" s="271"/>
      <c r="GL6" s="271"/>
      <c r="GM6" s="271"/>
      <c r="GN6" s="271"/>
      <c r="GO6" s="271"/>
      <c r="GP6" s="271"/>
      <c r="GQ6" s="271"/>
      <c r="GR6" s="271"/>
      <c r="GS6" s="271"/>
      <c r="GT6" s="271"/>
      <c r="GU6" s="271"/>
      <c r="GV6" s="271"/>
      <c r="GW6" s="271"/>
      <c r="GX6" s="271"/>
      <c r="GY6" s="271"/>
      <c r="GZ6" s="271"/>
      <c r="HA6" s="271"/>
      <c r="HB6" s="271"/>
      <c r="HC6" s="271"/>
      <c r="HD6" s="271"/>
      <c r="HE6" s="271"/>
      <c r="HF6" s="271"/>
      <c r="HG6" s="271"/>
      <c r="HH6" s="271"/>
      <c r="HI6" s="271"/>
      <c r="HJ6" s="271"/>
      <c r="HK6" s="271"/>
      <c r="HL6" s="271"/>
      <c r="HM6" s="271"/>
      <c r="HN6" s="271"/>
      <c r="HO6" s="271"/>
      <c r="HP6" s="271"/>
      <c r="HQ6" s="271"/>
      <c r="HR6" s="271"/>
      <c r="HS6" s="271"/>
      <c r="HT6" s="271"/>
      <c r="HU6" s="271"/>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row>
    <row r="7" spans="1:254" s="299" customFormat="1" ht="17.399999999999999" thickBot="1">
      <c r="A7" s="295" t="s">
        <v>360</v>
      </c>
      <c r="B7" s="296">
        <f t="shared" ref="B7:AJ7" si="0">SUM(B4:B6)</f>
        <v>30</v>
      </c>
      <c r="C7" s="296">
        <f t="shared" si="0"/>
        <v>17.899999999999999</v>
      </c>
      <c r="D7" s="296">
        <f t="shared" si="0"/>
        <v>61.7</v>
      </c>
      <c r="E7" s="296">
        <f t="shared" si="0"/>
        <v>55.1</v>
      </c>
      <c r="F7" s="296">
        <f t="shared" si="0"/>
        <v>9</v>
      </c>
      <c r="G7" s="296">
        <f t="shared" si="0"/>
        <v>56.599999999999994</v>
      </c>
      <c r="H7" s="296">
        <f t="shared" si="0"/>
        <v>17.100000000000001</v>
      </c>
      <c r="I7" s="296">
        <f t="shared" si="0"/>
        <v>83.3</v>
      </c>
      <c r="J7" s="296">
        <f t="shared" si="0"/>
        <v>15.3</v>
      </c>
      <c r="K7" s="296">
        <f t="shared" si="0"/>
        <v>13.600000000000001</v>
      </c>
      <c r="L7" s="296">
        <f t="shared" si="0"/>
        <v>20.7</v>
      </c>
      <c r="M7" s="296">
        <f t="shared" si="0"/>
        <v>21.7</v>
      </c>
      <c r="N7" s="296">
        <f t="shared" si="0"/>
        <v>12.1</v>
      </c>
      <c r="O7" s="296">
        <f t="shared" si="0"/>
        <v>103.1</v>
      </c>
      <c r="P7" s="296">
        <f t="shared" si="0"/>
        <v>59.9</v>
      </c>
      <c r="Q7" s="296">
        <f t="shared" si="0"/>
        <v>71.8</v>
      </c>
      <c r="R7" s="296">
        <f t="shared" si="0"/>
        <v>71.099999999999994</v>
      </c>
      <c r="S7" s="296">
        <f t="shared" si="0"/>
        <v>-14.5</v>
      </c>
      <c r="T7" s="296">
        <f t="shared" si="0"/>
        <v>22</v>
      </c>
      <c r="U7" s="296">
        <f t="shared" si="0"/>
        <v>28.799999999999997</v>
      </c>
      <c r="V7" s="296">
        <f t="shared" si="0"/>
        <v>60.9</v>
      </c>
      <c r="W7" s="296">
        <f t="shared" si="0"/>
        <v>22.7</v>
      </c>
      <c r="X7" s="296">
        <f t="shared" si="0"/>
        <v>14.9</v>
      </c>
      <c r="Y7" s="296">
        <f t="shared" si="0"/>
        <v>80</v>
      </c>
      <c r="Z7" s="296">
        <f t="shared" si="0"/>
        <v>84.4</v>
      </c>
      <c r="AA7" s="296">
        <f t="shared" si="0"/>
        <v>66</v>
      </c>
      <c r="AB7" s="297">
        <f t="shared" si="0"/>
        <v>396.3</v>
      </c>
      <c r="AC7" s="297">
        <f t="shared" si="0"/>
        <v>96.605999999999995</v>
      </c>
      <c r="AD7" s="297">
        <f t="shared" si="0"/>
        <v>64.171313069999997</v>
      </c>
      <c r="AE7" s="297">
        <f t="shared" si="0"/>
        <v>163.71146123</v>
      </c>
      <c r="AF7" s="297">
        <f t="shared" si="0"/>
        <v>97.616092509999987</v>
      </c>
      <c r="AG7" s="297">
        <f t="shared" si="0"/>
        <v>193.93786518999997</v>
      </c>
      <c r="AH7" s="298">
        <f t="shared" si="0"/>
        <v>172.330297</v>
      </c>
      <c r="AI7" s="298">
        <f t="shared" si="0"/>
        <v>155.69</v>
      </c>
      <c r="AJ7" s="298">
        <f t="shared" si="0"/>
        <v>139.15334831999999</v>
      </c>
      <c r="AK7" s="298">
        <f>SUM(AK4:AK6)</f>
        <v>104.12590900000001</v>
      </c>
      <c r="AL7" s="298">
        <f>SUM(AL4:AL6)</f>
        <v>51.372593500000008</v>
      </c>
      <c r="AM7" s="298">
        <f>SUM(AM4:AM6)</f>
        <v>65.7</v>
      </c>
      <c r="AN7" s="298">
        <v>83.216698000000008</v>
      </c>
      <c r="AO7" s="298">
        <v>77.871587230000003</v>
      </c>
      <c r="AP7" s="298">
        <v>146.73921922</v>
      </c>
      <c r="AQ7" s="298">
        <v>108.6</v>
      </c>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1"/>
      <c r="EA7" s="271"/>
      <c r="EB7" s="271"/>
      <c r="EC7" s="271"/>
      <c r="ED7" s="271"/>
      <c r="EE7" s="271"/>
      <c r="EF7" s="271"/>
      <c r="EG7" s="271"/>
      <c r="EH7" s="271"/>
      <c r="EI7" s="271"/>
      <c r="EJ7" s="271"/>
      <c r="EK7" s="271"/>
      <c r="EL7" s="271"/>
      <c r="EM7" s="271"/>
      <c r="EN7" s="271"/>
      <c r="EO7" s="271"/>
      <c r="EP7" s="271"/>
      <c r="EQ7" s="271"/>
      <c r="ER7" s="271"/>
      <c r="ES7" s="271"/>
      <c r="ET7" s="271"/>
      <c r="EU7" s="271"/>
      <c r="EV7" s="271"/>
      <c r="EW7" s="271"/>
      <c r="EX7" s="271"/>
      <c r="EY7" s="271"/>
      <c r="EZ7" s="271"/>
      <c r="FA7" s="271"/>
      <c r="FB7" s="271"/>
      <c r="FC7" s="271"/>
      <c r="FD7" s="271"/>
      <c r="FE7" s="271"/>
      <c r="FF7" s="271"/>
      <c r="FG7" s="271"/>
      <c r="FH7" s="271"/>
      <c r="FI7" s="271"/>
      <c r="FJ7" s="271"/>
      <c r="FK7" s="271"/>
      <c r="FL7" s="271"/>
      <c r="FM7" s="271"/>
      <c r="FN7" s="271"/>
      <c r="FO7" s="271"/>
      <c r="FP7" s="271"/>
      <c r="FQ7" s="271"/>
      <c r="FR7" s="271"/>
      <c r="FS7" s="271"/>
      <c r="FT7" s="271"/>
      <c r="FU7" s="271"/>
      <c r="FV7" s="271"/>
      <c r="FW7" s="271"/>
      <c r="FX7" s="271"/>
      <c r="FY7" s="271"/>
      <c r="FZ7" s="271"/>
      <c r="GA7" s="271"/>
      <c r="GB7" s="271"/>
      <c r="GC7" s="271"/>
      <c r="GD7" s="271"/>
      <c r="GE7" s="271"/>
      <c r="GF7" s="271"/>
      <c r="GG7" s="271"/>
      <c r="GH7" s="271"/>
      <c r="GI7" s="271"/>
      <c r="GJ7" s="271"/>
      <c r="GK7" s="271"/>
      <c r="GL7" s="271"/>
      <c r="GM7" s="271"/>
      <c r="GN7" s="271"/>
      <c r="GO7" s="271"/>
      <c r="GP7" s="271"/>
      <c r="GQ7" s="271"/>
      <c r="GR7" s="271"/>
      <c r="GS7" s="271"/>
      <c r="GT7" s="271"/>
      <c r="GU7" s="271"/>
      <c r="GV7" s="271"/>
      <c r="GW7" s="271"/>
      <c r="GX7" s="271"/>
      <c r="GY7" s="271"/>
      <c r="GZ7" s="271"/>
      <c r="HA7" s="271"/>
      <c r="HB7" s="271"/>
      <c r="HC7" s="271"/>
      <c r="HD7" s="271"/>
      <c r="HE7" s="271"/>
      <c r="HF7" s="271"/>
      <c r="HG7" s="271"/>
      <c r="HH7" s="271"/>
      <c r="HI7" s="271"/>
      <c r="HJ7" s="271"/>
      <c r="HK7" s="271"/>
      <c r="HL7" s="271"/>
      <c r="HM7" s="271"/>
      <c r="HN7" s="271"/>
      <c r="HO7" s="271"/>
      <c r="HP7" s="271"/>
      <c r="HQ7" s="271"/>
      <c r="HR7" s="271"/>
      <c r="HS7" s="271"/>
      <c r="HT7" s="271"/>
      <c r="HU7" s="271"/>
      <c r="HV7" s="271"/>
      <c r="HW7" s="271"/>
      <c r="HX7" s="271"/>
      <c r="HY7" s="271"/>
      <c r="HZ7" s="271"/>
      <c r="IA7" s="271"/>
      <c r="IB7" s="271"/>
      <c r="IC7" s="271"/>
      <c r="ID7" s="271"/>
      <c r="IE7" s="271"/>
      <c r="IF7" s="271"/>
      <c r="IG7" s="271"/>
      <c r="IH7" s="271"/>
      <c r="II7" s="271"/>
      <c r="IJ7" s="271"/>
      <c r="IK7" s="271"/>
      <c r="IL7" s="271"/>
      <c r="IM7" s="271"/>
      <c r="IN7" s="271"/>
      <c r="IO7" s="271"/>
      <c r="IP7" s="271"/>
      <c r="IQ7" s="271"/>
      <c r="IR7" s="271"/>
      <c r="IS7" s="271"/>
      <c r="IT7" s="271"/>
    </row>
    <row r="8" spans="1:254" s="279" customFormat="1" ht="16.2">
      <c r="A8" s="273" t="s">
        <v>361</v>
      </c>
      <c r="B8" s="300">
        <v>0</v>
      </c>
      <c r="C8" s="300">
        <v>0</v>
      </c>
      <c r="D8" s="300">
        <v>0</v>
      </c>
      <c r="E8" s="300">
        <v>0</v>
      </c>
      <c r="F8" s="300">
        <v>0</v>
      </c>
      <c r="G8" s="300">
        <v>0</v>
      </c>
      <c r="H8" s="300">
        <v>0</v>
      </c>
      <c r="I8" s="300">
        <v>0</v>
      </c>
      <c r="J8" s="300">
        <v>0</v>
      </c>
      <c r="K8" s="300">
        <v>0</v>
      </c>
      <c r="L8" s="300">
        <v>0</v>
      </c>
      <c r="M8" s="300">
        <v>0</v>
      </c>
      <c r="N8" s="300">
        <v>0</v>
      </c>
      <c r="O8" s="300">
        <v>0</v>
      </c>
      <c r="P8" s="301">
        <v>0</v>
      </c>
      <c r="Q8" s="301"/>
      <c r="R8" s="301"/>
      <c r="S8" s="301"/>
      <c r="T8" s="301"/>
      <c r="U8" s="301"/>
      <c r="V8" s="301"/>
      <c r="W8" s="301"/>
      <c r="X8" s="301"/>
      <c r="Y8" s="301"/>
      <c r="Z8" s="301"/>
      <c r="AA8" s="301"/>
      <c r="AB8" s="302"/>
      <c r="AC8" s="303"/>
      <c r="AD8" s="303"/>
      <c r="AE8" s="303"/>
      <c r="AF8" s="303"/>
      <c r="AG8" s="303"/>
      <c r="AH8" s="304"/>
      <c r="AI8" s="303"/>
      <c r="AJ8" s="303"/>
      <c r="AK8" s="303"/>
      <c r="AL8" s="303"/>
      <c r="AM8" s="303"/>
      <c r="AN8" s="303"/>
      <c r="AO8" s="303"/>
      <c r="AP8" s="303"/>
      <c r="AQ8" s="303"/>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c r="CX8" s="271"/>
      <c r="CY8" s="271"/>
      <c r="CZ8" s="271"/>
      <c r="DA8" s="271"/>
      <c r="DB8" s="271"/>
      <c r="DC8" s="271"/>
      <c r="DD8" s="271"/>
      <c r="DE8" s="271"/>
      <c r="DF8" s="271"/>
      <c r="DG8" s="271"/>
      <c r="DH8" s="271"/>
      <c r="DI8" s="271"/>
      <c r="DJ8" s="271"/>
      <c r="DK8" s="271"/>
      <c r="DL8" s="271"/>
      <c r="DM8" s="271"/>
      <c r="DN8" s="271"/>
      <c r="DO8" s="271"/>
      <c r="DP8" s="271"/>
      <c r="DQ8" s="271"/>
      <c r="DR8" s="271"/>
      <c r="DS8" s="271"/>
      <c r="DT8" s="271"/>
      <c r="DU8" s="271"/>
      <c r="DV8" s="271"/>
      <c r="DW8" s="271"/>
      <c r="DX8" s="271"/>
      <c r="DY8" s="271"/>
      <c r="DZ8" s="271"/>
      <c r="EA8" s="271"/>
      <c r="EB8" s="271"/>
      <c r="EC8" s="271"/>
      <c r="ED8" s="271"/>
      <c r="EE8" s="271"/>
      <c r="EF8" s="271"/>
      <c r="EG8" s="271"/>
      <c r="EH8" s="271"/>
      <c r="EI8" s="271"/>
      <c r="EJ8" s="271"/>
      <c r="EK8" s="271"/>
      <c r="EL8" s="271"/>
      <c r="EM8" s="271"/>
      <c r="EN8" s="271"/>
      <c r="EO8" s="271"/>
      <c r="EP8" s="271"/>
      <c r="EQ8" s="271"/>
      <c r="ER8" s="271"/>
      <c r="ES8" s="271"/>
      <c r="ET8" s="271"/>
      <c r="EU8" s="271"/>
      <c r="EV8" s="271"/>
      <c r="EW8" s="271"/>
      <c r="EX8" s="271"/>
      <c r="EY8" s="271"/>
      <c r="EZ8" s="271"/>
      <c r="FA8" s="271"/>
      <c r="FB8" s="271"/>
      <c r="FC8" s="271"/>
      <c r="FD8" s="271"/>
      <c r="FE8" s="271"/>
      <c r="FF8" s="271"/>
      <c r="FG8" s="271"/>
      <c r="FH8" s="271"/>
      <c r="FI8" s="271"/>
      <c r="FJ8" s="271"/>
      <c r="FK8" s="271"/>
      <c r="FL8" s="271"/>
      <c r="FM8" s="271"/>
      <c r="FN8" s="271"/>
      <c r="FO8" s="271"/>
      <c r="FP8" s="271"/>
      <c r="FQ8" s="271"/>
      <c r="FR8" s="271"/>
      <c r="FS8" s="271"/>
      <c r="FT8" s="271"/>
      <c r="FU8" s="271"/>
      <c r="FV8" s="271"/>
      <c r="FW8" s="271"/>
      <c r="FX8" s="271"/>
      <c r="FY8" s="271"/>
      <c r="FZ8" s="271"/>
      <c r="GA8" s="271"/>
      <c r="GB8" s="271"/>
      <c r="GC8" s="271"/>
      <c r="GD8" s="271"/>
      <c r="GE8" s="271"/>
      <c r="GF8" s="271"/>
      <c r="GG8" s="271"/>
      <c r="GH8" s="271"/>
      <c r="GI8" s="271"/>
      <c r="GJ8" s="271"/>
      <c r="GK8" s="271"/>
      <c r="GL8" s="271"/>
      <c r="GM8" s="271"/>
      <c r="GN8" s="271"/>
      <c r="GO8" s="271"/>
      <c r="GP8" s="271"/>
      <c r="GQ8" s="271"/>
      <c r="GR8" s="271"/>
      <c r="GS8" s="271"/>
      <c r="GT8" s="271"/>
      <c r="GU8" s="271"/>
      <c r="GV8" s="271"/>
      <c r="GW8" s="271"/>
      <c r="GX8" s="271"/>
      <c r="GY8" s="271"/>
      <c r="GZ8" s="271"/>
      <c r="HA8" s="271"/>
      <c r="HB8" s="271"/>
      <c r="HC8" s="271"/>
      <c r="HD8" s="271"/>
      <c r="HE8" s="271"/>
      <c r="HF8" s="271"/>
      <c r="HG8" s="271"/>
      <c r="HH8" s="271"/>
      <c r="HI8" s="271"/>
      <c r="HJ8" s="271"/>
      <c r="HK8" s="271"/>
      <c r="HL8" s="271"/>
      <c r="HM8" s="271"/>
      <c r="HN8" s="271"/>
      <c r="HO8" s="271"/>
      <c r="HP8" s="271"/>
      <c r="HQ8" s="271"/>
      <c r="HR8" s="271"/>
      <c r="HS8" s="271"/>
      <c r="HT8" s="271"/>
      <c r="HU8" s="271"/>
      <c r="HV8" s="271"/>
      <c r="HW8" s="271"/>
      <c r="HX8" s="271"/>
      <c r="HY8" s="271"/>
      <c r="HZ8" s="271"/>
      <c r="IA8" s="271"/>
      <c r="IB8" s="271"/>
      <c r="IC8" s="271"/>
      <c r="ID8" s="271"/>
      <c r="IE8" s="271"/>
      <c r="IF8" s="271"/>
      <c r="IG8" s="271"/>
      <c r="IH8" s="271"/>
      <c r="II8" s="271"/>
      <c r="IJ8" s="271"/>
      <c r="IK8" s="271"/>
      <c r="IL8" s="271"/>
      <c r="IM8" s="271"/>
      <c r="IN8" s="271"/>
      <c r="IO8" s="271"/>
      <c r="IP8" s="271"/>
      <c r="IQ8" s="271"/>
      <c r="IR8" s="271"/>
      <c r="IS8" s="271"/>
      <c r="IT8" s="271"/>
    </row>
    <row r="9" spans="1:254" s="279" customFormat="1" ht="16.2">
      <c r="A9" s="305" t="s">
        <v>362</v>
      </c>
      <c r="B9" s="281">
        <v>2.2999999999999998</v>
      </c>
      <c r="C9" s="281">
        <v>2.2999999999999998</v>
      </c>
      <c r="D9" s="281">
        <v>4.5999999999999996</v>
      </c>
      <c r="E9" s="281">
        <v>9.1</v>
      </c>
      <c r="F9" s="281">
        <v>19.600000000000001</v>
      </c>
      <c r="G9" s="281">
        <v>15.9</v>
      </c>
      <c r="H9" s="281">
        <v>19.600000000000001</v>
      </c>
      <c r="I9" s="281">
        <v>22.2</v>
      </c>
      <c r="J9" s="281">
        <v>18.8</v>
      </c>
      <c r="K9" s="281">
        <v>23</v>
      </c>
      <c r="L9" s="281">
        <v>32.799999999999997</v>
      </c>
      <c r="M9" s="281">
        <v>33</v>
      </c>
      <c r="N9" s="281">
        <v>67</v>
      </c>
      <c r="O9" s="281">
        <v>49.6</v>
      </c>
      <c r="P9" s="283">
        <v>55.9</v>
      </c>
      <c r="Q9" s="283">
        <v>71.400000000000006</v>
      </c>
      <c r="R9" s="283">
        <v>68.5</v>
      </c>
      <c r="S9" s="283">
        <v>82.2</v>
      </c>
      <c r="T9" s="283">
        <v>104.9</v>
      </c>
      <c r="U9" s="283">
        <v>108.2</v>
      </c>
      <c r="V9" s="283">
        <v>108.2</v>
      </c>
      <c r="W9" s="283">
        <v>101.1</v>
      </c>
      <c r="X9" s="283">
        <v>137.1</v>
      </c>
      <c r="Y9" s="283">
        <v>140.69999999999999</v>
      </c>
      <c r="Z9" s="283">
        <v>137.9</v>
      </c>
      <c r="AA9" s="283">
        <v>135.80000000000001</v>
      </c>
      <c r="AB9" s="284">
        <v>137.9</v>
      </c>
      <c r="AC9" s="285">
        <v>139.482</v>
      </c>
      <c r="AD9" s="285">
        <v>148.89743393999996</v>
      </c>
      <c r="AE9" s="285">
        <v>177.85944282999998</v>
      </c>
      <c r="AF9" s="285">
        <v>199.58221303000002</v>
      </c>
      <c r="AG9" s="285">
        <v>221.05362423999992</v>
      </c>
      <c r="AH9" s="286">
        <v>248.93</v>
      </c>
      <c r="AI9" s="287">
        <v>239</v>
      </c>
      <c r="AJ9" s="287">
        <v>231.80148199999996</v>
      </c>
      <c r="AK9" s="287">
        <v>258.17721182999998</v>
      </c>
      <c r="AL9" s="287">
        <v>258.14218992999997</v>
      </c>
      <c r="AM9" s="287">
        <v>254.7</v>
      </c>
      <c r="AN9" s="287">
        <v>258.70465134000005</v>
      </c>
      <c r="AO9" s="287">
        <v>240.38390317</v>
      </c>
      <c r="AP9" s="287">
        <v>238.07312463000002</v>
      </c>
      <c r="AQ9" s="287">
        <v>253.6</v>
      </c>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row>
    <row r="10" spans="1:254" s="279" customFormat="1" ht="16.2">
      <c r="A10" s="305" t="s">
        <v>441</v>
      </c>
      <c r="B10" s="300"/>
      <c r="C10" s="300"/>
      <c r="D10" s="300"/>
      <c r="E10" s="300"/>
      <c r="F10" s="300"/>
      <c r="G10" s="300"/>
      <c r="H10" s="300"/>
      <c r="I10" s="300"/>
      <c r="J10" s="300"/>
      <c r="K10" s="300"/>
      <c r="L10" s="300"/>
      <c r="M10" s="300"/>
      <c r="N10" s="300"/>
      <c r="O10" s="300"/>
      <c r="P10" s="301"/>
      <c r="Q10" s="301"/>
      <c r="R10" s="301"/>
      <c r="S10" s="301"/>
      <c r="T10" s="301"/>
      <c r="U10" s="301"/>
      <c r="V10" s="301"/>
      <c r="W10" s="301"/>
      <c r="X10" s="301"/>
      <c r="Y10" s="301"/>
      <c r="Z10" s="301"/>
      <c r="AA10" s="301"/>
      <c r="AB10" s="284"/>
      <c r="AC10" s="285"/>
      <c r="AD10" s="285"/>
      <c r="AE10" s="285"/>
      <c r="AF10" s="285"/>
      <c r="AG10" s="285"/>
      <c r="AH10" s="286"/>
      <c r="AI10" s="287">
        <v>0.2</v>
      </c>
      <c r="AJ10" s="287">
        <v>0.3</v>
      </c>
      <c r="AK10" s="287">
        <v>0.12382228999999997</v>
      </c>
      <c r="AL10" s="287">
        <v>1.3212650000000003E-2</v>
      </c>
      <c r="AM10" s="287">
        <v>0</v>
      </c>
      <c r="AN10" s="287">
        <v>6.6416380000000011E-2</v>
      </c>
      <c r="AO10" s="287">
        <v>6.3245499999999991E-3</v>
      </c>
      <c r="AP10" s="287">
        <v>8.0871199999999997E-3</v>
      </c>
      <c r="AQ10" s="287">
        <v>0</v>
      </c>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c r="FN10" s="271"/>
      <c r="FO10" s="271"/>
      <c r="FP10" s="271"/>
      <c r="FQ10" s="271"/>
      <c r="FR10" s="271"/>
      <c r="FS10" s="271"/>
      <c r="FT10" s="271"/>
      <c r="FU10" s="271"/>
      <c r="FV10" s="271"/>
      <c r="FW10" s="271"/>
      <c r="FX10" s="271"/>
      <c r="FY10" s="271"/>
      <c r="FZ10" s="271"/>
      <c r="GA10" s="271"/>
      <c r="GB10" s="271"/>
      <c r="GC10" s="271"/>
      <c r="GD10" s="271"/>
      <c r="GE10" s="271"/>
      <c r="GF10" s="271"/>
      <c r="GG10" s="271"/>
      <c r="GH10" s="271"/>
      <c r="GI10" s="271"/>
      <c r="GJ10" s="271"/>
      <c r="GK10" s="271"/>
      <c r="GL10" s="271"/>
      <c r="GM10" s="271"/>
      <c r="GN10" s="271"/>
      <c r="GO10" s="271"/>
      <c r="GP10" s="271"/>
      <c r="GQ10" s="271"/>
      <c r="GR10" s="271"/>
      <c r="GS10" s="271"/>
      <c r="GT10" s="271"/>
      <c r="GU10" s="271"/>
      <c r="GV10" s="271"/>
      <c r="GW10" s="271"/>
      <c r="GX10" s="271"/>
      <c r="GY10" s="271"/>
      <c r="GZ10" s="271"/>
      <c r="HA10" s="271"/>
      <c r="HB10" s="271"/>
      <c r="HC10" s="271"/>
      <c r="HD10" s="271"/>
      <c r="HE10" s="271"/>
      <c r="HF10" s="271"/>
      <c r="HG10" s="271"/>
      <c r="HH10" s="271"/>
      <c r="HI10" s="271"/>
      <c r="HJ10" s="271"/>
      <c r="HK10" s="271"/>
      <c r="HL10" s="271"/>
      <c r="HM10" s="271"/>
      <c r="HN10" s="271"/>
      <c r="HO10" s="271"/>
      <c r="HP10" s="271"/>
      <c r="HQ10" s="271"/>
      <c r="HR10" s="271"/>
      <c r="HS10" s="271"/>
      <c r="HT10" s="271"/>
      <c r="HU10" s="271"/>
      <c r="HV10" s="271"/>
      <c r="HW10" s="271"/>
      <c r="HX10" s="271"/>
      <c r="HY10" s="271"/>
      <c r="HZ10" s="271"/>
      <c r="IA10" s="271"/>
      <c r="IB10" s="271"/>
      <c r="IC10" s="271"/>
      <c r="ID10" s="271"/>
      <c r="IE10" s="271"/>
      <c r="IF10" s="271"/>
      <c r="IG10" s="271"/>
      <c r="IH10" s="271"/>
      <c r="II10" s="271"/>
      <c r="IJ10" s="271"/>
      <c r="IK10" s="271"/>
      <c r="IL10" s="271"/>
      <c r="IM10" s="271"/>
      <c r="IN10" s="271"/>
      <c r="IO10" s="271"/>
      <c r="IP10" s="271"/>
      <c r="IQ10" s="271"/>
      <c r="IR10" s="271"/>
      <c r="IS10" s="271"/>
      <c r="IT10" s="271"/>
    </row>
    <row r="11" spans="1:254" s="279" customFormat="1" ht="17.399999999999999">
      <c r="A11" s="305" t="s">
        <v>381</v>
      </c>
      <c r="B11" s="300">
        <v>0</v>
      </c>
      <c r="C11" s="300">
        <v>0</v>
      </c>
      <c r="D11" s="300">
        <v>0</v>
      </c>
      <c r="E11" s="300">
        <v>0</v>
      </c>
      <c r="F11" s="300">
        <v>0</v>
      </c>
      <c r="G11" s="300">
        <v>0</v>
      </c>
      <c r="H11" s="300">
        <v>0</v>
      </c>
      <c r="I11" s="300">
        <v>0</v>
      </c>
      <c r="J11" s="300">
        <v>0</v>
      </c>
      <c r="K11" s="300">
        <v>0</v>
      </c>
      <c r="L11" s="300">
        <v>0</v>
      </c>
      <c r="M11" s="300">
        <v>0</v>
      </c>
      <c r="N11" s="300">
        <v>0</v>
      </c>
      <c r="O11" s="300">
        <v>0</v>
      </c>
      <c r="P11" s="301">
        <v>0</v>
      </c>
      <c r="Q11" s="301"/>
      <c r="R11" s="301"/>
      <c r="S11" s="301"/>
      <c r="T11" s="301"/>
      <c r="U11" s="301"/>
      <c r="V11" s="301"/>
      <c r="W11" s="301">
        <v>2.9</v>
      </c>
      <c r="X11" s="301">
        <v>7.1</v>
      </c>
      <c r="Y11" s="301">
        <v>6.5</v>
      </c>
      <c r="Z11" s="301">
        <v>7.8</v>
      </c>
      <c r="AA11" s="301">
        <v>0.01</v>
      </c>
      <c r="AB11" s="284">
        <v>0</v>
      </c>
      <c r="AC11" s="285">
        <v>0</v>
      </c>
      <c r="AD11" s="285">
        <v>0</v>
      </c>
      <c r="AE11" s="285">
        <v>0</v>
      </c>
      <c r="AF11" s="285">
        <v>0</v>
      </c>
      <c r="AG11" s="285">
        <v>0</v>
      </c>
      <c r="AH11" s="286">
        <v>0</v>
      </c>
      <c r="AI11" s="287">
        <v>0</v>
      </c>
      <c r="AJ11" s="287">
        <v>0</v>
      </c>
      <c r="AK11" s="287">
        <v>0</v>
      </c>
      <c r="AL11" s="287">
        <v>0</v>
      </c>
      <c r="AM11" s="287">
        <v>0</v>
      </c>
      <c r="AN11" s="287">
        <v>0</v>
      </c>
      <c r="AO11" s="287">
        <v>0</v>
      </c>
      <c r="AP11" s="287">
        <v>0</v>
      </c>
      <c r="AQ11" s="287">
        <v>0</v>
      </c>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row>
    <row r="12" spans="1:254" s="279" customFormat="1" ht="17.399999999999999">
      <c r="A12" s="305" t="s">
        <v>382</v>
      </c>
      <c r="B12" s="281">
        <v>0</v>
      </c>
      <c r="C12" s="281">
        <v>0</v>
      </c>
      <c r="D12" s="281">
        <v>0</v>
      </c>
      <c r="E12" s="281">
        <v>0</v>
      </c>
      <c r="F12" s="281">
        <v>0</v>
      </c>
      <c r="G12" s="281">
        <v>0</v>
      </c>
      <c r="H12" s="281">
        <v>0</v>
      </c>
      <c r="I12" s="281">
        <v>0</v>
      </c>
      <c r="J12" s="281">
        <v>0</v>
      </c>
      <c r="K12" s="281">
        <v>0</v>
      </c>
      <c r="L12" s="281">
        <v>0</v>
      </c>
      <c r="M12" s="281">
        <v>0</v>
      </c>
      <c r="N12" s="281">
        <v>0</v>
      </c>
      <c r="O12" s="281">
        <v>0</v>
      </c>
      <c r="P12" s="283">
        <v>0</v>
      </c>
      <c r="Q12" s="283"/>
      <c r="R12" s="283"/>
      <c r="S12" s="283"/>
      <c r="T12" s="283"/>
      <c r="U12" s="283"/>
      <c r="V12" s="283"/>
      <c r="W12" s="283"/>
      <c r="X12" s="283"/>
      <c r="Y12" s="283"/>
      <c r="Z12" s="283"/>
      <c r="AA12" s="283"/>
      <c r="AB12" s="284"/>
      <c r="AC12" s="278"/>
      <c r="AD12" s="278"/>
      <c r="AE12" s="278"/>
      <c r="AF12" s="278"/>
      <c r="AG12" s="278"/>
      <c r="AH12" s="306"/>
      <c r="AI12" s="307"/>
      <c r="AJ12" s="307"/>
      <c r="AK12" s="307"/>
      <c r="AL12" s="307"/>
      <c r="AM12" s="307"/>
      <c r="AN12" s="307"/>
      <c r="AO12" s="307"/>
      <c r="AP12" s="307"/>
      <c r="AQ12" s="307"/>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row>
    <row r="13" spans="1:254" s="279" customFormat="1" ht="16.2">
      <c r="A13" s="280" t="s">
        <v>384</v>
      </c>
      <c r="B13" s="281">
        <v>0</v>
      </c>
      <c r="C13" s="281">
        <v>0.5</v>
      </c>
      <c r="D13" s="281">
        <v>1</v>
      </c>
      <c r="E13" s="281">
        <v>2.2000000000000002</v>
      </c>
      <c r="F13" s="281">
        <v>3.6</v>
      </c>
      <c r="G13" s="281">
        <v>5.4</v>
      </c>
      <c r="H13" s="281">
        <v>4.9000000000000004</v>
      </c>
      <c r="I13" s="281">
        <v>5.8</v>
      </c>
      <c r="J13" s="281">
        <v>5.0999999999999996</v>
      </c>
      <c r="K13" s="281">
        <v>7.6</v>
      </c>
      <c r="L13" s="281">
        <v>8.3000000000000007</v>
      </c>
      <c r="M13" s="281">
        <v>8.6999999999999993</v>
      </c>
      <c r="N13" s="281">
        <v>11.2</v>
      </c>
      <c r="O13" s="281">
        <v>11.2</v>
      </c>
      <c r="P13" s="283">
        <v>12.4</v>
      </c>
      <c r="Q13" s="283">
        <v>12.7</v>
      </c>
      <c r="R13" s="283">
        <v>11.5</v>
      </c>
      <c r="S13" s="283">
        <v>11.8</v>
      </c>
      <c r="T13" s="283">
        <v>11.44</v>
      </c>
      <c r="U13" s="283">
        <v>13</v>
      </c>
      <c r="V13" s="283">
        <v>12.4</v>
      </c>
      <c r="W13" s="283">
        <v>12.7</v>
      </c>
      <c r="X13" s="283">
        <v>14.9</v>
      </c>
      <c r="Y13" s="283">
        <v>15.115</v>
      </c>
      <c r="Z13" s="283">
        <v>17.3</v>
      </c>
      <c r="AA13" s="283">
        <v>17.2</v>
      </c>
      <c r="AB13" s="284">
        <v>20.100000000000001</v>
      </c>
      <c r="AC13" s="285">
        <v>19.27</v>
      </c>
      <c r="AD13" s="285">
        <v>19.399999999999999</v>
      </c>
      <c r="AE13" s="285">
        <v>20.77</v>
      </c>
      <c r="AF13" s="285">
        <v>23.300685000000005</v>
      </c>
      <c r="AG13" s="285">
        <v>24.5</v>
      </c>
      <c r="AH13" s="286">
        <v>21.99</v>
      </c>
      <c r="AI13" s="287">
        <v>28.7</v>
      </c>
      <c r="AJ13" s="287">
        <v>31</v>
      </c>
      <c r="AK13" s="287">
        <v>30.930388000000001</v>
      </c>
      <c r="AL13" s="287">
        <v>28.64534832</v>
      </c>
      <c r="AM13" s="287">
        <v>26</v>
      </c>
      <c r="AN13" s="287">
        <v>31.391885770000005</v>
      </c>
      <c r="AO13" s="287">
        <v>26.667754219999999</v>
      </c>
      <c r="AP13" s="287">
        <v>31.852091000000001</v>
      </c>
      <c r="AQ13" s="287">
        <v>30.7</v>
      </c>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row>
    <row r="14" spans="1:254" s="279" customFormat="1" ht="16.2">
      <c r="A14" s="280" t="s">
        <v>363</v>
      </c>
      <c r="B14" s="281">
        <v>15</v>
      </c>
      <c r="C14" s="281">
        <v>5.4</v>
      </c>
      <c r="D14" s="281">
        <v>7.6</v>
      </c>
      <c r="E14" s="281">
        <v>9.1</v>
      </c>
      <c r="F14" s="281">
        <v>10</v>
      </c>
      <c r="G14" s="281">
        <v>11.4</v>
      </c>
      <c r="H14" s="281">
        <v>15.8</v>
      </c>
      <c r="I14" s="281">
        <v>20.7</v>
      </c>
      <c r="J14" s="281">
        <v>10.5</v>
      </c>
      <c r="K14" s="281">
        <v>12.3</v>
      </c>
      <c r="L14" s="281">
        <v>11.5</v>
      </c>
      <c r="M14" s="281">
        <v>11.8</v>
      </c>
      <c r="N14" s="281">
        <v>13.3</v>
      </c>
      <c r="O14" s="281">
        <v>14</v>
      </c>
      <c r="P14" s="283">
        <v>16.899999999999999</v>
      </c>
      <c r="Q14" s="283">
        <v>17.8</v>
      </c>
      <c r="R14" s="283">
        <v>18.2</v>
      </c>
      <c r="S14" s="283">
        <v>18.899999999999999</v>
      </c>
      <c r="T14" s="283">
        <v>18.54</v>
      </c>
      <c r="U14" s="283">
        <v>19.899999999999999</v>
      </c>
      <c r="V14" s="283">
        <v>19.7</v>
      </c>
      <c r="W14" s="283">
        <v>23.1</v>
      </c>
      <c r="X14" s="283">
        <v>28.23</v>
      </c>
      <c r="Y14" s="283">
        <v>30.32</v>
      </c>
      <c r="Z14" s="283">
        <v>32.299999999999997</v>
      </c>
      <c r="AA14" s="283">
        <v>32.5</v>
      </c>
      <c r="AB14" s="284">
        <v>31.8</v>
      </c>
      <c r="AC14" s="285">
        <v>32.9</v>
      </c>
      <c r="AD14" s="285">
        <v>34.4</v>
      </c>
      <c r="AE14" s="285">
        <v>34.299999999999997</v>
      </c>
      <c r="AF14" s="285">
        <v>36.515000000000001</v>
      </c>
      <c r="AG14" s="285">
        <v>40.299999999999997</v>
      </c>
      <c r="AH14" s="286">
        <v>41.1</v>
      </c>
      <c r="AI14" s="287">
        <v>39.200000000000003</v>
      </c>
      <c r="AJ14" s="287">
        <v>47.8</v>
      </c>
      <c r="AK14" s="287">
        <v>46.4</v>
      </c>
      <c r="AL14" s="287">
        <v>48.195</v>
      </c>
      <c r="AM14" s="287">
        <v>46.8</v>
      </c>
      <c r="AN14" s="287">
        <v>47.5</v>
      </c>
      <c r="AO14" s="287">
        <v>48.9</v>
      </c>
      <c r="AP14" s="287">
        <v>46.347048999999998</v>
      </c>
      <c r="AQ14" s="287">
        <v>48.3</v>
      </c>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row>
    <row r="15" spans="1:254" s="279" customFormat="1" ht="16.2">
      <c r="A15" s="280" t="s">
        <v>364</v>
      </c>
      <c r="B15" s="281">
        <v>0</v>
      </c>
      <c r="C15" s="281">
        <v>0</v>
      </c>
      <c r="D15" s="281">
        <v>0</v>
      </c>
      <c r="E15" s="281">
        <v>0</v>
      </c>
      <c r="F15" s="281">
        <v>0</v>
      </c>
      <c r="G15" s="281">
        <v>0</v>
      </c>
      <c r="H15" s="281">
        <v>0</v>
      </c>
      <c r="I15" s="281">
        <v>0</v>
      </c>
      <c r="J15" s="281">
        <v>0</v>
      </c>
      <c r="K15" s="281">
        <v>0</v>
      </c>
      <c r="L15" s="281">
        <v>0</v>
      </c>
      <c r="M15" s="281">
        <v>0</v>
      </c>
      <c r="N15" s="281">
        <v>0</v>
      </c>
      <c r="O15" s="281">
        <v>1.2</v>
      </c>
      <c r="P15" s="283">
        <v>1.3</v>
      </c>
      <c r="Q15" s="283">
        <v>1.3</v>
      </c>
      <c r="R15" s="283">
        <v>1.5</v>
      </c>
      <c r="S15" s="283">
        <v>1.5</v>
      </c>
      <c r="T15" s="283">
        <v>2.7</v>
      </c>
      <c r="U15" s="283">
        <v>2.6</v>
      </c>
      <c r="V15" s="283">
        <v>1.8</v>
      </c>
      <c r="W15" s="283">
        <v>3</v>
      </c>
      <c r="X15" s="283">
        <v>3.78</v>
      </c>
      <c r="Y15" s="283">
        <v>3.12</v>
      </c>
      <c r="Z15" s="283">
        <v>3.9</v>
      </c>
      <c r="AA15" s="283">
        <v>3.92</v>
      </c>
      <c r="AB15" s="284">
        <v>4.5</v>
      </c>
      <c r="AC15" s="285">
        <v>3.9</v>
      </c>
      <c r="AD15" s="285">
        <v>4.3</v>
      </c>
      <c r="AE15" s="285">
        <v>4.5</v>
      </c>
      <c r="AF15" s="285">
        <v>5.2329999999999997</v>
      </c>
      <c r="AG15" s="285">
        <v>5</v>
      </c>
      <c r="AH15" s="286">
        <v>5.3</v>
      </c>
      <c r="AI15" s="287">
        <v>5.6</v>
      </c>
      <c r="AJ15" s="287">
        <v>6.6</v>
      </c>
      <c r="AK15" s="287">
        <v>2.6</v>
      </c>
      <c r="AL15" s="287">
        <v>5.9850000000000003</v>
      </c>
      <c r="AM15" s="287">
        <v>7</v>
      </c>
      <c r="AN15" s="287">
        <v>5.5</v>
      </c>
      <c r="AO15" s="287">
        <v>8.6999999999999993</v>
      </c>
      <c r="AP15" s="287">
        <v>5.7902050000000003</v>
      </c>
      <c r="AQ15" s="287">
        <v>6.5</v>
      </c>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c r="IL15" s="271"/>
      <c r="IM15" s="271"/>
      <c r="IN15" s="271"/>
      <c r="IO15" s="271"/>
      <c r="IP15" s="271"/>
      <c r="IQ15" s="271"/>
      <c r="IR15" s="271"/>
      <c r="IS15" s="271"/>
      <c r="IT15" s="271"/>
    </row>
    <row r="16" spans="1:254" s="279" customFormat="1" ht="16.8" thickBot="1">
      <c r="A16" s="288" t="s">
        <v>365</v>
      </c>
      <c r="B16" s="290">
        <v>0</v>
      </c>
      <c r="C16" s="290">
        <v>0.2</v>
      </c>
      <c r="D16" s="290">
        <v>2.9</v>
      </c>
      <c r="E16" s="290">
        <v>2.9</v>
      </c>
      <c r="F16" s="290">
        <v>2.4</v>
      </c>
      <c r="G16" s="290">
        <v>3.1</v>
      </c>
      <c r="H16" s="290">
        <v>3</v>
      </c>
      <c r="I16" s="290">
        <v>3.2</v>
      </c>
      <c r="J16" s="290">
        <v>3.4</v>
      </c>
      <c r="K16" s="290">
        <v>3.7</v>
      </c>
      <c r="L16" s="290">
        <v>3.6</v>
      </c>
      <c r="M16" s="290">
        <v>3.8</v>
      </c>
      <c r="N16" s="290">
        <v>3.9</v>
      </c>
      <c r="O16" s="290">
        <v>4.0999999999999996</v>
      </c>
      <c r="P16" s="289">
        <v>4.3</v>
      </c>
      <c r="Q16" s="289">
        <v>4.3</v>
      </c>
      <c r="R16" s="289">
        <v>4.2</v>
      </c>
      <c r="S16" s="289">
        <v>3.7</v>
      </c>
      <c r="T16" s="289">
        <v>3.7</v>
      </c>
      <c r="U16" s="289">
        <v>3.4</v>
      </c>
      <c r="V16" s="289">
        <v>3.7</v>
      </c>
      <c r="W16" s="289">
        <v>3.7</v>
      </c>
      <c r="X16" s="289">
        <v>4</v>
      </c>
      <c r="Y16" s="289">
        <v>4</v>
      </c>
      <c r="Z16" s="289">
        <v>3.7</v>
      </c>
      <c r="AA16" s="289">
        <v>4.3</v>
      </c>
      <c r="AB16" s="291">
        <v>4.25</v>
      </c>
      <c r="AC16" s="308">
        <v>4.1950000000000003</v>
      </c>
      <c r="AD16" s="308">
        <f>8.245/2</f>
        <v>4.1224999999999996</v>
      </c>
      <c r="AE16" s="308">
        <v>4.7</v>
      </c>
      <c r="AF16" s="308">
        <v>4.6523023600000002</v>
      </c>
      <c r="AG16" s="308">
        <v>4.4651007800000002</v>
      </c>
      <c r="AH16" s="309">
        <v>4.62</v>
      </c>
      <c r="AI16" s="310">
        <v>5</v>
      </c>
      <c r="AJ16" s="310">
        <v>4.9000000000000004</v>
      </c>
      <c r="AK16" s="310">
        <v>4.9350975000000004</v>
      </c>
      <c r="AL16" s="311">
        <v>5.36</v>
      </c>
      <c r="AM16" s="311">
        <v>5.4</v>
      </c>
      <c r="AN16" s="311">
        <v>5.4847033149999991</v>
      </c>
      <c r="AO16" s="311">
        <v>5.6375000000000002</v>
      </c>
      <c r="AP16" s="311">
        <v>5.59</v>
      </c>
      <c r="AQ16" s="311">
        <v>5.5</v>
      </c>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row>
    <row r="17" spans="1:254" s="279" customFormat="1" ht="17.399999999999999" thickTop="1" thickBot="1">
      <c r="A17" s="312" t="s">
        <v>366</v>
      </c>
      <c r="B17" s="313">
        <v>15</v>
      </c>
      <c r="C17" s="313">
        <v>6.1</v>
      </c>
      <c r="D17" s="313">
        <v>11.5</v>
      </c>
      <c r="E17" s="313">
        <v>14.2</v>
      </c>
      <c r="F17" s="313">
        <v>16</v>
      </c>
      <c r="G17" s="313">
        <v>19.899999999999999</v>
      </c>
      <c r="H17" s="313">
        <v>23.7</v>
      </c>
      <c r="I17" s="313">
        <v>29.7</v>
      </c>
      <c r="J17" s="313">
        <v>19</v>
      </c>
      <c r="K17" s="313">
        <v>23.6</v>
      </c>
      <c r="L17" s="313">
        <v>23.4</v>
      </c>
      <c r="M17" s="313">
        <v>24.3</v>
      </c>
      <c r="N17" s="313">
        <v>28.4</v>
      </c>
      <c r="O17" s="313">
        <v>30.5</v>
      </c>
      <c r="P17" s="314">
        <v>34.9</v>
      </c>
      <c r="Q17" s="314">
        <f t="shared" ref="Q17:AJ17" si="1">SUM(Q13:Q16)</f>
        <v>36.1</v>
      </c>
      <c r="R17" s="314">
        <f t="shared" si="1"/>
        <v>35.4</v>
      </c>
      <c r="S17" s="314">
        <f t="shared" si="1"/>
        <v>35.900000000000006</v>
      </c>
      <c r="T17" s="314">
        <f t="shared" si="1"/>
        <v>36.380000000000003</v>
      </c>
      <c r="U17" s="314">
        <f t="shared" si="1"/>
        <v>38.9</v>
      </c>
      <c r="V17" s="314">
        <f t="shared" si="1"/>
        <v>37.6</v>
      </c>
      <c r="W17" s="314">
        <f t="shared" si="1"/>
        <v>42.5</v>
      </c>
      <c r="X17" s="314">
        <f t="shared" si="1"/>
        <v>50.910000000000004</v>
      </c>
      <c r="Y17" s="314">
        <f t="shared" si="1"/>
        <v>52.555</v>
      </c>
      <c r="Z17" s="314">
        <f t="shared" si="1"/>
        <v>57.199999999999996</v>
      </c>
      <c r="AA17" s="314">
        <f t="shared" si="1"/>
        <v>57.92</v>
      </c>
      <c r="AB17" s="315">
        <f t="shared" si="1"/>
        <v>60.650000000000006</v>
      </c>
      <c r="AC17" s="315">
        <f t="shared" si="1"/>
        <v>60.265000000000001</v>
      </c>
      <c r="AD17" s="315">
        <f t="shared" si="1"/>
        <v>62.222499999999997</v>
      </c>
      <c r="AE17" s="315">
        <f t="shared" si="1"/>
        <v>64.27</v>
      </c>
      <c r="AF17" s="315">
        <f t="shared" si="1"/>
        <v>69.700987359999999</v>
      </c>
      <c r="AG17" s="315">
        <f t="shared" si="1"/>
        <v>74.265100779999997</v>
      </c>
      <c r="AH17" s="316">
        <f t="shared" si="1"/>
        <v>73.010000000000005</v>
      </c>
      <c r="AI17" s="316">
        <f t="shared" si="1"/>
        <v>78.5</v>
      </c>
      <c r="AJ17" s="316">
        <f t="shared" si="1"/>
        <v>90.3</v>
      </c>
      <c r="AK17" s="316">
        <f>SUM(AK13:AK16)</f>
        <v>84.865485499999991</v>
      </c>
      <c r="AL17" s="316">
        <f>SUM(AL13:AL16)</f>
        <v>88.185348320000003</v>
      </c>
      <c r="AM17" s="316">
        <f>SUM(AM13:AM16)</f>
        <v>85.2</v>
      </c>
      <c r="AN17" s="316">
        <v>89.876589085000006</v>
      </c>
      <c r="AO17" s="316">
        <v>89.905254220000003</v>
      </c>
      <c r="AP17" s="316">
        <v>89.579345000000004</v>
      </c>
      <c r="AQ17" s="316">
        <v>91</v>
      </c>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row>
    <row r="18" spans="1:254" s="318" customFormat="1" ht="17.399999999999999" thickBot="1">
      <c r="A18" s="295" t="s">
        <v>367</v>
      </c>
      <c r="B18" s="296">
        <f t="shared" ref="B18:AH18" si="2">B9+B11+B17</f>
        <v>17.3</v>
      </c>
      <c r="C18" s="296">
        <f t="shared" si="2"/>
        <v>8.3999999999999986</v>
      </c>
      <c r="D18" s="296">
        <f t="shared" si="2"/>
        <v>16.100000000000001</v>
      </c>
      <c r="E18" s="296">
        <f t="shared" si="2"/>
        <v>23.299999999999997</v>
      </c>
      <c r="F18" s="296">
        <f t="shared" si="2"/>
        <v>35.6</v>
      </c>
      <c r="G18" s="296">
        <f t="shared" si="2"/>
        <v>35.799999999999997</v>
      </c>
      <c r="H18" s="296">
        <f t="shared" si="2"/>
        <v>43.3</v>
      </c>
      <c r="I18" s="296">
        <f t="shared" si="2"/>
        <v>51.9</v>
      </c>
      <c r="J18" s="296">
        <f t="shared" si="2"/>
        <v>37.799999999999997</v>
      </c>
      <c r="K18" s="296">
        <f t="shared" si="2"/>
        <v>46.6</v>
      </c>
      <c r="L18" s="296">
        <f t="shared" si="2"/>
        <v>56.199999999999996</v>
      </c>
      <c r="M18" s="296">
        <f t="shared" si="2"/>
        <v>57.3</v>
      </c>
      <c r="N18" s="296">
        <f t="shared" si="2"/>
        <v>95.4</v>
      </c>
      <c r="O18" s="296">
        <f t="shared" si="2"/>
        <v>80.099999999999994</v>
      </c>
      <c r="P18" s="296">
        <f t="shared" si="2"/>
        <v>90.8</v>
      </c>
      <c r="Q18" s="296">
        <f t="shared" si="2"/>
        <v>107.5</v>
      </c>
      <c r="R18" s="296">
        <f t="shared" si="2"/>
        <v>103.9</v>
      </c>
      <c r="S18" s="296">
        <f t="shared" si="2"/>
        <v>118.10000000000001</v>
      </c>
      <c r="T18" s="296">
        <f t="shared" si="2"/>
        <v>141.28</v>
      </c>
      <c r="U18" s="296">
        <f t="shared" si="2"/>
        <v>147.1</v>
      </c>
      <c r="V18" s="296">
        <f t="shared" si="2"/>
        <v>145.80000000000001</v>
      </c>
      <c r="W18" s="296">
        <f t="shared" si="2"/>
        <v>146.5</v>
      </c>
      <c r="X18" s="296">
        <f t="shared" si="2"/>
        <v>195.10999999999999</v>
      </c>
      <c r="Y18" s="296">
        <f t="shared" si="2"/>
        <v>199.755</v>
      </c>
      <c r="Z18" s="296">
        <f t="shared" si="2"/>
        <v>202.9</v>
      </c>
      <c r="AA18" s="296">
        <f t="shared" si="2"/>
        <v>193.73000000000002</v>
      </c>
      <c r="AB18" s="297">
        <f t="shared" si="2"/>
        <v>198.55</v>
      </c>
      <c r="AC18" s="297">
        <f t="shared" si="2"/>
        <v>199.74700000000001</v>
      </c>
      <c r="AD18" s="297">
        <f t="shared" si="2"/>
        <v>211.11993393999995</v>
      </c>
      <c r="AE18" s="297">
        <f t="shared" si="2"/>
        <v>242.12944282999996</v>
      </c>
      <c r="AF18" s="297">
        <f t="shared" si="2"/>
        <v>269.28320039000005</v>
      </c>
      <c r="AG18" s="297">
        <f t="shared" si="2"/>
        <v>295.31872501999993</v>
      </c>
      <c r="AH18" s="298">
        <f t="shared" si="2"/>
        <v>321.94</v>
      </c>
      <c r="AI18" s="317">
        <f>AI9+AI10+AI17</f>
        <v>317.7</v>
      </c>
      <c r="AJ18" s="317">
        <f>AJ9+AJ10+AJ17</f>
        <v>322.40148199999999</v>
      </c>
      <c r="AK18" s="317">
        <f>AK9+AK10+AK17</f>
        <v>343.16651961999997</v>
      </c>
      <c r="AL18" s="317">
        <f>AL9+AL10+AL17</f>
        <v>346.34075089999999</v>
      </c>
      <c r="AM18" s="317">
        <f>AM9+AM10+AM17</f>
        <v>339.9</v>
      </c>
      <c r="AN18" s="317">
        <v>348.64765680500011</v>
      </c>
      <c r="AO18" s="317">
        <v>330.29548194</v>
      </c>
      <c r="AP18" s="317">
        <v>327.66055675000001</v>
      </c>
      <c r="AQ18" s="317">
        <v>344.6</v>
      </c>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row>
    <row r="19" spans="1:254" s="279" customFormat="1" ht="17.399999999999999">
      <c r="A19" s="319" t="s">
        <v>383</v>
      </c>
      <c r="B19" s="300">
        <v>0</v>
      </c>
      <c r="C19" s="300">
        <v>0</v>
      </c>
      <c r="D19" s="300">
        <v>0</v>
      </c>
      <c r="E19" s="300">
        <v>0</v>
      </c>
      <c r="F19" s="300">
        <v>0</v>
      </c>
      <c r="G19" s="300">
        <v>0</v>
      </c>
      <c r="H19" s="300">
        <v>0</v>
      </c>
      <c r="I19" s="300">
        <v>0</v>
      </c>
      <c r="J19" s="300">
        <v>0</v>
      </c>
      <c r="K19" s="300">
        <v>0</v>
      </c>
      <c r="L19" s="300">
        <v>0</v>
      </c>
      <c r="M19" s="300">
        <v>0</v>
      </c>
      <c r="N19" s="300">
        <v>0</v>
      </c>
      <c r="O19" s="300">
        <v>0</v>
      </c>
      <c r="P19" s="301">
        <v>0</v>
      </c>
      <c r="Q19" s="301"/>
      <c r="R19" s="301"/>
      <c r="S19" s="301"/>
      <c r="T19" s="301"/>
      <c r="U19" s="301"/>
      <c r="V19" s="301"/>
      <c r="W19" s="301"/>
      <c r="X19" s="301"/>
      <c r="Y19" s="301"/>
      <c r="Z19" s="301"/>
      <c r="AA19" s="301"/>
      <c r="AB19" s="302"/>
      <c r="AC19" s="303"/>
      <c r="AD19" s="303"/>
      <c r="AE19" s="303"/>
      <c r="AF19" s="303"/>
      <c r="AG19" s="303"/>
      <c r="AH19" s="304"/>
      <c r="AI19" s="303"/>
      <c r="AJ19" s="303"/>
      <c r="AK19" s="303"/>
      <c r="AL19" s="303"/>
      <c r="AM19" s="303"/>
      <c r="AN19" s="303"/>
      <c r="AO19" s="303"/>
      <c r="AP19" s="303"/>
      <c r="AQ19" s="303"/>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row>
    <row r="20" spans="1:254" s="279" customFormat="1" ht="16.2">
      <c r="A20" s="320" t="s">
        <v>368</v>
      </c>
      <c r="B20" s="281">
        <v>15</v>
      </c>
      <c r="C20" s="281">
        <v>6.4</v>
      </c>
      <c r="D20" s="281">
        <v>9.1999999999999993</v>
      </c>
      <c r="E20" s="281">
        <v>12.1</v>
      </c>
      <c r="F20" s="281">
        <v>12.7</v>
      </c>
      <c r="G20" s="281">
        <v>15.3</v>
      </c>
      <c r="H20" s="281">
        <v>17.100000000000001</v>
      </c>
      <c r="I20" s="281">
        <v>22.2</v>
      </c>
      <c r="J20" s="281">
        <v>24.3</v>
      </c>
      <c r="K20" s="281">
        <v>24.5</v>
      </c>
      <c r="L20" s="281">
        <v>26</v>
      </c>
      <c r="M20" s="281">
        <v>29.2</v>
      </c>
      <c r="N20" s="281">
        <v>31.4</v>
      </c>
      <c r="O20" s="281">
        <v>40.6</v>
      </c>
      <c r="P20" s="283">
        <v>46.1</v>
      </c>
      <c r="Q20" s="283">
        <v>44.9</v>
      </c>
      <c r="R20" s="283">
        <v>51.1</v>
      </c>
      <c r="S20" s="283">
        <v>52.4</v>
      </c>
      <c r="T20" s="283">
        <v>48.9</v>
      </c>
      <c r="U20" s="283">
        <v>49.4</v>
      </c>
      <c r="V20" s="283">
        <v>48.4</v>
      </c>
      <c r="W20" s="283">
        <v>49.1</v>
      </c>
      <c r="X20" s="283">
        <v>48.5</v>
      </c>
      <c r="Y20" s="283">
        <v>49.9</v>
      </c>
      <c r="Z20" s="283">
        <v>53.3</v>
      </c>
      <c r="AA20" s="283">
        <v>56.4</v>
      </c>
      <c r="AB20" s="284">
        <v>53.4</v>
      </c>
      <c r="AC20" s="285">
        <v>76.009</v>
      </c>
      <c r="AD20" s="285">
        <v>76.900000000000006</v>
      </c>
      <c r="AE20" s="285">
        <v>78.7</v>
      </c>
      <c r="AF20" s="285">
        <v>80.530576881176245</v>
      </c>
      <c r="AG20" s="285">
        <v>79.209488511332921</v>
      </c>
      <c r="AH20" s="286">
        <v>80.599999999999994</v>
      </c>
      <c r="AI20" s="287">
        <v>89.1</v>
      </c>
      <c r="AJ20" s="287">
        <v>83.4</v>
      </c>
      <c r="AK20" s="287">
        <v>89.190742819737665</v>
      </c>
      <c r="AL20" s="287">
        <v>85.597791098136184</v>
      </c>
      <c r="AM20" s="287">
        <v>58.6</v>
      </c>
      <c r="AN20" s="287">
        <v>40.96293249063028</v>
      </c>
      <c r="AO20" s="287">
        <v>39.749498006875612</v>
      </c>
      <c r="AP20" s="287">
        <v>32.529644248456414</v>
      </c>
      <c r="AQ20" s="287">
        <v>29.3</v>
      </c>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row>
    <row r="21" spans="1:254" s="279" customFormat="1" ht="16.2">
      <c r="A21" s="320" t="s">
        <v>369</v>
      </c>
      <c r="B21" s="281">
        <v>0</v>
      </c>
      <c r="C21" s="281">
        <v>0</v>
      </c>
      <c r="D21" s="281">
        <v>0</v>
      </c>
      <c r="E21" s="281">
        <v>0</v>
      </c>
      <c r="F21" s="281">
        <v>0</v>
      </c>
      <c r="G21" s="281">
        <v>0.1</v>
      </c>
      <c r="H21" s="281">
        <v>0.5</v>
      </c>
      <c r="I21" s="281">
        <v>0.8</v>
      </c>
      <c r="J21" s="281">
        <v>1.1000000000000001</v>
      </c>
      <c r="K21" s="281">
        <v>1.7</v>
      </c>
      <c r="L21" s="281">
        <v>2.4</v>
      </c>
      <c r="M21" s="281">
        <v>3.6</v>
      </c>
      <c r="N21" s="281">
        <v>4.8</v>
      </c>
      <c r="O21" s="281">
        <v>5.5</v>
      </c>
      <c r="P21" s="283">
        <v>6.8</v>
      </c>
      <c r="Q21" s="283">
        <v>8.5</v>
      </c>
      <c r="R21" s="283">
        <v>10.6</v>
      </c>
      <c r="S21" s="283">
        <v>12.4</v>
      </c>
      <c r="T21" s="283">
        <v>14.1</v>
      </c>
      <c r="U21" s="283">
        <v>15.3</v>
      </c>
      <c r="V21" s="283">
        <v>16.100000000000001</v>
      </c>
      <c r="W21" s="283">
        <v>16.8</v>
      </c>
      <c r="X21" s="283">
        <v>17.2</v>
      </c>
      <c r="Y21" s="283">
        <v>17.399999999999999</v>
      </c>
      <c r="Z21" s="283">
        <v>17.5</v>
      </c>
      <c r="AA21" s="283">
        <v>17.399999999999999</v>
      </c>
      <c r="AB21" s="284">
        <v>17.399999999999999</v>
      </c>
      <c r="AC21" s="285">
        <v>22.885000000000002</v>
      </c>
      <c r="AD21" s="285">
        <v>24.4</v>
      </c>
      <c r="AE21" s="285">
        <v>24.6</v>
      </c>
      <c r="AF21" s="285">
        <v>24.957999999999998</v>
      </c>
      <c r="AG21" s="285">
        <v>28.347999999999999</v>
      </c>
      <c r="AH21" s="286">
        <v>30.2</v>
      </c>
      <c r="AI21" s="287">
        <v>35.700000000000003</v>
      </c>
      <c r="AJ21" s="287">
        <v>38.700000000000003</v>
      </c>
      <c r="AK21" s="287">
        <v>41.33590118</v>
      </c>
      <c r="AL21" s="287">
        <v>42.480182859999999</v>
      </c>
      <c r="AM21" s="287">
        <v>42.5</v>
      </c>
      <c r="AN21" s="287">
        <v>43.360067620000002</v>
      </c>
      <c r="AO21" s="287">
        <v>45.052117350000003</v>
      </c>
      <c r="AP21" s="287">
        <v>46.68507893999999</v>
      </c>
      <c r="AQ21" s="287">
        <v>47.4</v>
      </c>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1"/>
      <c r="FV21" s="271"/>
      <c r="FW21" s="271"/>
      <c r="FX21" s="271"/>
      <c r="FY21" s="271"/>
      <c r="FZ21" s="271"/>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1"/>
      <c r="HO21" s="271"/>
      <c r="HP21" s="271"/>
      <c r="HQ21" s="271"/>
      <c r="HR21" s="271"/>
      <c r="HS21" s="271"/>
      <c r="HT21" s="271"/>
      <c r="HU21" s="271"/>
      <c r="HV21" s="271"/>
      <c r="HW21" s="271"/>
      <c r="HX21" s="271"/>
      <c r="HY21" s="271"/>
      <c r="HZ21" s="271"/>
      <c r="IA21" s="271"/>
      <c r="IB21" s="271"/>
      <c r="IC21" s="271"/>
      <c r="ID21" s="271"/>
      <c r="IE21" s="271"/>
      <c r="IF21" s="271"/>
      <c r="IG21" s="271"/>
      <c r="IH21" s="271"/>
      <c r="II21" s="271"/>
      <c r="IJ21" s="271"/>
      <c r="IK21" s="271"/>
      <c r="IL21" s="271"/>
      <c r="IM21" s="271"/>
      <c r="IN21" s="271"/>
      <c r="IO21" s="271"/>
      <c r="IP21" s="271"/>
      <c r="IQ21" s="271"/>
      <c r="IR21" s="271"/>
      <c r="IS21" s="271"/>
      <c r="IT21" s="271"/>
    </row>
    <row r="22" spans="1:254" s="279" customFormat="1" ht="16.2">
      <c r="A22" s="321" t="s">
        <v>370</v>
      </c>
      <c r="B22" s="290">
        <v>9</v>
      </c>
      <c r="C22" s="290">
        <v>2.4</v>
      </c>
      <c r="D22" s="290">
        <v>3.2</v>
      </c>
      <c r="E22" s="290">
        <v>3.8</v>
      </c>
      <c r="F22" s="290">
        <v>3.9</v>
      </c>
      <c r="G22" s="290">
        <v>4.3</v>
      </c>
      <c r="H22" s="290">
        <v>4.5</v>
      </c>
      <c r="I22" s="290">
        <v>5.5</v>
      </c>
      <c r="J22" s="290">
        <v>5.6</v>
      </c>
      <c r="K22" s="290">
        <v>5.7</v>
      </c>
      <c r="L22" s="290">
        <v>5.9</v>
      </c>
      <c r="M22" s="290">
        <v>5.4</v>
      </c>
      <c r="N22" s="290">
        <v>5.7</v>
      </c>
      <c r="O22" s="290">
        <v>7.5</v>
      </c>
      <c r="P22" s="289">
        <v>8.4</v>
      </c>
      <c r="Q22" s="289">
        <v>10.199999999999999</v>
      </c>
      <c r="R22" s="289">
        <v>11.4</v>
      </c>
      <c r="S22" s="289">
        <v>11.5</v>
      </c>
      <c r="T22" s="289">
        <v>11.1</v>
      </c>
      <c r="U22" s="289">
        <v>11.4</v>
      </c>
      <c r="V22" s="289">
        <v>11.8</v>
      </c>
      <c r="W22" s="289">
        <v>12.3</v>
      </c>
      <c r="X22" s="289">
        <v>12.5</v>
      </c>
      <c r="Y22" s="289">
        <v>13.2</v>
      </c>
      <c r="Z22" s="289">
        <v>14.6</v>
      </c>
      <c r="AA22" s="289">
        <v>15.9</v>
      </c>
      <c r="AB22" s="284">
        <v>16.7</v>
      </c>
      <c r="AC22" s="285">
        <v>14.016</v>
      </c>
      <c r="AD22" s="285">
        <v>14.9</v>
      </c>
      <c r="AE22" s="285">
        <v>16.7</v>
      </c>
      <c r="AF22" s="285">
        <v>18.027533333333334</v>
      </c>
      <c r="AG22" s="285">
        <v>19.615093333333334</v>
      </c>
      <c r="AH22" s="286">
        <v>20.7</v>
      </c>
      <c r="AI22" s="287">
        <v>18.600000000000001</v>
      </c>
      <c r="AJ22" s="287">
        <v>19.2</v>
      </c>
      <c r="AK22" s="287">
        <v>20.052135293333333</v>
      </c>
      <c r="AL22" s="287">
        <v>20.139013176666666</v>
      </c>
      <c r="AM22" s="287">
        <v>20.3</v>
      </c>
      <c r="AN22" s="287">
        <v>20.750098586666667</v>
      </c>
      <c r="AO22" s="287">
        <v>21.025147253333333</v>
      </c>
      <c r="AP22" s="287">
        <v>21.130393066666663</v>
      </c>
      <c r="AQ22" s="287">
        <v>22</v>
      </c>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1"/>
      <c r="FV22" s="271"/>
      <c r="FW22" s="271"/>
      <c r="FX22" s="271"/>
      <c r="FY22" s="271"/>
      <c r="FZ22" s="271"/>
      <c r="GA22" s="271"/>
      <c r="GB22" s="271"/>
      <c r="GC22" s="271"/>
      <c r="GD22" s="271"/>
      <c r="GE22" s="271"/>
      <c r="GF22" s="271"/>
      <c r="GG22" s="271"/>
      <c r="GH22" s="271"/>
      <c r="GI22" s="271"/>
      <c r="GJ22" s="271"/>
      <c r="GK22" s="271"/>
      <c r="GL22" s="271"/>
      <c r="GM22" s="271"/>
      <c r="GN22" s="271"/>
      <c r="GO22" s="271"/>
      <c r="GP22" s="271"/>
      <c r="GQ22" s="271"/>
      <c r="GR22" s="271"/>
      <c r="GS22" s="271"/>
      <c r="GT22" s="271"/>
      <c r="GU22" s="271"/>
      <c r="GV22" s="271"/>
      <c r="GW22" s="271"/>
      <c r="GX22" s="271"/>
      <c r="GY22" s="271"/>
      <c r="GZ22" s="271"/>
      <c r="HA22" s="271"/>
      <c r="HB22" s="271"/>
      <c r="HC22" s="271"/>
      <c r="HD22" s="271"/>
      <c r="HE22" s="271"/>
      <c r="HF22" s="271"/>
      <c r="HG22" s="271"/>
      <c r="HH22" s="271"/>
      <c r="HI22" s="271"/>
      <c r="HJ22" s="271"/>
      <c r="HK22" s="271"/>
      <c r="HL22" s="271"/>
      <c r="HM22" s="271"/>
      <c r="HN22" s="271"/>
      <c r="HO22" s="271"/>
      <c r="HP22" s="271"/>
      <c r="HQ22" s="271"/>
      <c r="HR22" s="271"/>
      <c r="HS22" s="271"/>
      <c r="HT22" s="271"/>
      <c r="HU22" s="271"/>
      <c r="HV22" s="271"/>
      <c r="HW22" s="271"/>
      <c r="HX22" s="271"/>
      <c r="HY22" s="271"/>
      <c r="HZ22" s="271"/>
      <c r="IA22" s="271"/>
      <c r="IB22" s="271"/>
      <c r="IC22" s="271"/>
      <c r="ID22" s="271"/>
      <c r="IE22" s="271"/>
      <c r="IF22" s="271"/>
      <c r="IG22" s="271"/>
      <c r="IH22" s="271"/>
      <c r="II22" s="271"/>
      <c r="IJ22" s="271"/>
      <c r="IK22" s="271"/>
      <c r="IL22" s="271"/>
      <c r="IM22" s="271"/>
      <c r="IN22" s="271"/>
      <c r="IO22" s="271"/>
      <c r="IP22" s="271"/>
      <c r="IQ22" s="271"/>
      <c r="IR22" s="271"/>
      <c r="IS22" s="271"/>
      <c r="IT22" s="271"/>
    </row>
    <row r="23" spans="1:254" s="299" customFormat="1" ht="17.399999999999999" thickBot="1">
      <c r="A23" s="322" t="s">
        <v>371</v>
      </c>
      <c r="B23" s="323">
        <f t="shared" ref="B23:AH23" si="3">SUM(B20:B22)</f>
        <v>24</v>
      </c>
      <c r="C23" s="323">
        <f t="shared" si="3"/>
        <v>8.8000000000000007</v>
      </c>
      <c r="D23" s="323">
        <f t="shared" si="3"/>
        <v>12.399999999999999</v>
      </c>
      <c r="E23" s="323">
        <f t="shared" si="3"/>
        <v>15.899999999999999</v>
      </c>
      <c r="F23" s="323">
        <f t="shared" si="3"/>
        <v>16.599999999999998</v>
      </c>
      <c r="G23" s="323">
        <f t="shared" si="3"/>
        <v>19.7</v>
      </c>
      <c r="H23" s="323">
        <f t="shared" si="3"/>
        <v>22.1</v>
      </c>
      <c r="I23" s="323">
        <f t="shared" si="3"/>
        <v>28.5</v>
      </c>
      <c r="J23" s="323">
        <f t="shared" si="3"/>
        <v>31</v>
      </c>
      <c r="K23" s="323">
        <f t="shared" si="3"/>
        <v>31.9</v>
      </c>
      <c r="L23" s="323">
        <f t="shared" si="3"/>
        <v>34.299999999999997</v>
      </c>
      <c r="M23" s="323">
        <f t="shared" si="3"/>
        <v>38.199999999999996</v>
      </c>
      <c r="N23" s="323">
        <f t="shared" si="3"/>
        <v>41.9</v>
      </c>
      <c r="O23" s="323">
        <f t="shared" si="3"/>
        <v>53.6</v>
      </c>
      <c r="P23" s="323">
        <f t="shared" si="3"/>
        <v>61.3</v>
      </c>
      <c r="Q23" s="323">
        <f t="shared" si="3"/>
        <v>63.599999999999994</v>
      </c>
      <c r="R23" s="323">
        <f t="shared" si="3"/>
        <v>73.100000000000009</v>
      </c>
      <c r="S23" s="323">
        <f t="shared" si="3"/>
        <v>76.3</v>
      </c>
      <c r="T23" s="323">
        <f t="shared" si="3"/>
        <v>74.099999999999994</v>
      </c>
      <c r="U23" s="323">
        <f t="shared" si="3"/>
        <v>76.100000000000009</v>
      </c>
      <c r="V23" s="323">
        <f t="shared" si="3"/>
        <v>76.3</v>
      </c>
      <c r="W23" s="323">
        <f t="shared" si="3"/>
        <v>78.2</v>
      </c>
      <c r="X23" s="323">
        <f t="shared" si="3"/>
        <v>78.2</v>
      </c>
      <c r="Y23" s="323">
        <f t="shared" si="3"/>
        <v>80.5</v>
      </c>
      <c r="Z23" s="323">
        <f t="shared" si="3"/>
        <v>85.399999999999991</v>
      </c>
      <c r="AA23" s="323">
        <f t="shared" si="3"/>
        <v>89.7</v>
      </c>
      <c r="AB23" s="324">
        <f t="shared" si="3"/>
        <v>87.5</v>
      </c>
      <c r="AC23" s="324">
        <f t="shared" si="3"/>
        <v>112.91000000000001</v>
      </c>
      <c r="AD23" s="324">
        <f t="shared" si="3"/>
        <v>116.20000000000002</v>
      </c>
      <c r="AE23" s="324">
        <f t="shared" si="3"/>
        <v>120.00000000000001</v>
      </c>
      <c r="AF23" s="324">
        <f t="shared" si="3"/>
        <v>123.51611021450958</v>
      </c>
      <c r="AG23" s="324">
        <f t="shared" si="3"/>
        <v>127.17258184466625</v>
      </c>
      <c r="AH23" s="325">
        <f t="shared" si="3"/>
        <v>131.5</v>
      </c>
      <c r="AI23" s="324">
        <f>SUM(AI20:AI22)</f>
        <v>143.4</v>
      </c>
      <c r="AJ23" s="324">
        <f>SUM(AJ20:AJ22)</f>
        <v>141.30000000000001</v>
      </c>
      <c r="AK23" s="324">
        <f>SUM(AK20:AK22)</f>
        <v>150.57877929307099</v>
      </c>
      <c r="AL23" s="324">
        <f>SUM(AL20:AL22)</f>
        <v>148.21698713480282</v>
      </c>
      <c r="AM23" s="324">
        <f>SUM(AM20:AM22)</f>
        <v>121.39999999999999</v>
      </c>
      <c r="AN23" s="324">
        <v>105.07309869729696</v>
      </c>
      <c r="AO23" s="324">
        <v>105.82676261020895</v>
      </c>
      <c r="AP23" s="324">
        <v>100.34511625512306</v>
      </c>
      <c r="AQ23" s="324">
        <v>98.7</v>
      </c>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row>
    <row r="24" spans="1:254" s="299" customFormat="1" ht="17.399999999999999" thickBot="1">
      <c r="A24" s="295" t="s">
        <v>372</v>
      </c>
      <c r="B24" s="296">
        <f t="shared" ref="B24:AI24" si="4">B18+B23</f>
        <v>41.3</v>
      </c>
      <c r="C24" s="296">
        <f t="shared" si="4"/>
        <v>17.2</v>
      </c>
      <c r="D24" s="296">
        <f t="shared" si="4"/>
        <v>28.5</v>
      </c>
      <c r="E24" s="296">
        <f t="shared" si="4"/>
        <v>39.199999999999996</v>
      </c>
      <c r="F24" s="296">
        <f t="shared" si="4"/>
        <v>52.2</v>
      </c>
      <c r="G24" s="296">
        <f t="shared" si="4"/>
        <v>55.5</v>
      </c>
      <c r="H24" s="296">
        <f t="shared" si="4"/>
        <v>65.400000000000006</v>
      </c>
      <c r="I24" s="296">
        <f t="shared" si="4"/>
        <v>80.400000000000006</v>
      </c>
      <c r="J24" s="296">
        <f t="shared" si="4"/>
        <v>68.8</v>
      </c>
      <c r="K24" s="296">
        <f t="shared" si="4"/>
        <v>78.5</v>
      </c>
      <c r="L24" s="296">
        <f t="shared" si="4"/>
        <v>90.5</v>
      </c>
      <c r="M24" s="296">
        <f t="shared" si="4"/>
        <v>95.5</v>
      </c>
      <c r="N24" s="296">
        <f t="shared" si="4"/>
        <v>137.30000000000001</v>
      </c>
      <c r="O24" s="296">
        <f t="shared" si="4"/>
        <v>133.69999999999999</v>
      </c>
      <c r="P24" s="296">
        <f t="shared" si="4"/>
        <v>152.1</v>
      </c>
      <c r="Q24" s="296">
        <f t="shared" si="4"/>
        <v>171.1</v>
      </c>
      <c r="R24" s="296">
        <f t="shared" si="4"/>
        <v>177</v>
      </c>
      <c r="S24" s="296">
        <f t="shared" si="4"/>
        <v>194.4</v>
      </c>
      <c r="T24" s="296">
        <f t="shared" si="4"/>
        <v>215.38</v>
      </c>
      <c r="U24" s="296">
        <f t="shared" si="4"/>
        <v>223.2</v>
      </c>
      <c r="V24" s="296">
        <f t="shared" si="4"/>
        <v>222.10000000000002</v>
      </c>
      <c r="W24" s="296">
        <f t="shared" si="4"/>
        <v>224.7</v>
      </c>
      <c r="X24" s="296">
        <f t="shared" si="4"/>
        <v>273.31</v>
      </c>
      <c r="Y24" s="296">
        <f t="shared" si="4"/>
        <v>280.255</v>
      </c>
      <c r="Z24" s="296">
        <f t="shared" si="4"/>
        <v>288.3</v>
      </c>
      <c r="AA24" s="296">
        <f t="shared" si="4"/>
        <v>283.43</v>
      </c>
      <c r="AB24" s="297">
        <f t="shared" si="4"/>
        <v>286.05</v>
      </c>
      <c r="AC24" s="297">
        <f t="shared" si="4"/>
        <v>312.65700000000004</v>
      </c>
      <c r="AD24" s="297">
        <f t="shared" si="4"/>
        <v>327.31993393999994</v>
      </c>
      <c r="AE24" s="297">
        <f t="shared" si="4"/>
        <v>362.12944282999996</v>
      </c>
      <c r="AF24" s="297">
        <f t="shared" si="4"/>
        <v>392.79931060450963</v>
      </c>
      <c r="AG24" s="297">
        <f t="shared" si="4"/>
        <v>422.49130686466617</v>
      </c>
      <c r="AH24" s="298">
        <f t="shared" si="4"/>
        <v>453.44</v>
      </c>
      <c r="AI24" s="298">
        <f t="shared" si="4"/>
        <v>461.1</v>
      </c>
      <c r="AJ24" s="298">
        <f>AJ18+AJ23</f>
        <v>463.701482</v>
      </c>
      <c r="AK24" s="298">
        <f>AK18+AK23</f>
        <v>493.745298913071</v>
      </c>
      <c r="AL24" s="298">
        <f>AL18+AL23</f>
        <v>494.55773803480281</v>
      </c>
      <c r="AM24" s="298">
        <f>AM18+AM23</f>
        <v>461.29999999999995</v>
      </c>
      <c r="AN24" s="298">
        <v>453.72075550229704</v>
      </c>
      <c r="AO24" s="298">
        <v>436.12224455020896</v>
      </c>
      <c r="AP24" s="298">
        <v>428.00567300512307</v>
      </c>
      <c r="AQ24" s="298">
        <v>443.3</v>
      </c>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row>
    <row r="25" spans="1:254" s="299" customFormat="1" ht="16.8">
      <c r="A25" s="273" t="s">
        <v>373</v>
      </c>
      <c r="B25" s="326">
        <v>0</v>
      </c>
      <c r="C25" s="326">
        <v>0</v>
      </c>
      <c r="D25" s="326">
        <v>0</v>
      </c>
      <c r="E25" s="326">
        <v>0</v>
      </c>
      <c r="F25" s="326">
        <v>0</v>
      </c>
      <c r="G25" s="326">
        <v>0</v>
      </c>
      <c r="H25" s="326">
        <v>0</v>
      </c>
      <c r="I25" s="326">
        <v>0</v>
      </c>
      <c r="J25" s="326">
        <v>0</v>
      </c>
      <c r="K25" s="326">
        <v>0</v>
      </c>
      <c r="L25" s="326">
        <v>0</v>
      </c>
      <c r="M25" s="326">
        <v>0</v>
      </c>
      <c r="N25" s="326">
        <v>0</v>
      </c>
      <c r="O25" s="326">
        <v>0</v>
      </c>
      <c r="P25" s="327">
        <v>0</v>
      </c>
      <c r="Q25" s="327"/>
      <c r="R25" s="327"/>
      <c r="S25" s="327"/>
      <c r="T25" s="327"/>
      <c r="U25" s="327"/>
      <c r="V25" s="327"/>
      <c r="W25" s="327"/>
      <c r="X25" s="327"/>
      <c r="Y25" s="327"/>
      <c r="Z25" s="327"/>
      <c r="AA25" s="327"/>
      <c r="AB25" s="328"/>
      <c r="AC25" s="278"/>
      <c r="AD25" s="278"/>
      <c r="AE25" s="278"/>
      <c r="AF25" s="278"/>
      <c r="AG25" s="278"/>
      <c r="AH25" s="306"/>
      <c r="AI25" s="278"/>
      <c r="AJ25" s="278"/>
      <c r="AK25" s="278"/>
      <c r="AL25" s="278"/>
      <c r="AM25" s="278"/>
      <c r="AN25" s="278"/>
      <c r="AO25" s="278"/>
      <c r="AP25" s="278"/>
      <c r="AQ25" s="278"/>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row>
    <row r="26" spans="1:254" s="299" customFormat="1" ht="16.8">
      <c r="A26" s="305" t="s">
        <v>398</v>
      </c>
      <c r="B26" s="281">
        <v>0</v>
      </c>
      <c r="C26" s="281">
        <v>3</v>
      </c>
      <c r="D26" s="281">
        <v>14</v>
      </c>
      <c r="E26" s="281">
        <v>1</v>
      </c>
      <c r="F26" s="281">
        <v>8</v>
      </c>
      <c r="G26" s="281">
        <v>27</v>
      </c>
      <c r="H26" s="281">
        <v>19</v>
      </c>
      <c r="I26" s="281">
        <v>9</v>
      </c>
      <c r="J26" s="281">
        <v>10</v>
      </c>
      <c r="K26" s="281">
        <v>15</v>
      </c>
      <c r="L26" s="281">
        <v>15</v>
      </c>
      <c r="M26" s="281">
        <v>15</v>
      </c>
      <c r="N26" s="281">
        <v>23</v>
      </c>
      <c r="O26" s="281">
        <v>45</v>
      </c>
      <c r="P26" s="283">
        <v>62</v>
      </c>
      <c r="Q26" s="283">
        <v>7.1</v>
      </c>
      <c r="R26" s="283">
        <v>81.7</v>
      </c>
      <c r="S26" s="283">
        <v>107.8</v>
      </c>
      <c r="T26" s="283">
        <v>116.5</v>
      </c>
      <c r="U26" s="283">
        <v>197.8</v>
      </c>
      <c r="V26" s="283">
        <v>193.1</v>
      </c>
      <c r="W26" s="283">
        <v>115.9</v>
      </c>
      <c r="X26" s="283">
        <v>12.6</v>
      </c>
      <c r="Y26" s="283">
        <v>79.2</v>
      </c>
      <c r="Z26" s="283">
        <v>21.7</v>
      </c>
      <c r="AA26" s="283">
        <v>182.1</v>
      </c>
      <c r="AB26" s="284">
        <v>397.43809968000011</v>
      </c>
      <c r="AC26" s="285">
        <v>282.625</v>
      </c>
      <c r="AD26" s="285">
        <v>273.51942685714278</v>
      </c>
      <c r="AE26" s="285">
        <v>142.81399999999999</v>
      </c>
      <c r="AF26" s="285">
        <v>99.430963576774104</v>
      </c>
      <c r="AG26" s="285">
        <v>156.68200350000001</v>
      </c>
      <c r="AH26" s="286">
        <v>152.19999999999999</v>
      </c>
      <c r="AI26" s="287">
        <v>135.50800000000001</v>
      </c>
      <c r="AJ26" s="287">
        <v>122.74434447903229</v>
      </c>
      <c r="AK26" s="287">
        <v>195.79544710838707</v>
      </c>
      <c r="AL26" s="287">
        <v>76.641885441290313</v>
      </c>
      <c r="AM26" s="287">
        <v>9.6</v>
      </c>
      <c r="AN26" s="287">
        <v>2.9</v>
      </c>
      <c r="AO26" s="287">
        <v>174.36280763741945</v>
      </c>
      <c r="AP26" s="287">
        <v>33.426027722903228</v>
      </c>
      <c r="AQ26" s="287">
        <v>190.6</v>
      </c>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row>
    <row r="27" spans="1:254" s="279" customFormat="1" ht="16.8" thickBot="1">
      <c r="A27" s="305" t="s">
        <v>374</v>
      </c>
      <c r="B27" s="290">
        <v>0</v>
      </c>
      <c r="C27" s="290">
        <v>0</v>
      </c>
      <c r="D27" s="290">
        <v>0</v>
      </c>
      <c r="E27" s="290">
        <v>0</v>
      </c>
      <c r="F27" s="290">
        <v>12</v>
      </c>
      <c r="G27" s="290">
        <v>17</v>
      </c>
      <c r="H27" s="290">
        <v>74</v>
      </c>
      <c r="I27" s="290">
        <v>11</v>
      </c>
      <c r="J27" s="290">
        <v>40</v>
      </c>
      <c r="K27" s="290">
        <v>40</v>
      </c>
      <c r="L27" s="290">
        <v>40</v>
      </c>
      <c r="M27" s="290">
        <v>40</v>
      </c>
      <c r="N27" s="290">
        <v>59</v>
      </c>
      <c r="O27" s="290">
        <v>104</v>
      </c>
      <c r="P27" s="329">
        <v>111.7</v>
      </c>
      <c r="Q27" s="329">
        <v>63.5</v>
      </c>
      <c r="R27" s="329">
        <v>0</v>
      </c>
      <c r="S27" s="329">
        <v>0</v>
      </c>
      <c r="T27" s="329">
        <v>5.4</v>
      </c>
      <c r="U27" s="329">
        <v>47.6</v>
      </c>
      <c r="V27" s="329">
        <v>64.8</v>
      </c>
      <c r="W27" s="329">
        <v>1389.6</v>
      </c>
      <c r="X27" s="329">
        <v>147.80000000000001</v>
      </c>
      <c r="Y27" s="329">
        <v>171.1</v>
      </c>
      <c r="Z27" s="329">
        <v>191</v>
      </c>
      <c r="AA27" s="329">
        <v>110.8</v>
      </c>
      <c r="AB27" s="291">
        <v>168.17764031279995</v>
      </c>
      <c r="AC27" s="308">
        <v>120.69</v>
      </c>
      <c r="AD27" s="308">
        <v>274.94753118857147</v>
      </c>
      <c r="AE27" s="308">
        <v>240.31142110419358</v>
      </c>
      <c r="AF27" s="308">
        <v>310.06640616322585</v>
      </c>
      <c r="AG27" s="308">
        <v>70.690476160000003</v>
      </c>
      <c r="AH27" s="309">
        <v>38.450000000000003</v>
      </c>
      <c r="AI27" s="330">
        <v>85.804000000000002</v>
      </c>
      <c r="AJ27" s="330">
        <v>196.15177862000002</v>
      </c>
      <c r="AK27" s="330">
        <v>67.48132308645161</v>
      </c>
      <c r="AL27" s="330">
        <v>50.291036205161291</v>
      </c>
      <c r="AM27" s="330">
        <v>-20.536000000000001</v>
      </c>
      <c r="AN27" s="330">
        <v>24.260660996129033</v>
      </c>
      <c r="AO27" s="330">
        <v>177.62201441999997</v>
      </c>
      <c r="AP27" s="330">
        <v>150.01999826999997</v>
      </c>
      <c r="AQ27" s="330">
        <v>110.6</v>
      </c>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1"/>
      <c r="FV27" s="271"/>
      <c r="FW27" s="271"/>
      <c r="FX27" s="271"/>
      <c r="FY27" s="271"/>
      <c r="FZ27" s="271"/>
      <c r="GA27" s="271"/>
      <c r="GB27" s="271"/>
      <c r="GC27" s="271"/>
      <c r="GD27" s="271"/>
      <c r="GE27" s="271"/>
      <c r="GF27" s="271"/>
      <c r="GG27" s="271"/>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1"/>
      <c r="HO27" s="271"/>
      <c r="HP27" s="271"/>
      <c r="HQ27" s="271"/>
      <c r="HR27" s="271"/>
      <c r="HS27" s="271"/>
      <c r="HT27" s="271"/>
      <c r="HU27" s="271"/>
      <c r="HV27" s="271"/>
      <c r="HW27" s="271"/>
      <c r="HX27" s="271"/>
      <c r="HY27" s="271"/>
      <c r="HZ27" s="271"/>
      <c r="IA27" s="271"/>
      <c r="IB27" s="271"/>
      <c r="IC27" s="271"/>
      <c r="ID27" s="271"/>
      <c r="IE27" s="271"/>
      <c r="IF27" s="271"/>
      <c r="IG27" s="271"/>
      <c r="IH27" s="271"/>
      <c r="II27" s="271"/>
      <c r="IJ27" s="271"/>
      <c r="IK27" s="271"/>
      <c r="IL27" s="271"/>
      <c r="IM27" s="271"/>
      <c r="IN27" s="271"/>
      <c r="IO27" s="271"/>
      <c r="IP27" s="271"/>
      <c r="IQ27" s="271"/>
      <c r="IR27" s="271"/>
      <c r="IS27" s="271"/>
      <c r="IT27" s="271"/>
    </row>
    <row r="28" spans="1:254" s="299" customFormat="1" ht="18" thickTop="1" thickBot="1">
      <c r="A28" s="331" t="s">
        <v>396</v>
      </c>
      <c r="B28" s="332">
        <f t="shared" ref="B28:AL28" si="5">B26+B27</f>
        <v>0</v>
      </c>
      <c r="C28" s="332">
        <f t="shared" si="5"/>
        <v>3</v>
      </c>
      <c r="D28" s="332">
        <f t="shared" si="5"/>
        <v>14</v>
      </c>
      <c r="E28" s="332">
        <f t="shared" si="5"/>
        <v>1</v>
      </c>
      <c r="F28" s="332">
        <f t="shared" si="5"/>
        <v>20</v>
      </c>
      <c r="G28" s="332">
        <f t="shared" si="5"/>
        <v>44</v>
      </c>
      <c r="H28" s="332">
        <f t="shared" si="5"/>
        <v>93</v>
      </c>
      <c r="I28" s="332">
        <f t="shared" si="5"/>
        <v>20</v>
      </c>
      <c r="J28" s="332">
        <f t="shared" si="5"/>
        <v>50</v>
      </c>
      <c r="K28" s="332">
        <f t="shared" si="5"/>
        <v>55</v>
      </c>
      <c r="L28" s="332">
        <f t="shared" si="5"/>
        <v>55</v>
      </c>
      <c r="M28" s="332">
        <f t="shared" si="5"/>
        <v>55</v>
      </c>
      <c r="N28" s="332">
        <f t="shared" si="5"/>
        <v>82</v>
      </c>
      <c r="O28" s="332">
        <f t="shared" si="5"/>
        <v>149</v>
      </c>
      <c r="P28" s="332">
        <f t="shared" si="5"/>
        <v>173.7</v>
      </c>
      <c r="Q28" s="332">
        <f t="shared" si="5"/>
        <v>70.599999999999994</v>
      </c>
      <c r="R28" s="332">
        <f t="shared" si="5"/>
        <v>81.7</v>
      </c>
      <c r="S28" s="332">
        <f t="shared" si="5"/>
        <v>107.8</v>
      </c>
      <c r="T28" s="332">
        <f t="shared" si="5"/>
        <v>121.9</v>
      </c>
      <c r="U28" s="332">
        <f t="shared" si="5"/>
        <v>245.4</v>
      </c>
      <c r="V28" s="332">
        <f t="shared" si="5"/>
        <v>257.89999999999998</v>
      </c>
      <c r="W28" s="332">
        <f t="shared" si="5"/>
        <v>1505.5</v>
      </c>
      <c r="X28" s="332">
        <f t="shared" si="5"/>
        <v>160.4</v>
      </c>
      <c r="Y28" s="332">
        <f t="shared" si="5"/>
        <v>250.3</v>
      </c>
      <c r="Z28" s="332">
        <f t="shared" si="5"/>
        <v>212.7</v>
      </c>
      <c r="AA28" s="332">
        <f t="shared" si="5"/>
        <v>292.89999999999998</v>
      </c>
      <c r="AB28" s="333">
        <f t="shared" si="5"/>
        <v>565.61573999280006</v>
      </c>
      <c r="AC28" s="333">
        <f t="shared" si="5"/>
        <v>403.315</v>
      </c>
      <c r="AD28" s="333">
        <f t="shared" si="5"/>
        <v>548.46695804571425</v>
      </c>
      <c r="AE28" s="333">
        <f t="shared" si="5"/>
        <v>383.12542110419361</v>
      </c>
      <c r="AF28" s="333">
        <f t="shared" si="5"/>
        <v>409.49736973999995</v>
      </c>
      <c r="AG28" s="333">
        <f t="shared" si="5"/>
        <v>227.37247966000001</v>
      </c>
      <c r="AH28" s="334">
        <f t="shared" si="5"/>
        <v>190.64999999999998</v>
      </c>
      <c r="AI28" s="334">
        <f t="shared" si="5"/>
        <v>221.31200000000001</v>
      </c>
      <c r="AJ28" s="334">
        <f t="shared" si="5"/>
        <v>318.89612309903231</v>
      </c>
      <c r="AK28" s="334">
        <f t="shared" si="5"/>
        <v>263.27677019483866</v>
      </c>
      <c r="AL28" s="334">
        <f t="shared" si="5"/>
        <v>126.9329216464516</v>
      </c>
      <c r="AM28" s="334">
        <f>AM26+AM27</f>
        <v>-10.936000000000002</v>
      </c>
      <c r="AN28" s="334">
        <v>27.160660996129032</v>
      </c>
      <c r="AO28" s="334">
        <v>351.98482205741942</v>
      </c>
      <c r="AP28" s="334">
        <v>183.4460259929032</v>
      </c>
      <c r="AQ28" s="334">
        <v>301.2</v>
      </c>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row>
    <row r="29" spans="1:254" s="299" customFormat="1" ht="17.399999999999999" thickBot="1">
      <c r="A29" s="335" t="s">
        <v>397</v>
      </c>
      <c r="B29" s="336">
        <f t="shared" ref="B29:AI29" si="6">B24+B28</f>
        <v>41.3</v>
      </c>
      <c r="C29" s="336">
        <f t="shared" si="6"/>
        <v>20.2</v>
      </c>
      <c r="D29" s="336">
        <f t="shared" si="6"/>
        <v>42.5</v>
      </c>
      <c r="E29" s="336">
        <f t="shared" si="6"/>
        <v>40.199999999999996</v>
      </c>
      <c r="F29" s="336">
        <f t="shared" si="6"/>
        <v>72.2</v>
      </c>
      <c r="G29" s="336">
        <f t="shared" si="6"/>
        <v>99.5</v>
      </c>
      <c r="H29" s="336">
        <f t="shared" si="6"/>
        <v>158.4</v>
      </c>
      <c r="I29" s="336">
        <f t="shared" si="6"/>
        <v>100.4</v>
      </c>
      <c r="J29" s="336">
        <f t="shared" si="6"/>
        <v>118.8</v>
      </c>
      <c r="K29" s="336">
        <f t="shared" si="6"/>
        <v>133.5</v>
      </c>
      <c r="L29" s="336">
        <f t="shared" si="6"/>
        <v>145.5</v>
      </c>
      <c r="M29" s="336">
        <f t="shared" si="6"/>
        <v>150.5</v>
      </c>
      <c r="N29" s="336">
        <f t="shared" si="6"/>
        <v>219.3</v>
      </c>
      <c r="O29" s="336">
        <f t="shared" si="6"/>
        <v>282.7</v>
      </c>
      <c r="P29" s="336">
        <f t="shared" si="6"/>
        <v>325.79999999999995</v>
      </c>
      <c r="Q29" s="336">
        <f t="shared" si="6"/>
        <v>241.7</v>
      </c>
      <c r="R29" s="336">
        <f t="shared" si="6"/>
        <v>258.7</v>
      </c>
      <c r="S29" s="336">
        <f t="shared" si="6"/>
        <v>302.2</v>
      </c>
      <c r="T29" s="336">
        <f t="shared" si="6"/>
        <v>337.28</v>
      </c>
      <c r="U29" s="336">
        <f t="shared" si="6"/>
        <v>468.6</v>
      </c>
      <c r="V29" s="336">
        <f t="shared" si="6"/>
        <v>480</v>
      </c>
      <c r="W29" s="336">
        <f t="shared" si="6"/>
        <v>1730.2</v>
      </c>
      <c r="X29" s="336">
        <f t="shared" si="6"/>
        <v>433.71000000000004</v>
      </c>
      <c r="Y29" s="336">
        <f t="shared" si="6"/>
        <v>530.55500000000006</v>
      </c>
      <c r="Z29" s="336">
        <f t="shared" si="6"/>
        <v>501</v>
      </c>
      <c r="AA29" s="336">
        <f t="shared" si="6"/>
        <v>576.32999999999993</v>
      </c>
      <c r="AB29" s="337">
        <f t="shared" si="6"/>
        <v>851.66573999280013</v>
      </c>
      <c r="AC29" s="338">
        <f t="shared" si="6"/>
        <v>715.97199999999998</v>
      </c>
      <c r="AD29" s="338">
        <f t="shared" si="6"/>
        <v>875.78689198571419</v>
      </c>
      <c r="AE29" s="338">
        <f t="shared" si="6"/>
        <v>745.25486393419351</v>
      </c>
      <c r="AF29" s="338">
        <f t="shared" si="6"/>
        <v>802.29668034450958</v>
      </c>
      <c r="AG29" s="338">
        <f t="shared" si="6"/>
        <v>649.86378652466624</v>
      </c>
      <c r="AH29" s="339">
        <f t="shared" si="6"/>
        <v>644.08999999999992</v>
      </c>
      <c r="AI29" s="340">
        <f t="shared" si="6"/>
        <v>682.41200000000003</v>
      </c>
      <c r="AJ29" s="340">
        <f>AJ24+AJ28</f>
        <v>782.59760509903231</v>
      </c>
      <c r="AK29" s="340">
        <f>AK24+AK28</f>
        <v>757.0220691079096</v>
      </c>
      <c r="AL29" s="340">
        <f>AL24+AL28</f>
        <v>621.49065968125444</v>
      </c>
      <c r="AM29" s="340">
        <f>AM24+AM28</f>
        <v>450.36399999999998</v>
      </c>
      <c r="AN29" s="340">
        <v>480.88141649842606</v>
      </c>
      <c r="AO29" s="340">
        <v>788.10706660762844</v>
      </c>
      <c r="AP29" s="340">
        <v>611.45169899802625</v>
      </c>
      <c r="AQ29" s="340">
        <v>744.5</v>
      </c>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row>
    <row r="30" spans="1:254" s="299" customFormat="1" ht="16.8">
      <c r="A30" s="341" t="s">
        <v>375</v>
      </c>
      <c r="B30" s="342">
        <v>0</v>
      </c>
      <c r="C30" s="342">
        <v>0</v>
      </c>
      <c r="D30" s="342">
        <v>0</v>
      </c>
      <c r="E30" s="342">
        <v>0</v>
      </c>
      <c r="F30" s="342">
        <v>0</v>
      </c>
      <c r="G30" s="342">
        <v>0</v>
      </c>
      <c r="H30" s="342">
        <v>0</v>
      </c>
      <c r="I30" s="342">
        <v>0</v>
      </c>
      <c r="J30" s="342">
        <v>0</v>
      </c>
      <c r="K30" s="342">
        <v>0</v>
      </c>
      <c r="L30" s="342">
        <v>0</v>
      </c>
      <c r="M30" s="342">
        <v>0</v>
      </c>
      <c r="N30" s="342">
        <v>0</v>
      </c>
      <c r="O30" s="342">
        <v>0</v>
      </c>
      <c r="P30" s="343">
        <v>0</v>
      </c>
      <c r="Q30" s="343"/>
      <c r="R30" s="343"/>
      <c r="S30" s="343"/>
      <c r="T30" s="343"/>
      <c r="U30" s="343"/>
      <c r="V30" s="343"/>
      <c r="W30" s="343"/>
      <c r="X30" s="343"/>
      <c r="Y30" s="343"/>
      <c r="Z30" s="343"/>
      <c r="AA30" s="343"/>
      <c r="AB30" s="328"/>
      <c r="AC30" s="344"/>
      <c r="AD30" s="344"/>
      <c r="AE30" s="344"/>
      <c r="AF30" s="344"/>
      <c r="AG30" s="344"/>
      <c r="AH30" s="345"/>
      <c r="AI30" s="344"/>
      <c r="AJ30" s="344"/>
      <c r="AK30" s="344"/>
      <c r="AL30" s="344"/>
      <c r="AM30" s="344"/>
      <c r="AN30" s="344"/>
      <c r="AO30" s="344"/>
      <c r="AP30" s="344"/>
      <c r="AQ30" s="344"/>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row>
    <row r="31" spans="1:254" s="279" customFormat="1" ht="16.2">
      <c r="A31" s="280" t="s">
        <v>376</v>
      </c>
      <c r="B31" s="281">
        <v>0</v>
      </c>
      <c r="C31" s="281">
        <v>0</v>
      </c>
      <c r="D31" s="281">
        <v>0</v>
      </c>
      <c r="E31" s="281">
        <v>0</v>
      </c>
      <c r="F31" s="281">
        <v>0</v>
      </c>
      <c r="G31" s="281">
        <v>0</v>
      </c>
      <c r="H31" s="281">
        <v>0</v>
      </c>
      <c r="I31" s="281">
        <v>0</v>
      </c>
      <c r="J31" s="281">
        <v>0</v>
      </c>
      <c r="K31" s="281">
        <v>0</v>
      </c>
      <c r="L31" s="281">
        <v>0</v>
      </c>
      <c r="M31" s="281">
        <v>0</v>
      </c>
      <c r="N31" s="281">
        <v>0</v>
      </c>
      <c r="O31" s="281">
        <v>0</v>
      </c>
      <c r="P31" s="283">
        <v>0</v>
      </c>
      <c r="Q31" s="283">
        <v>-45.2</v>
      </c>
      <c r="R31" s="283">
        <v>-25.5</v>
      </c>
      <c r="S31" s="283">
        <v>-29.7</v>
      </c>
      <c r="T31" s="283">
        <v>-35.700000000000003</v>
      </c>
      <c r="U31" s="283">
        <v>-46</v>
      </c>
      <c r="V31" s="283">
        <v>-50.4</v>
      </c>
      <c r="W31" s="283">
        <v>-336.6</v>
      </c>
      <c r="X31" s="283">
        <v>-66.400000000000006</v>
      </c>
      <c r="Y31" s="283">
        <v>-73.599999999999994</v>
      </c>
      <c r="Z31" s="283">
        <v>-77</v>
      </c>
      <c r="AA31" s="283">
        <v>-57.7</v>
      </c>
      <c r="AB31" s="284">
        <v>-76.352833301624401</v>
      </c>
      <c r="AC31" s="285">
        <v>-66.099999999999994</v>
      </c>
      <c r="AD31" s="285">
        <v>-100.50973003828143</v>
      </c>
      <c r="AE31" s="285">
        <v>-99.498658511615204</v>
      </c>
      <c r="AF31" s="285">
        <v>-122.842830841389</v>
      </c>
      <c r="AG31" s="285">
        <v>-85.34922832657</v>
      </c>
      <c r="AH31" s="346">
        <f>-(AH4+AH5+AH9+AH27)*0.223</f>
        <v>-76.981896231000007</v>
      </c>
      <c r="AI31" s="285">
        <f>-(AI4+AI5+AI9+AI10+AI27)*0.223</f>
        <v>-84.094192000000007</v>
      </c>
      <c r="AJ31" s="285">
        <f>-(AJ4+AJ5+AJ9+AJ10+AJ27)*0.223</f>
        <v>-103.85257379362</v>
      </c>
      <c r="AK31" s="285">
        <f>-(AK4+AK5+AK9+AK10+AK27)*0.223</f>
        <v>-77.718258299588697</v>
      </c>
      <c r="AL31" s="285">
        <f>-(AL4+AL5+AL9+AL10+AL27)*0.223</f>
        <v>-72.627647443790963</v>
      </c>
      <c r="AM31" s="285">
        <f>-(AM4+AM5+AM9+AM10+AM27)*0.223</f>
        <v>-53.734971999999999</v>
      </c>
      <c r="AN31" s="285">
        <v>-70.129514034696797</v>
      </c>
      <c r="AO31" s="285">
        <v>-98.195331043509995</v>
      </c>
      <c r="AP31" s="285">
        <v>-95.507757760520008</v>
      </c>
      <c r="AQ31" s="285">
        <v>-90.560300000000012</v>
      </c>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row>
    <row r="32" spans="1:254" s="279" customFormat="1" ht="16.8" thickBot="1">
      <c r="A32" s="288" t="s">
        <v>377</v>
      </c>
      <c r="B32" s="290">
        <v>0</v>
      </c>
      <c r="C32" s="290">
        <v>0</v>
      </c>
      <c r="D32" s="290">
        <v>0</v>
      </c>
      <c r="E32" s="290">
        <v>0</v>
      </c>
      <c r="F32" s="290">
        <v>0</v>
      </c>
      <c r="G32" s="290">
        <v>0</v>
      </c>
      <c r="H32" s="290">
        <v>0</v>
      </c>
      <c r="I32" s="290">
        <v>0</v>
      </c>
      <c r="J32" s="290">
        <v>0</v>
      </c>
      <c r="K32" s="290">
        <v>0</v>
      </c>
      <c r="L32" s="290">
        <v>0</v>
      </c>
      <c r="M32" s="290">
        <v>0</v>
      </c>
      <c r="N32" s="290">
        <v>0</v>
      </c>
      <c r="O32" s="290">
        <v>0</v>
      </c>
      <c r="P32" s="289">
        <v>0</v>
      </c>
      <c r="Q32" s="289">
        <v>0</v>
      </c>
      <c r="R32" s="289">
        <v>0</v>
      </c>
      <c r="S32" s="289">
        <v>0</v>
      </c>
      <c r="T32" s="289">
        <v>0</v>
      </c>
      <c r="U32" s="289">
        <v>0</v>
      </c>
      <c r="V32" s="289">
        <v>0</v>
      </c>
      <c r="W32" s="289">
        <v>-246.5</v>
      </c>
      <c r="X32" s="289">
        <v>0</v>
      </c>
      <c r="Y32" s="289">
        <v>-78.7</v>
      </c>
      <c r="Z32" s="289">
        <v>0</v>
      </c>
      <c r="AA32" s="289">
        <v>0</v>
      </c>
      <c r="AB32" s="347">
        <v>0</v>
      </c>
      <c r="AC32" s="347">
        <v>0</v>
      </c>
      <c r="AD32" s="347">
        <v>0</v>
      </c>
      <c r="AE32" s="347">
        <v>0</v>
      </c>
      <c r="AF32" s="347">
        <v>0</v>
      </c>
      <c r="AG32" s="347">
        <v>0</v>
      </c>
      <c r="AH32" s="348">
        <v>0</v>
      </c>
      <c r="AI32" s="347">
        <v>0</v>
      </c>
      <c r="AJ32" s="347">
        <v>0</v>
      </c>
      <c r="AK32" s="347">
        <v>0</v>
      </c>
      <c r="AL32" s="347">
        <v>0</v>
      </c>
      <c r="AM32" s="347">
        <v>0</v>
      </c>
      <c r="AN32" s="347">
        <v>0</v>
      </c>
      <c r="AO32" s="347">
        <v>0</v>
      </c>
      <c r="AP32" s="347">
        <v>0</v>
      </c>
      <c r="AQ32" s="347">
        <v>0</v>
      </c>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row>
    <row r="33" spans="1:254" s="299" customFormat="1" ht="17.399999999999999" thickBot="1">
      <c r="A33" s="349" t="s">
        <v>378</v>
      </c>
      <c r="B33" s="296">
        <f t="shared" ref="B33:AH33" si="7">SUM(B31:B32)</f>
        <v>0</v>
      </c>
      <c r="C33" s="296">
        <f t="shared" si="7"/>
        <v>0</v>
      </c>
      <c r="D33" s="296">
        <f t="shared" si="7"/>
        <v>0</v>
      </c>
      <c r="E33" s="296">
        <f t="shared" si="7"/>
        <v>0</v>
      </c>
      <c r="F33" s="296">
        <f t="shared" si="7"/>
        <v>0</v>
      </c>
      <c r="G33" s="296">
        <f t="shared" si="7"/>
        <v>0</v>
      </c>
      <c r="H33" s="296">
        <f t="shared" si="7"/>
        <v>0</v>
      </c>
      <c r="I33" s="296">
        <f t="shared" si="7"/>
        <v>0</v>
      </c>
      <c r="J33" s="296">
        <f t="shared" si="7"/>
        <v>0</v>
      </c>
      <c r="K33" s="296">
        <f t="shared" si="7"/>
        <v>0</v>
      </c>
      <c r="L33" s="296">
        <f t="shared" si="7"/>
        <v>0</v>
      </c>
      <c r="M33" s="296">
        <f t="shared" si="7"/>
        <v>0</v>
      </c>
      <c r="N33" s="296">
        <f t="shared" si="7"/>
        <v>0</v>
      </c>
      <c r="O33" s="296">
        <f t="shared" si="7"/>
        <v>0</v>
      </c>
      <c r="P33" s="296">
        <f t="shared" si="7"/>
        <v>0</v>
      </c>
      <c r="Q33" s="296">
        <f t="shared" si="7"/>
        <v>-45.2</v>
      </c>
      <c r="R33" s="296">
        <f t="shared" si="7"/>
        <v>-25.5</v>
      </c>
      <c r="S33" s="296">
        <f t="shared" si="7"/>
        <v>-29.7</v>
      </c>
      <c r="T33" s="296">
        <f t="shared" si="7"/>
        <v>-35.700000000000003</v>
      </c>
      <c r="U33" s="296">
        <f t="shared" si="7"/>
        <v>-46</v>
      </c>
      <c r="V33" s="296">
        <f t="shared" si="7"/>
        <v>-50.4</v>
      </c>
      <c r="W33" s="296">
        <f t="shared" si="7"/>
        <v>-583.1</v>
      </c>
      <c r="X33" s="296">
        <f t="shared" si="7"/>
        <v>-66.400000000000006</v>
      </c>
      <c r="Y33" s="296">
        <f t="shared" si="7"/>
        <v>-152.30000000000001</v>
      </c>
      <c r="Z33" s="296">
        <f t="shared" si="7"/>
        <v>-77</v>
      </c>
      <c r="AA33" s="296">
        <f t="shared" si="7"/>
        <v>-57.7</v>
      </c>
      <c r="AB33" s="350">
        <f t="shared" si="7"/>
        <v>-76.352833301624401</v>
      </c>
      <c r="AC33" s="351">
        <f t="shared" si="7"/>
        <v>-66.099999999999994</v>
      </c>
      <c r="AD33" s="351">
        <f t="shared" si="7"/>
        <v>-100.50973003828143</v>
      </c>
      <c r="AE33" s="351">
        <f t="shared" si="7"/>
        <v>-99.498658511615204</v>
      </c>
      <c r="AF33" s="351">
        <f t="shared" si="7"/>
        <v>-122.842830841389</v>
      </c>
      <c r="AG33" s="297">
        <f>SUM(AG31:AG32)</f>
        <v>-85.34922832657</v>
      </c>
      <c r="AH33" s="298">
        <f t="shared" si="7"/>
        <v>-76.981896231000007</v>
      </c>
      <c r="AI33" s="297">
        <f>SUM(AI31:AI32)</f>
        <v>-84.094192000000007</v>
      </c>
      <c r="AJ33" s="297">
        <f>SUM(AJ31:AJ32)</f>
        <v>-103.85257379362</v>
      </c>
      <c r="AK33" s="297">
        <f>SUM(AK31:AK32)</f>
        <v>-77.718258299588697</v>
      </c>
      <c r="AL33" s="297">
        <f>SUM(AL31:AL32)</f>
        <v>-72.627647443790963</v>
      </c>
      <c r="AM33" s="297">
        <f>SUM(AM31:AM32)</f>
        <v>-53.734971999999999</v>
      </c>
      <c r="AN33" s="297">
        <v>-70.129514034696797</v>
      </c>
      <c r="AO33" s="297">
        <v>-98.195331043509995</v>
      </c>
      <c r="AP33" s="297">
        <v>-95.507757760520008</v>
      </c>
      <c r="AQ33" s="297">
        <v>-90.560300000000012</v>
      </c>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row>
    <row r="34" spans="1:254" s="279" customFormat="1" ht="16.2">
      <c r="A34" s="403" t="s">
        <v>379</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row>
    <row r="35" spans="1:254" s="279" customFormat="1" ht="16.2">
      <c r="A35" s="404" t="s">
        <v>217</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row>
    <row r="36" spans="1:254" s="279" customFormat="1" ht="16.2">
      <c r="A36" s="405" t="s">
        <v>218</v>
      </c>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row>
    <row r="37" spans="1:254" s="279" customFormat="1" ht="16.2">
      <c r="A37" s="404" t="s">
        <v>431</v>
      </c>
      <c r="B37" s="404"/>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row>
    <row r="38" spans="1:254" ht="19.5" customHeight="1">
      <c r="A38" s="400" t="s">
        <v>219</v>
      </c>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row>
    <row r="39" spans="1:254" ht="1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row>
    <row r="40" spans="1:254" ht="15" customHeight="1">
      <c r="A40" s="264"/>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row>
    <row r="41" spans="1:254" ht="15" customHeight="1">
      <c r="A41" s="264"/>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row>
    <row r="42" spans="1:254" ht="15" customHeight="1">
      <c r="A42" s="264"/>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row>
    <row r="43" spans="1:254" ht="15" customHeight="1">
      <c r="A43" s="26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row>
    <row r="44" spans="1:254" ht="15" customHeight="1">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row>
    <row r="45" spans="1:254"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row>
    <row r="46" spans="1:254"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row>
    <row r="47" spans="1:254">
      <c r="AD47" s="263"/>
    </row>
    <row r="48" spans="1:254">
      <c r="AD48" s="263"/>
    </row>
    <row r="49" spans="30:30">
      <c r="AD49" s="263"/>
    </row>
    <row r="50" spans="30:30">
      <c r="AD50" s="263"/>
    </row>
    <row r="51" spans="30:30">
      <c r="AD51" s="263"/>
    </row>
    <row r="52" spans="30:30">
      <c r="AD52" s="263"/>
    </row>
    <row r="53" spans="30:30">
      <c r="AD53" s="263"/>
    </row>
    <row r="54" spans="30:30">
      <c r="AD54" s="263"/>
    </row>
    <row r="55" spans="30:30">
      <c r="AD55" s="263"/>
    </row>
    <row r="56" spans="30:30">
      <c r="AD56" s="263"/>
    </row>
    <row r="57" spans="30:30">
      <c r="AD57" s="263"/>
    </row>
    <row r="58" spans="30:30">
      <c r="AD58" s="263"/>
    </row>
    <row r="59" spans="30:30">
      <c r="AD59" s="263"/>
    </row>
    <row r="60" spans="30:30">
      <c r="AD60" s="263"/>
    </row>
    <row r="61" spans="30:30">
      <c r="AD61" s="263"/>
    </row>
    <row r="62" spans="30:30">
      <c r="AD62" s="263"/>
    </row>
    <row r="63" spans="30:30">
      <c r="AD63" s="263"/>
    </row>
    <row r="64" spans="30:30">
      <c r="AD64" s="263"/>
    </row>
    <row r="65" spans="1:30">
      <c r="AD65" s="263"/>
    </row>
    <row r="66" spans="1:30">
      <c r="AD66" s="263"/>
    </row>
    <row r="67" spans="1:30">
      <c r="A67" s="262"/>
      <c r="B67" s="263"/>
      <c r="C67" s="263"/>
      <c r="D67" s="263"/>
      <c r="E67" s="263"/>
      <c r="F67" s="263"/>
      <c r="G67" s="263"/>
      <c r="H67" s="263"/>
      <c r="I67" s="263"/>
      <c r="J67" s="263"/>
      <c r="K67" s="263"/>
      <c r="L67" s="263"/>
      <c r="M67" s="263"/>
      <c r="N67" s="263"/>
      <c r="O67" s="263"/>
      <c r="Q67" s="263"/>
      <c r="R67" s="263"/>
      <c r="S67" s="263"/>
      <c r="T67" s="263"/>
      <c r="U67" s="263"/>
      <c r="V67" s="263"/>
      <c r="W67" s="263"/>
      <c r="X67" s="263"/>
      <c r="Y67" s="263"/>
      <c r="Z67" s="263"/>
      <c r="AA67" s="263"/>
      <c r="AB67" s="263"/>
      <c r="AC67" s="263"/>
      <c r="AD67" s="263"/>
    </row>
    <row r="68" spans="1:30">
      <c r="A68" s="262"/>
      <c r="B68" s="263"/>
      <c r="C68" s="263"/>
      <c r="D68" s="263"/>
      <c r="E68" s="263"/>
      <c r="F68" s="263"/>
      <c r="G68" s="263"/>
      <c r="H68" s="263"/>
      <c r="I68" s="263"/>
      <c r="J68" s="263"/>
      <c r="K68" s="263"/>
      <c r="L68" s="263"/>
      <c r="M68" s="263"/>
      <c r="N68" s="263"/>
      <c r="O68" s="263"/>
      <c r="Q68" s="263"/>
      <c r="R68" s="263"/>
      <c r="S68" s="263"/>
      <c r="T68" s="263"/>
      <c r="U68" s="263"/>
      <c r="V68" s="263"/>
      <c r="W68" s="263"/>
      <c r="X68" s="263"/>
      <c r="Y68" s="263"/>
      <c r="Z68" s="263"/>
      <c r="AA68" s="263"/>
      <c r="AB68" s="263"/>
      <c r="AC68" s="263"/>
      <c r="AD68" s="263"/>
    </row>
    <row r="69" spans="1:30">
      <c r="A69" s="262"/>
      <c r="B69" s="263"/>
      <c r="C69" s="263"/>
      <c r="D69" s="263"/>
      <c r="E69" s="263"/>
      <c r="F69" s="263"/>
      <c r="G69" s="263"/>
      <c r="H69" s="263"/>
      <c r="I69" s="263"/>
      <c r="J69" s="263"/>
      <c r="K69" s="263"/>
      <c r="L69" s="263"/>
      <c r="M69" s="263"/>
      <c r="N69" s="263"/>
      <c r="O69" s="263"/>
      <c r="Q69" s="263"/>
      <c r="R69" s="263"/>
      <c r="S69" s="263"/>
      <c r="T69" s="263"/>
      <c r="U69" s="263"/>
      <c r="V69" s="263"/>
      <c r="W69" s="263"/>
      <c r="X69" s="263"/>
      <c r="Y69" s="263"/>
      <c r="Z69" s="263"/>
      <c r="AA69" s="263"/>
      <c r="AB69" s="263"/>
      <c r="AC69" s="263"/>
      <c r="AD69" s="263"/>
    </row>
    <row r="70" spans="1:30">
      <c r="A70" s="262"/>
      <c r="B70" s="263"/>
      <c r="C70" s="263"/>
      <c r="D70" s="263"/>
      <c r="E70" s="263"/>
      <c r="F70" s="263"/>
      <c r="G70" s="263"/>
      <c r="H70" s="263"/>
      <c r="I70" s="263"/>
      <c r="J70" s="263"/>
      <c r="K70" s="263"/>
      <c r="L70" s="263"/>
      <c r="M70" s="263"/>
      <c r="N70" s="263"/>
      <c r="O70" s="263"/>
      <c r="Q70" s="263"/>
      <c r="R70" s="263"/>
      <c r="S70" s="263"/>
      <c r="T70" s="263"/>
      <c r="U70" s="263"/>
      <c r="V70" s="263"/>
      <c r="W70" s="263"/>
      <c r="X70" s="263"/>
      <c r="Y70" s="263"/>
      <c r="Z70" s="263"/>
      <c r="AA70" s="263"/>
      <c r="AB70" s="263"/>
      <c r="AC70" s="263"/>
      <c r="AD70" s="263"/>
    </row>
    <row r="71" spans="1:30">
      <c r="A71" s="262"/>
      <c r="B71" s="263"/>
      <c r="C71" s="263"/>
      <c r="D71" s="263"/>
      <c r="E71" s="263"/>
      <c r="F71" s="263"/>
      <c r="G71" s="263"/>
      <c r="H71" s="263"/>
      <c r="I71" s="263"/>
      <c r="J71" s="263"/>
      <c r="K71" s="263"/>
      <c r="L71" s="263"/>
      <c r="M71" s="263"/>
      <c r="N71" s="263"/>
      <c r="O71" s="263"/>
      <c r="Q71" s="263"/>
      <c r="R71" s="263"/>
      <c r="S71" s="263"/>
      <c r="T71" s="263"/>
      <c r="U71" s="263"/>
      <c r="V71" s="263"/>
      <c r="W71" s="263"/>
      <c r="X71" s="263"/>
      <c r="Y71" s="263"/>
      <c r="Z71" s="263"/>
      <c r="AA71" s="263"/>
      <c r="AB71" s="263"/>
      <c r="AC71" s="263"/>
      <c r="AD71" s="263"/>
    </row>
    <row r="72" spans="1:30">
      <c r="A72" s="262"/>
      <c r="B72" s="263"/>
      <c r="C72" s="263"/>
      <c r="D72" s="263"/>
      <c r="E72" s="263"/>
      <c r="F72" s="263"/>
      <c r="G72" s="263"/>
      <c r="H72" s="263"/>
      <c r="I72" s="263"/>
      <c r="J72" s="263"/>
      <c r="K72" s="263"/>
      <c r="L72" s="263"/>
      <c r="M72" s="263"/>
      <c r="N72" s="263"/>
      <c r="O72" s="263"/>
      <c r="Q72" s="263"/>
      <c r="R72" s="263"/>
      <c r="S72" s="263"/>
      <c r="T72" s="263"/>
      <c r="U72" s="263"/>
      <c r="V72" s="263"/>
      <c r="W72" s="263"/>
      <c r="X72" s="263"/>
      <c r="Y72" s="263"/>
      <c r="Z72" s="263"/>
      <c r="AA72" s="263"/>
      <c r="AB72" s="263"/>
      <c r="AC72" s="263"/>
      <c r="AD72" s="263"/>
    </row>
    <row r="73" spans="1:30">
      <c r="A73" s="262"/>
      <c r="B73" s="263"/>
      <c r="C73" s="263"/>
      <c r="D73" s="263"/>
      <c r="E73" s="263"/>
      <c r="F73" s="263"/>
      <c r="G73" s="263"/>
      <c r="H73" s="263"/>
      <c r="I73" s="263"/>
      <c r="J73" s="263"/>
      <c r="K73" s="263"/>
      <c r="L73" s="263"/>
      <c r="M73" s="263"/>
      <c r="N73" s="263"/>
      <c r="O73" s="263"/>
      <c r="Q73" s="263"/>
      <c r="R73" s="263"/>
      <c r="S73" s="263"/>
      <c r="T73" s="263"/>
      <c r="U73" s="263"/>
      <c r="V73" s="263"/>
      <c r="W73" s="263"/>
      <c r="X73" s="263"/>
      <c r="Y73" s="263"/>
      <c r="Z73" s="263"/>
      <c r="AA73" s="263"/>
      <c r="AB73" s="263"/>
      <c r="AC73" s="263"/>
      <c r="AD73" s="263"/>
    </row>
    <row r="74" spans="1:30" ht="19.5" customHeight="1">
      <c r="A74" s="262"/>
      <c r="B74" s="263"/>
      <c r="C74" s="263"/>
      <c r="D74" s="263"/>
      <c r="E74" s="263"/>
      <c r="F74" s="263"/>
      <c r="G74" s="263"/>
      <c r="H74" s="263"/>
      <c r="I74" s="263"/>
      <c r="J74" s="263"/>
      <c r="K74" s="263"/>
      <c r="L74" s="263"/>
      <c r="M74" s="263"/>
      <c r="N74" s="263"/>
      <c r="O74" s="263"/>
      <c r="Q74" s="263"/>
      <c r="R74" s="263"/>
      <c r="S74" s="263"/>
      <c r="T74" s="263"/>
      <c r="U74" s="263"/>
      <c r="V74" s="263"/>
      <c r="W74" s="263"/>
      <c r="X74" s="263"/>
      <c r="Y74" s="263"/>
      <c r="Z74" s="263"/>
      <c r="AA74" s="263"/>
      <c r="AB74" s="263"/>
      <c r="AC74" s="263"/>
      <c r="AD74" s="263"/>
    </row>
    <row r="75" spans="1:30">
      <c r="A75" s="262"/>
      <c r="B75" s="263"/>
      <c r="C75" s="263"/>
      <c r="D75" s="263"/>
      <c r="E75" s="263"/>
      <c r="F75" s="263"/>
      <c r="G75" s="263"/>
      <c r="H75" s="263"/>
      <c r="I75" s="263"/>
      <c r="J75" s="263"/>
      <c r="K75" s="263"/>
      <c r="L75" s="263"/>
      <c r="M75" s="263"/>
      <c r="N75" s="263"/>
      <c r="O75" s="263"/>
      <c r="Q75" s="263"/>
      <c r="R75" s="263"/>
      <c r="S75" s="263"/>
      <c r="T75" s="263"/>
      <c r="U75" s="263"/>
      <c r="V75" s="263"/>
      <c r="W75" s="263"/>
      <c r="X75" s="263"/>
      <c r="Y75" s="263"/>
      <c r="Z75" s="263"/>
      <c r="AA75" s="263"/>
      <c r="AB75" s="263"/>
      <c r="AC75" s="263"/>
      <c r="AD75" s="263"/>
    </row>
    <row r="76" spans="1:30" ht="19.5" customHeight="1">
      <c r="A76" s="262"/>
      <c r="B76" s="263"/>
      <c r="C76" s="263"/>
      <c r="D76" s="263"/>
      <c r="E76" s="263"/>
      <c r="F76" s="263"/>
      <c r="G76" s="263"/>
      <c r="H76" s="263"/>
      <c r="I76" s="263"/>
      <c r="J76" s="263"/>
      <c r="K76" s="263"/>
      <c r="L76" s="263"/>
      <c r="M76" s="263"/>
      <c r="N76" s="263"/>
      <c r="O76" s="263"/>
      <c r="Q76" s="263"/>
      <c r="R76" s="263"/>
      <c r="S76" s="263"/>
      <c r="T76" s="263"/>
      <c r="U76" s="263"/>
      <c r="V76" s="263"/>
      <c r="W76" s="263"/>
      <c r="X76" s="263"/>
      <c r="Y76" s="263"/>
      <c r="Z76" s="263"/>
      <c r="AA76" s="263"/>
      <c r="AB76" s="263"/>
      <c r="AC76" s="263"/>
      <c r="AD76" s="263"/>
    </row>
    <row r="77" spans="1:30" ht="19.5" customHeight="1">
      <c r="A77" s="262"/>
      <c r="B77" s="263"/>
      <c r="C77" s="263"/>
      <c r="D77" s="263"/>
      <c r="E77" s="263"/>
      <c r="F77" s="263"/>
      <c r="G77" s="263"/>
      <c r="H77" s="263"/>
      <c r="I77" s="263"/>
      <c r="J77" s="263"/>
      <c r="K77" s="263"/>
      <c r="L77" s="263"/>
      <c r="M77" s="263"/>
      <c r="N77" s="263"/>
      <c r="O77" s="263"/>
      <c r="Q77" s="263"/>
      <c r="R77" s="263"/>
      <c r="S77" s="263"/>
      <c r="T77" s="263"/>
      <c r="U77" s="263"/>
      <c r="V77" s="263"/>
      <c r="W77" s="263"/>
      <c r="X77" s="263"/>
      <c r="Y77" s="263"/>
      <c r="Z77" s="263"/>
      <c r="AA77" s="263"/>
      <c r="AB77" s="263"/>
      <c r="AC77" s="263"/>
      <c r="AD77" s="263"/>
    </row>
    <row r="78" spans="1:30" ht="19.5" customHeight="1">
      <c r="A78" s="262"/>
      <c r="B78" s="263"/>
      <c r="C78" s="263"/>
      <c r="D78" s="263"/>
      <c r="E78" s="263"/>
      <c r="F78" s="263"/>
      <c r="G78" s="263"/>
      <c r="H78" s="263"/>
      <c r="I78" s="263"/>
      <c r="J78" s="263"/>
      <c r="K78" s="263"/>
      <c r="L78" s="263"/>
      <c r="M78" s="263"/>
      <c r="N78" s="263"/>
      <c r="O78" s="263"/>
      <c r="Q78" s="263"/>
      <c r="R78" s="263"/>
      <c r="S78" s="263"/>
      <c r="T78" s="263"/>
      <c r="U78" s="263"/>
      <c r="V78" s="263"/>
      <c r="W78" s="263"/>
      <c r="X78" s="263"/>
      <c r="Y78" s="263"/>
      <c r="Z78" s="263"/>
      <c r="AA78" s="263"/>
      <c r="AB78" s="263"/>
      <c r="AC78" s="263"/>
      <c r="AD78" s="263"/>
    </row>
    <row r="79" spans="1:30" ht="19.5" customHeight="1">
      <c r="A79" s="262"/>
      <c r="B79" s="263"/>
      <c r="C79" s="263"/>
      <c r="D79" s="263"/>
      <c r="E79" s="263"/>
      <c r="F79" s="263"/>
      <c r="G79" s="263"/>
      <c r="H79" s="263"/>
      <c r="I79" s="263"/>
      <c r="J79" s="263"/>
      <c r="K79" s="263"/>
      <c r="L79" s="263"/>
      <c r="M79" s="263"/>
      <c r="N79" s="263"/>
      <c r="O79" s="263"/>
      <c r="Q79" s="263"/>
      <c r="R79" s="263"/>
      <c r="S79" s="263"/>
      <c r="T79" s="263"/>
      <c r="U79" s="263"/>
      <c r="V79" s="263"/>
      <c r="W79" s="263"/>
      <c r="X79" s="263"/>
      <c r="Y79" s="263"/>
      <c r="Z79" s="263"/>
      <c r="AA79" s="263"/>
      <c r="AB79" s="263"/>
      <c r="AC79" s="263"/>
      <c r="AD79" s="263"/>
    </row>
    <row r="80" spans="1:30" ht="19.5" customHeight="1">
      <c r="A80" s="262"/>
      <c r="B80" s="263"/>
      <c r="C80" s="263"/>
      <c r="D80" s="263"/>
      <c r="E80" s="263"/>
      <c r="F80" s="263"/>
      <c r="G80" s="263"/>
      <c r="H80" s="263"/>
      <c r="I80" s="263"/>
      <c r="J80" s="263"/>
      <c r="K80" s="263"/>
      <c r="L80" s="263"/>
      <c r="M80" s="263"/>
      <c r="N80" s="263"/>
      <c r="O80" s="263"/>
      <c r="Q80" s="263"/>
      <c r="R80" s="263"/>
      <c r="S80" s="263"/>
      <c r="T80" s="263"/>
      <c r="U80" s="263"/>
      <c r="V80" s="263"/>
      <c r="W80" s="263"/>
      <c r="X80" s="263"/>
      <c r="Y80" s="263"/>
      <c r="Z80" s="263"/>
      <c r="AA80" s="263"/>
      <c r="AB80" s="263"/>
      <c r="AC80" s="263"/>
      <c r="AD80" s="263"/>
    </row>
    <row r="81" spans="1:30">
      <c r="A81" s="262"/>
      <c r="B81" s="263"/>
      <c r="C81" s="263"/>
      <c r="D81" s="263"/>
      <c r="E81" s="263"/>
      <c r="F81" s="263"/>
      <c r="G81" s="263"/>
      <c r="H81" s="263"/>
      <c r="I81" s="263"/>
      <c r="J81" s="263"/>
      <c r="K81" s="263"/>
      <c r="L81" s="263"/>
      <c r="M81" s="263"/>
      <c r="N81" s="263"/>
      <c r="O81" s="263"/>
      <c r="Q81" s="263"/>
      <c r="R81" s="263"/>
      <c r="S81" s="263"/>
      <c r="T81" s="263"/>
      <c r="U81" s="263"/>
      <c r="V81" s="263"/>
      <c r="W81" s="263"/>
      <c r="X81" s="263"/>
      <c r="Y81" s="263"/>
      <c r="Z81" s="263"/>
      <c r="AA81" s="263"/>
      <c r="AB81" s="263"/>
      <c r="AC81" s="263"/>
      <c r="AD81" s="263"/>
    </row>
    <row r="82" spans="1:30">
      <c r="A82" s="262"/>
      <c r="B82" s="263"/>
      <c r="C82" s="263"/>
      <c r="D82" s="263"/>
      <c r="E82" s="263"/>
      <c r="F82" s="263"/>
      <c r="G82" s="263"/>
      <c r="H82" s="263"/>
      <c r="I82" s="263"/>
      <c r="J82" s="263"/>
      <c r="K82" s="263"/>
      <c r="L82" s="263"/>
      <c r="M82" s="263"/>
      <c r="N82" s="263"/>
      <c r="O82" s="263"/>
      <c r="Q82" s="263"/>
      <c r="R82" s="263"/>
      <c r="S82" s="263"/>
      <c r="T82" s="263"/>
      <c r="U82" s="263"/>
      <c r="V82" s="263"/>
      <c r="W82" s="263"/>
      <c r="X82" s="263"/>
      <c r="Y82" s="263"/>
      <c r="Z82" s="263"/>
      <c r="AA82" s="263"/>
      <c r="AB82" s="263"/>
      <c r="AC82" s="263"/>
      <c r="AD82" s="263"/>
    </row>
    <row r="83" spans="1:30">
      <c r="A83" s="262"/>
      <c r="B83" s="263"/>
      <c r="C83" s="263"/>
      <c r="D83" s="263"/>
      <c r="E83" s="263"/>
      <c r="F83" s="263"/>
      <c r="G83" s="263"/>
      <c r="H83" s="263"/>
      <c r="I83" s="263"/>
      <c r="J83" s="263"/>
      <c r="K83" s="263"/>
      <c r="L83" s="263"/>
      <c r="M83" s="263"/>
      <c r="N83" s="263"/>
      <c r="O83" s="263"/>
      <c r="Q83" s="263"/>
      <c r="R83" s="263"/>
      <c r="S83" s="263"/>
      <c r="T83" s="263"/>
      <c r="U83" s="263"/>
      <c r="V83" s="263"/>
      <c r="W83" s="263"/>
      <c r="X83" s="263"/>
      <c r="Y83" s="263"/>
      <c r="Z83" s="263"/>
      <c r="AA83" s="263"/>
      <c r="AB83" s="263"/>
      <c r="AC83" s="263"/>
      <c r="AD83" s="263"/>
    </row>
    <row r="84" spans="1:30">
      <c r="A84" s="262"/>
      <c r="B84" s="263"/>
      <c r="C84" s="263"/>
      <c r="D84" s="263"/>
      <c r="E84" s="263"/>
      <c r="F84" s="263"/>
      <c r="G84" s="263"/>
      <c r="H84" s="263"/>
      <c r="I84" s="263"/>
      <c r="J84" s="263"/>
      <c r="K84" s="263"/>
      <c r="L84" s="263"/>
      <c r="M84" s="263"/>
      <c r="N84" s="263"/>
      <c r="O84" s="263"/>
      <c r="Q84" s="263"/>
      <c r="R84" s="263"/>
      <c r="S84" s="263"/>
      <c r="T84" s="263"/>
      <c r="U84" s="263"/>
      <c r="V84" s="263"/>
      <c r="W84" s="263"/>
      <c r="X84" s="263"/>
      <c r="Y84" s="263"/>
      <c r="Z84" s="263"/>
      <c r="AA84" s="263"/>
      <c r="AB84" s="263"/>
      <c r="AC84" s="263"/>
      <c r="AD84" s="263"/>
    </row>
    <row r="85" spans="1:30">
      <c r="A85" s="262"/>
      <c r="B85" s="263"/>
      <c r="C85" s="263"/>
      <c r="D85" s="263"/>
      <c r="E85" s="263"/>
      <c r="F85" s="263"/>
      <c r="G85" s="263"/>
      <c r="H85" s="263"/>
      <c r="I85" s="263"/>
      <c r="J85" s="263"/>
      <c r="K85" s="263"/>
      <c r="L85" s="263"/>
      <c r="M85" s="263"/>
      <c r="N85" s="263"/>
      <c r="O85" s="263"/>
      <c r="Q85" s="263"/>
      <c r="R85" s="263"/>
      <c r="S85" s="263"/>
      <c r="T85" s="263"/>
      <c r="U85" s="263"/>
      <c r="V85" s="263"/>
      <c r="W85" s="263"/>
      <c r="X85" s="263"/>
      <c r="Y85" s="263"/>
      <c r="Z85" s="263"/>
      <c r="AA85" s="263"/>
      <c r="AB85" s="263"/>
      <c r="AC85" s="263"/>
      <c r="AD85" s="263"/>
    </row>
    <row r="86" spans="1:30">
      <c r="A86" s="262"/>
      <c r="B86" s="263"/>
      <c r="C86" s="263"/>
      <c r="D86" s="263"/>
      <c r="E86" s="263"/>
      <c r="F86" s="263"/>
      <c r="G86" s="263"/>
      <c r="H86" s="263"/>
      <c r="I86" s="263"/>
      <c r="J86" s="263"/>
      <c r="K86" s="263"/>
      <c r="L86" s="263"/>
      <c r="M86" s="263"/>
      <c r="N86" s="263"/>
      <c r="O86" s="263"/>
      <c r="Q86" s="263"/>
      <c r="R86" s="263"/>
      <c r="S86" s="263"/>
      <c r="T86" s="263"/>
      <c r="U86" s="263"/>
      <c r="V86" s="263"/>
      <c r="W86" s="263"/>
      <c r="X86" s="263"/>
      <c r="Y86" s="263"/>
      <c r="Z86" s="263"/>
      <c r="AA86" s="263"/>
      <c r="AB86" s="263"/>
      <c r="AC86" s="263"/>
      <c r="AD86" s="263"/>
    </row>
    <row r="87" spans="1:30">
      <c r="A87" s="262"/>
      <c r="B87" s="263"/>
      <c r="C87" s="263"/>
      <c r="D87" s="263"/>
      <c r="E87" s="263"/>
      <c r="F87" s="263"/>
      <c r="G87" s="263"/>
      <c r="H87" s="263"/>
      <c r="I87" s="263"/>
      <c r="J87" s="263"/>
      <c r="K87" s="263"/>
      <c r="L87" s="263"/>
      <c r="M87" s="263"/>
      <c r="N87" s="263"/>
      <c r="O87" s="263"/>
      <c r="Q87" s="263"/>
      <c r="R87" s="263"/>
      <c r="S87" s="263"/>
      <c r="T87" s="263"/>
      <c r="U87" s="263"/>
      <c r="V87" s="263"/>
      <c r="W87" s="263"/>
      <c r="X87" s="263"/>
      <c r="Y87" s="263"/>
      <c r="Z87" s="263"/>
      <c r="AA87" s="263"/>
      <c r="AB87" s="263"/>
      <c r="AC87" s="263"/>
      <c r="AD87" s="263"/>
    </row>
    <row r="88" spans="1:30">
      <c r="A88" s="262"/>
      <c r="B88" s="263"/>
      <c r="C88" s="263"/>
      <c r="D88" s="263"/>
      <c r="E88" s="263"/>
      <c r="F88" s="263"/>
      <c r="G88" s="263"/>
      <c r="H88" s="263"/>
      <c r="I88" s="263"/>
      <c r="J88" s="263"/>
      <c r="K88" s="263"/>
      <c r="L88" s="263"/>
      <c r="M88" s="263"/>
      <c r="N88" s="263"/>
      <c r="O88" s="263"/>
      <c r="Q88" s="263"/>
      <c r="R88" s="263"/>
      <c r="S88" s="263"/>
      <c r="T88" s="263"/>
      <c r="U88" s="263"/>
      <c r="V88" s="263"/>
      <c r="W88" s="263"/>
      <c r="X88" s="263"/>
      <c r="Y88" s="263"/>
      <c r="Z88" s="263"/>
      <c r="AA88" s="263"/>
      <c r="AB88" s="263"/>
      <c r="AC88" s="263"/>
      <c r="AD88" s="263"/>
    </row>
  </sheetData>
  <mergeCells count="6">
    <mergeCell ref="A38:AP38"/>
    <mergeCell ref="A1:Z1"/>
    <mergeCell ref="A34:AP34"/>
    <mergeCell ref="A35:AP35"/>
    <mergeCell ref="A36:AP36"/>
    <mergeCell ref="A37:AP37"/>
  </mergeCells>
  <pageMargins left="0.25" right="0.25" top="0.75" bottom="0.75" header="0.3" footer="0.3"/>
  <pageSetup scale="4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1A_ByArea</vt:lpstr>
      <vt:lpstr>1B_Direct</vt:lpstr>
      <vt:lpstr>2_SpeciesType</vt:lpstr>
      <vt:lpstr>3_FCRPS</vt:lpstr>
      <vt:lpstr>4_ESASpecies</vt:lpstr>
      <vt:lpstr>5_Fund</vt:lpstr>
      <vt:lpstr>6A_Category</vt:lpstr>
      <vt:lpstr>6B_ArtProd</vt:lpstr>
      <vt:lpstr>6C_RME</vt:lpstr>
      <vt:lpstr>7A_Province</vt:lpstr>
      <vt:lpstr>7B_Subbasin</vt:lpstr>
      <vt:lpstr>8_Location</vt:lpstr>
      <vt:lpstr>9_Contractor</vt:lpstr>
      <vt:lpstr>10_LandPurchases</vt:lpstr>
      <vt:lpstr>NA_Cumulative</vt:lpstr>
      <vt:lpstr>BPA Costs Table</vt:lpstr>
      <vt:lpstr>lkp</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2019-02-19T17:43:32Z</cp:lastPrinted>
  <dcterms:created xsi:type="dcterms:W3CDTF">2004-12-27T17:27:22Z</dcterms:created>
  <dcterms:modified xsi:type="dcterms:W3CDTF">2022-05-18T21:24:40Z</dcterms:modified>
</cp:coreProperties>
</file>