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xml"/>
  <Override PartName="/xl/charts/chart8.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3.xml" ContentType="application/vnd.openxmlformats-officedocument.drawing+xml"/>
  <Override PartName="/xl/comments1.xml" ContentType="application/vnd.openxmlformats-officedocument.spreadsheetml.comments+xml"/>
  <Override PartName="/xl/charts/chart1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4.xml" ContentType="application/vnd.openxmlformats-officedocument.drawing+xml"/>
  <Override PartName="/xl/charts/chart13.xml" ContentType="application/vnd.openxmlformats-officedocument.drawingml.chart+xml"/>
  <Override PartName="/xl/theme/themeOverride8.xml" ContentType="application/vnd.openxmlformats-officedocument.themeOverride+xml"/>
  <Override PartName="/xl/drawings/drawing15.xml" ContentType="application/vnd.openxmlformats-officedocument.drawing+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6.xml" ContentType="application/vnd.openxmlformats-officedocument.drawingml.chartshapes+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mc:AlternateContent xmlns:mc="http://schemas.openxmlformats.org/markup-compatibility/2006">
    <mc:Choice Requires="x15">
      <x15ac:absPath xmlns:x15ac="http://schemas.microsoft.com/office/spreadsheetml/2010/11/ac" url="C:\t\2022GovernorsReport\Links\"/>
    </mc:Choice>
  </mc:AlternateContent>
  <xr:revisionPtr revIDLastSave="0" documentId="13_ncr:1_{746C9FFC-BED2-4118-95A3-12B034B664CF}" xr6:coauthVersionLast="47" xr6:coauthVersionMax="47" xr10:uidLastSave="{00000000-0000-0000-0000-000000000000}"/>
  <bookViews>
    <workbookView xWindow="-108" yWindow="-108" windowWidth="23256" windowHeight="12576" activeTab="2" xr2:uid="{8D71DE6F-627E-4943-84B5-C7098242DFCC}"/>
  </bookViews>
  <sheets>
    <sheet name="1A_ByArea" sheetId="36" r:id="rId1"/>
    <sheet name="1B_Direct" sheetId="43" r:id="rId2"/>
    <sheet name="2_SpeciesType" sheetId="15" r:id="rId3"/>
    <sheet name="3_FCRPS" sheetId="16" r:id="rId4"/>
    <sheet name="4_ESASpecies" sheetId="17" r:id="rId5"/>
    <sheet name="5_Fund" sheetId="23" r:id="rId6"/>
    <sheet name="6A_Category" sheetId="24" r:id="rId7"/>
    <sheet name="6B_ArtProd" sheetId="34" r:id="rId8"/>
    <sheet name="6C_RME" sheetId="41" r:id="rId9"/>
    <sheet name="7A_Province" sheetId="19" r:id="rId10"/>
    <sheet name="7B_Subbasin" sheetId="39" r:id="rId11"/>
    <sheet name="8_Location" sheetId="27" r:id="rId12"/>
    <sheet name="9_Contractor" sheetId="42" r:id="rId13"/>
    <sheet name="10_LandPurchases" sheetId="20" r:id="rId14"/>
    <sheet name="NA_Cumulative" sheetId="21" r:id="rId15"/>
    <sheet name="BPA Costs Table" sheetId="44" r:id="rId16"/>
  </sheets>
  <definedNames>
    <definedName name="_xlnm._FilterDatabase" localSheetId="12" hidden="1">'9_Contractor'!$A$2:$I$2</definedName>
    <definedName name="_xlcn.WorksheetConnection_4_CostsByLocationA3E91" hidden="1">'8_Location'!$A$4:$L$12</definedName>
    <definedName name="lkp">'7B_Subbasin'!$I$49:$K$108</definedName>
    <definedName name="subtitle">'2_SpeciesType'!$D$42</definedName>
  </definedNames>
  <calcPr calcId="191029"/>
  <extLst>
    <ext xmlns:x15="http://schemas.microsoft.com/office/spreadsheetml/2010/11/main" uri="{FCE2AD5D-F65C-4FA6-A056-5C36A1767C68}">
      <x15:dataModel>
        <x15:modelTables>
          <x15:modelTable id="Range-5170fc5c-6da7-4755-86ea-689762ede593" name="Range" connection="WorksheetConnection_4_CostsByLocation!$A$3:$E$9"/>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0" i="42" l="1"/>
  <c r="A24" i="27"/>
  <c r="B22" i="24"/>
  <c r="A31" i="23"/>
  <c r="D42" i="15"/>
  <c r="N11" i="27"/>
  <c r="B46" i="15" l="1"/>
  <c r="A1" i="20"/>
  <c r="A1" i="42"/>
  <c r="A1" i="27"/>
  <c r="A1" i="39"/>
  <c r="A1" i="19"/>
  <c r="A1" i="41"/>
  <c r="A1" i="34"/>
  <c r="A1" i="24"/>
  <c r="A1" i="23"/>
  <c r="A1" i="16"/>
  <c r="A1" i="15"/>
  <c r="K14" i="27"/>
  <c r="F13" i="36" l="1"/>
  <c r="F12" i="36"/>
  <c r="F61" i="42"/>
  <c r="F59" i="42"/>
  <c r="F66" i="42" l="1"/>
  <c r="E66" i="42"/>
  <c r="D66" i="42"/>
  <c r="C66" i="42"/>
  <c r="F53" i="42"/>
  <c r="E53" i="42"/>
  <c r="D53" i="42"/>
  <c r="C53" i="42"/>
  <c r="F30" i="42"/>
  <c r="F31" i="42" s="1"/>
  <c r="E30" i="42"/>
  <c r="E31" i="42" s="1"/>
  <c r="D30" i="42"/>
  <c r="C30" i="42"/>
  <c r="F27" i="42"/>
  <c r="E27" i="42"/>
  <c r="D27" i="42"/>
  <c r="C27" i="42"/>
  <c r="F23" i="42"/>
  <c r="E23" i="42"/>
  <c r="D23" i="42"/>
  <c r="C23" i="42"/>
  <c r="F18" i="42"/>
  <c r="E18" i="42"/>
  <c r="D18" i="42"/>
  <c r="C18" i="42"/>
  <c r="F13" i="42"/>
  <c r="E13" i="42"/>
  <c r="D13" i="42"/>
  <c r="C13" i="42"/>
  <c r="E71" i="42" l="1"/>
  <c r="F71" i="42"/>
  <c r="C31" i="42"/>
  <c r="C71" i="42" s="1"/>
  <c r="D31" i="42"/>
  <c r="D71" i="42" s="1"/>
  <c r="J14" i="27"/>
  <c r="I14" i="27"/>
  <c r="H14" i="27"/>
  <c r="G14" i="27"/>
  <c r="F14" i="27"/>
  <c r="E14" i="27"/>
  <c r="D14" i="27"/>
  <c r="C14" i="27"/>
  <c r="B14" i="27"/>
  <c r="L14" i="27"/>
  <c r="N14" i="27" s="1"/>
  <c r="E18" i="19" l="1"/>
  <c r="D18" i="19"/>
  <c r="C18" i="19"/>
  <c r="B18" i="19"/>
  <c r="E7" i="34" l="1"/>
  <c r="D7" i="34"/>
  <c r="C7" i="34"/>
  <c r="B7" i="34"/>
  <c r="E14" i="24" l="1"/>
  <c r="D14" i="24"/>
  <c r="C14" i="24"/>
  <c r="B14" i="24"/>
  <c r="C12" i="23" l="1"/>
  <c r="B12" i="23"/>
  <c r="F25" i="15" l="1"/>
  <c r="E25" i="15"/>
  <c r="D25" i="15"/>
  <c r="C25" i="15"/>
  <c r="B25" i="15"/>
  <c r="F24" i="15"/>
  <c r="E24" i="15"/>
  <c r="D24" i="15"/>
  <c r="C24" i="15"/>
  <c r="B24" i="15"/>
  <c r="F23" i="15"/>
  <c r="E23" i="15"/>
  <c r="D23" i="15"/>
  <c r="C23" i="15"/>
  <c r="B23" i="15"/>
  <c r="F22" i="15"/>
  <c r="E22" i="15"/>
  <c r="D22" i="15"/>
  <c r="C22" i="15"/>
  <c r="B22" i="15"/>
  <c r="F21" i="15"/>
  <c r="E21" i="15"/>
  <c r="D21" i="15"/>
  <c r="C21" i="15"/>
  <c r="B21" i="15"/>
  <c r="F17" i="15"/>
  <c r="F27" i="15" s="1"/>
  <c r="E17" i="15"/>
  <c r="E27" i="15" s="1"/>
  <c r="D17" i="15"/>
  <c r="D27" i="15" s="1"/>
  <c r="C17" i="15"/>
  <c r="C27" i="15" s="1"/>
  <c r="B17" i="15"/>
  <c r="B27" i="15" s="1"/>
  <c r="P18" i="42" l="1"/>
  <c r="Q66" i="42"/>
  <c r="P66" i="42"/>
  <c r="O66" i="42"/>
  <c r="P53" i="42"/>
  <c r="O53" i="42"/>
  <c r="Q30" i="42"/>
  <c r="P30" i="42"/>
  <c r="O30" i="42"/>
  <c r="N30" i="42"/>
  <c r="Q27" i="42"/>
  <c r="P27" i="42"/>
  <c r="O27" i="42"/>
  <c r="Q23" i="42"/>
  <c r="P23" i="42"/>
  <c r="Q13" i="42"/>
  <c r="P13" i="42"/>
  <c r="O13" i="42"/>
  <c r="P31" i="42" l="1"/>
  <c r="O31" i="42"/>
  <c r="O71" i="42" s="1"/>
  <c r="P71" i="42"/>
  <c r="K23" i="20" l="1"/>
  <c r="J23" i="20"/>
  <c r="I23" i="20"/>
  <c r="H23" i="20"/>
  <c r="G23" i="20"/>
  <c r="F23" i="20"/>
  <c r="E23" i="20"/>
  <c r="D23" i="20"/>
  <c r="C23" i="20"/>
  <c r="B23" i="20"/>
  <c r="L23" i="20"/>
  <c r="A43" i="20" s="1"/>
  <c r="N10" i="27" l="1"/>
  <c r="N9" i="27"/>
  <c r="N8" i="27"/>
  <c r="N7" i="27"/>
  <c r="N6" i="27"/>
  <c r="N5" i="27"/>
  <c r="N4" i="27"/>
  <c r="O18" i="19" l="1"/>
  <c r="K10" i="41" l="1"/>
  <c r="O7" i="34" l="1"/>
  <c r="P14" i="24" l="1"/>
  <c r="K12" i="23" l="1"/>
  <c r="L12" i="23"/>
  <c r="M12" i="23"/>
  <c r="N12" i="23"/>
  <c r="B19" i="17" l="1"/>
  <c r="C19" i="17"/>
  <c r="D19" i="17"/>
  <c r="E19" i="17"/>
  <c r="F19" i="17"/>
  <c r="G19" i="17"/>
  <c r="H19" i="17" l="1"/>
  <c r="P8" i="16"/>
  <c r="P5" i="16"/>
  <c r="P26" i="15" l="1"/>
  <c r="P25" i="15"/>
  <c r="P24" i="15"/>
  <c r="P23" i="15"/>
  <c r="P22" i="15"/>
  <c r="P21" i="15"/>
  <c r="P20" i="15"/>
  <c r="P17" i="15"/>
  <c r="P27" i="15" s="1"/>
  <c r="AG33" i="44"/>
  <c r="AF33" i="44"/>
  <c r="AE33" i="44"/>
  <c r="AD33" i="44"/>
  <c r="AC33" i="44"/>
  <c r="AB33" i="44"/>
  <c r="AA33" i="44"/>
  <c r="Z33" i="44"/>
  <c r="Y33" i="44"/>
  <c r="X33" i="44"/>
  <c r="W33" i="44"/>
  <c r="V33" i="44"/>
  <c r="U33" i="44"/>
  <c r="T33" i="44"/>
  <c r="S33" i="44"/>
  <c r="R33" i="44"/>
  <c r="Q33" i="44"/>
  <c r="P33" i="44"/>
  <c r="O33" i="44"/>
  <c r="N33" i="44"/>
  <c r="M33" i="44"/>
  <c r="L33" i="44"/>
  <c r="K33" i="44"/>
  <c r="J33" i="44"/>
  <c r="I33" i="44"/>
  <c r="H33" i="44"/>
  <c r="G33" i="44"/>
  <c r="F33" i="44"/>
  <c r="E33" i="44"/>
  <c r="D33" i="44"/>
  <c r="C33" i="44"/>
  <c r="B33" i="44"/>
  <c r="AM31" i="44"/>
  <c r="AM33" i="44" s="1"/>
  <c r="AL31" i="44"/>
  <c r="AL33" i="44" s="1"/>
  <c r="AK31" i="44"/>
  <c r="AK33" i="44" s="1"/>
  <c r="AJ31" i="44"/>
  <c r="AJ33" i="44" s="1"/>
  <c r="AI31" i="44"/>
  <c r="AI33" i="44" s="1"/>
  <c r="AH31" i="44"/>
  <c r="AH33" i="44" s="1"/>
  <c r="AM28" i="44"/>
  <c r="AL28" i="44"/>
  <c r="AK28" i="44"/>
  <c r="AJ28" i="44"/>
  <c r="AI28" i="44"/>
  <c r="AH28" i="44"/>
  <c r="AG28" i="44"/>
  <c r="AF28" i="44"/>
  <c r="AE28" i="44"/>
  <c r="AD28" i="44"/>
  <c r="AC28" i="44"/>
  <c r="AB28" i="44"/>
  <c r="AA28" i="44"/>
  <c r="Z28" i="44"/>
  <c r="Y28" i="44"/>
  <c r="X28" i="44"/>
  <c r="W28" i="44"/>
  <c r="V28" i="44"/>
  <c r="U28" i="44"/>
  <c r="T28" i="44"/>
  <c r="S28" i="44"/>
  <c r="R28" i="44"/>
  <c r="Q28" i="44"/>
  <c r="P28" i="44"/>
  <c r="O28" i="44"/>
  <c r="N28" i="44"/>
  <c r="M28" i="44"/>
  <c r="L28" i="44"/>
  <c r="K28" i="44"/>
  <c r="J28" i="44"/>
  <c r="I28" i="44"/>
  <c r="H28" i="44"/>
  <c r="G28" i="44"/>
  <c r="F28" i="44"/>
  <c r="E28" i="44"/>
  <c r="D28" i="44"/>
  <c r="C28" i="44"/>
  <c r="B28" i="44"/>
  <c r="AM23" i="44"/>
  <c r="AL23" i="44"/>
  <c r="AK23" i="44"/>
  <c r="AJ23" i="44"/>
  <c r="AI23" i="44"/>
  <c r="AH23" i="44"/>
  <c r="AG23" i="44"/>
  <c r="AF23" i="44"/>
  <c r="AE23" i="44"/>
  <c r="AD23" i="44"/>
  <c r="AC23" i="44"/>
  <c r="AB23" i="44"/>
  <c r="AA23" i="44"/>
  <c r="Z23" i="44"/>
  <c r="Y23" i="44"/>
  <c r="X23" i="44"/>
  <c r="W23" i="44"/>
  <c r="V23" i="44"/>
  <c r="U23" i="44"/>
  <c r="T23" i="44"/>
  <c r="S23" i="44"/>
  <c r="R23" i="44"/>
  <c r="Q23" i="44"/>
  <c r="P23" i="44"/>
  <c r="O23" i="44"/>
  <c r="N23" i="44"/>
  <c r="M23" i="44"/>
  <c r="L23" i="44"/>
  <c r="K23" i="44"/>
  <c r="J23" i="44"/>
  <c r="I23" i="44"/>
  <c r="H23" i="44"/>
  <c r="G23" i="44"/>
  <c r="F23" i="44"/>
  <c r="E23" i="44"/>
  <c r="D23" i="44"/>
  <c r="C23" i="44"/>
  <c r="B23" i="44"/>
  <c r="AC18" i="44"/>
  <c r="AC24" i="44" s="1"/>
  <c r="AC29" i="44" s="1"/>
  <c r="U18" i="44"/>
  <c r="U24" i="44" s="1"/>
  <c r="U29" i="44" s="1"/>
  <c r="P18" i="44"/>
  <c r="P24" i="44" s="1"/>
  <c r="O18" i="44"/>
  <c r="N18" i="44"/>
  <c r="M18" i="44"/>
  <c r="L18" i="44"/>
  <c r="K18" i="44"/>
  <c r="J18" i="44"/>
  <c r="I18" i="44"/>
  <c r="H18" i="44"/>
  <c r="H24" i="44" s="1"/>
  <c r="G18" i="44"/>
  <c r="F18" i="44"/>
  <c r="E18" i="44"/>
  <c r="D18" i="44"/>
  <c r="D24" i="44" s="1"/>
  <c r="D29" i="44" s="1"/>
  <c r="C18" i="44"/>
  <c r="B18" i="44"/>
  <c r="AM17" i="44"/>
  <c r="AM18" i="44" s="1"/>
  <c r="AM24" i="44" s="1"/>
  <c r="AM29" i="44" s="1"/>
  <c r="AL17" i="44"/>
  <c r="AL18" i="44" s="1"/>
  <c r="AK17" i="44"/>
  <c r="AK18" i="44" s="1"/>
  <c r="AK24" i="44" s="1"/>
  <c r="AJ17" i="44"/>
  <c r="AJ18" i="44" s="1"/>
  <c r="AI17" i="44"/>
  <c r="AI18" i="44" s="1"/>
  <c r="AI24" i="44" s="1"/>
  <c r="AH17" i="44"/>
  <c r="AH18" i="44" s="1"/>
  <c r="AG17" i="44"/>
  <c r="AG18" i="44" s="1"/>
  <c r="AF17" i="44"/>
  <c r="AF18" i="44" s="1"/>
  <c r="AF24" i="44" s="1"/>
  <c r="AE17" i="44"/>
  <c r="AE18" i="44" s="1"/>
  <c r="AE24" i="44" s="1"/>
  <c r="AE29" i="44" s="1"/>
  <c r="AC17" i="44"/>
  <c r="AB17" i="44"/>
  <c r="AB18" i="44" s="1"/>
  <c r="AA17" i="44"/>
  <c r="AA18" i="44" s="1"/>
  <c r="AA24" i="44" s="1"/>
  <c r="Z17" i="44"/>
  <c r="Z18" i="44" s="1"/>
  <c r="Y17" i="44"/>
  <c r="Y18" i="44" s="1"/>
  <c r="Y24" i="44" s="1"/>
  <c r="Y29" i="44" s="1"/>
  <c r="X17" i="44"/>
  <c r="X18" i="44" s="1"/>
  <c r="X24" i="44" s="1"/>
  <c r="X29" i="44" s="1"/>
  <c r="W17" i="44"/>
  <c r="W18" i="44" s="1"/>
  <c r="W24" i="44" s="1"/>
  <c r="W29" i="44" s="1"/>
  <c r="V17" i="44"/>
  <c r="V18" i="44" s="1"/>
  <c r="U17" i="44"/>
  <c r="T17" i="44"/>
  <c r="T18" i="44" s="1"/>
  <c r="S17" i="44"/>
  <c r="S18" i="44" s="1"/>
  <c r="S24" i="44" s="1"/>
  <c r="R17" i="44"/>
  <c r="R18" i="44" s="1"/>
  <c r="Q17" i="44"/>
  <c r="Q18" i="44" s="1"/>
  <c r="Q24" i="44" s="1"/>
  <c r="Q29" i="44" s="1"/>
  <c r="AD16" i="44"/>
  <c r="AD17" i="44" s="1"/>
  <c r="AD18" i="44" s="1"/>
  <c r="AM7" i="44"/>
  <c r="AL7" i="44"/>
  <c r="AK7" i="44"/>
  <c r="AJ7" i="44"/>
  <c r="AI7" i="44"/>
  <c r="AH7" i="44"/>
  <c r="AG7" i="44"/>
  <c r="AF7" i="44"/>
  <c r="AE7" i="44"/>
  <c r="AD7" i="44"/>
  <c r="AC7" i="44"/>
  <c r="AB7" i="44"/>
  <c r="AA7" i="44"/>
  <c r="Z7" i="44"/>
  <c r="Y7" i="44"/>
  <c r="X7" i="44"/>
  <c r="W7" i="44"/>
  <c r="V7" i="44"/>
  <c r="U7" i="44"/>
  <c r="T7" i="44"/>
  <c r="S7" i="44"/>
  <c r="R7" i="44"/>
  <c r="Q7" i="44"/>
  <c r="P7" i="44"/>
  <c r="O7" i="44"/>
  <c r="N7" i="44"/>
  <c r="M7" i="44"/>
  <c r="L7" i="44"/>
  <c r="K7" i="44"/>
  <c r="J7" i="44"/>
  <c r="I7" i="44"/>
  <c r="H7" i="44"/>
  <c r="G7" i="44"/>
  <c r="F7" i="44"/>
  <c r="E7" i="44"/>
  <c r="D7" i="44"/>
  <c r="C7" i="44"/>
  <c r="B7" i="44"/>
  <c r="AI29" i="44" l="1"/>
  <c r="S29" i="44"/>
  <c r="AA29" i="44"/>
  <c r="AK29" i="44"/>
  <c r="L24" i="44"/>
  <c r="L29" i="44" s="1"/>
  <c r="AL24" i="44"/>
  <c r="AL29" i="44" s="1"/>
  <c r="I24" i="44"/>
  <c r="I29" i="44" s="1"/>
  <c r="AF29" i="44"/>
  <c r="B24" i="44"/>
  <c r="B29" i="44" s="1"/>
  <c r="J24" i="44"/>
  <c r="J29" i="44" s="1"/>
  <c r="AD24" i="44"/>
  <c r="AD29" i="44" s="1"/>
  <c r="AG24" i="44"/>
  <c r="AG29" i="44" s="1"/>
  <c r="C24" i="44"/>
  <c r="C29" i="44" s="1"/>
  <c r="K24" i="44"/>
  <c r="K29" i="44" s="1"/>
  <c r="Z24" i="44"/>
  <c r="Z29" i="44" s="1"/>
  <c r="E24" i="44"/>
  <c r="E29" i="44" s="1"/>
  <c r="AB24" i="44"/>
  <c r="AB29" i="44" s="1"/>
  <c r="F24" i="44"/>
  <c r="F29" i="44" s="1"/>
  <c r="G24" i="44"/>
  <c r="G29" i="44" s="1"/>
  <c r="O24" i="44"/>
  <c r="O29" i="44" s="1"/>
  <c r="R24" i="44"/>
  <c r="R29" i="44" s="1"/>
  <c r="AH24" i="44"/>
  <c r="AH29" i="44" s="1"/>
  <c r="M24" i="44"/>
  <c r="M29" i="44" s="1"/>
  <c r="T24" i="44"/>
  <c r="T29" i="44" s="1"/>
  <c r="AJ24" i="44"/>
  <c r="AJ29" i="44" s="1"/>
  <c r="N24" i="44"/>
  <c r="N29" i="44" s="1"/>
  <c r="H29" i="44"/>
  <c r="P29" i="44"/>
  <c r="V24" i="44"/>
  <c r="V29" i="44" s="1"/>
  <c r="N66" i="42" l="1"/>
  <c r="M66" i="42"/>
  <c r="L66" i="42"/>
  <c r="K66" i="42"/>
  <c r="J66" i="42"/>
  <c r="I66" i="42"/>
  <c r="H66" i="42"/>
  <c r="G66" i="42"/>
  <c r="N53" i="42"/>
  <c r="M53" i="42"/>
  <c r="L53" i="42"/>
  <c r="K53" i="42"/>
  <c r="J53" i="42"/>
  <c r="I53" i="42"/>
  <c r="H53" i="42"/>
  <c r="G53" i="42"/>
  <c r="Q53" i="42"/>
  <c r="M30" i="42"/>
  <c r="L30" i="42"/>
  <c r="K30" i="42"/>
  <c r="J30" i="42"/>
  <c r="I30" i="42"/>
  <c r="H30" i="42"/>
  <c r="G30" i="42"/>
  <c r="N27" i="42"/>
  <c r="N31" i="42" s="1"/>
  <c r="M27" i="42"/>
  <c r="L27" i="42"/>
  <c r="K27" i="42"/>
  <c r="J27" i="42"/>
  <c r="I27" i="42"/>
  <c r="H27" i="42"/>
  <c r="G27" i="42"/>
  <c r="N23" i="42"/>
  <c r="M23" i="42"/>
  <c r="L23" i="42"/>
  <c r="K23" i="42"/>
  <c r="J23" i="42"/>
  <c r="I23" i="42"/>
  <c r="H23" i="42"/>
  <c r="G23" i="42"/>
  <c r="N18" i="42"/>
  <c r="M18" i="42"/>
  <c r="L18" i="42"/>
  <c r="K18" i="42"/>
  <c r="J18" i="42"/>
  <c r="I18" i="42"/>
  <c r="H18" i="42"/>
  <c r="G18" i="42"/>
  <c r="N13" i="42"/>
  <c r="M13" i="42"/>
  <c r="L13" i="42"/>
  <c r="K13" i="42"/>
  <c r="J13" i="42"/>
  <c r="I13" i="42"/>
  <c r="H13" i="42"/>
  <c r="G13" i="42"/>
  <c r="K31" i="42" l="1"/>
  <c r="K71" i="42"/>
  <c r="H31" i="42"/>
  <c r="N71" i="42"/>
  <c r="H71" i="42"/>
  <c r="M31" i="42"/>
  <c r="M71" i="42" s="1"/>
  <c r="Q18" i="42"/>
  <c r="Q31" i="42" s="1"/>
  <c r="Q71" i="42" s="1"/>
  <c r="G31" i="42"/>
  <c r="G71" i="42" s="1"/>
  <c r="I31" i="42"/>
  <c r="I71" i="42" s="1"/>
  <c r="L31" i="42"/>
  <c r="L71" i="42" s="1"/>
  <c r="J31" i="42"/>
  <c r="J71" i="42" s="1"/>
  <c r="P18" i="19" l="1"/>
  <c r="N18" i="19"/>
  <c r="J10" i="41" l="1"/>
  <c r="N7" i="34" l="1"/>
  <c r="N14" i="24" l="1"/>
  <c r="O8" i="16" l="1"/>
  <c r="O5" i="16"/>
  <c r="O26" i="15" l="1"/>
  <c r="O25" i="15"/>
  <c r="O24" i="15"/>
  <c r="O23" i="15"/>
  <c r="O22" i="15"/>
  <c r="O21" i="15"/>
  <c r="O20" i="15"/>
  <c r="O17" i="15"/>
  <c r="O27" i="15" s="1"/>
  <c r="L10" i="41" l="1"/>
  <c r="B15" i="41" s="1"/>
  <c r="I10" i="41"/>
  <c r="H10" i="41"/>
  <c r="G10" i="41"/>
  <c r="F10" i="41"/>
  <c r="E10" i="41"/>
  <c r="D10" i="41"/>
  <c r="C10" i="41"/>
  <c r="B10" i="41"/>
  <c r="M9" i="41"/>
  <c r="M8" i="41"/>
  <c r="M7" i="41"/>
  <c r="M6" i="41"/>
  <c r="M5" i="41"/>
  <c r="M4" i="41"/>
  <c r="B27" i="23" l="1"/>
  <c r="D12" i="23"/>
  <c r="E12" i="23"/>
  <c r="F12" i="23"/>
  <c r="G12" i="23"/>
  <c r="H12" i="23"/>
  <c r="I12" i="23"/>
  <c r="J12" i="23"/>
  <c r="M18" i="19" l="1"/>
  <c r="M7" i="34" l="1"/>
  <c r="M14" i="24" l="1"/>
  <c r="N8" i="16" l="1"/>
  <c r="N5" i="16"/>
  <c r="N26" i="15" l="1"/>
  <c r="N25" i="15"/>
  <c r="N24" i="15"/>
  <c r="N23" i="15"/>
  <c r="N22" i="15"/>
  <c r="N21" i="15"/>
  <c r="N20" i="15"/>
  <c r="N17" i="15"/>
  <c r="N27" i="15" s="1"/>
  <c r="E67" i="39" l="1"/>
  <c r="B14" i="21" l="1"/>
  <c r="C14" i="21" s="1"/>
  <c r="D14" i="21" s="1"/>
  <c r="E14" i="21" s="1"/>
  <c r="F14" i="21" s="1"/>
  <c r="G14" i="21" s="1"/>
  <c r="H14" i="21" s="1"/>
  <c r="I14" i="21" s="1"/>
  <c r="J14" i="21" s="1"/>
  <c r="K14" i="21" s="1"/>
  <c r="L14" i="21" s="1"/>
  <c r="M14" i="21" s="1"/>
  <c r="N14" i="21" s="1"/>
  <c r="O14" i="21" s="1"/>
  <c r="P14" i="21" s="1"/>
  <c r="Q14" i="21" s="1"/>
  <c r="R14" i="21" s="1"/>
  <c r="S14" i="21" s="1"/>
  <c r="T14" i="21" s="1"/>
  <c r="U14" i="21" s="1"/>
  <c r="V14" i="21" s="1"/>
  <c r="W14" i="21" s="1"/>
  <c r="X14" i="21" s="1"/>
  <c r="Y14" i="21" s="1"/>
  <c r="Z14" i="21" s="1"/>
  <c r="AA14" i="21" s="1"/>
  <c r="AB14" i="21" s="1"/>
  <c r="AC14" i="21" s="1"/>
  <c r="AD14" i="21" s="1"/>
  <c r="AE14" i="21" s="1"/>
  <c r="AF14" i="21" s="1"/>
  <c r="AG14" i="21" s="1"/>
  <c r="AH14" i="21" s="1"/>
  <c r="AI14" i="21" s="1"/>
  <c r="AJ14" i="21" s="1"/>
  <c r="AK14" i="21" s="1"/>
  <c r="AL14" i="21" s="1"/>
  <c r="AM14" i="21" s="1"/>
  <c r="AN14" i="21" s="1"/>
  <c r="B15" i="21"/>
  <c r="C15" i="21" s="1"/>
  <c r="D15" i="21" s="1"/>
  <c r="E15" i="21" s="1"/>
  <c r="F15" i="21" s="1"/>
  <c r="G15" i="21" s="1"/>
  <c r="H15" i="21" s="1"/>
  <c r="I15" i="21" s="1"/>
  <c r="J15" i="21" s="1"/>
  <c r="K15" i="21" s="1"/>
  <c r="L15" i="21" s="1"/>
  <c r="M15" i="21" s="1"/>
  <c r="N15" i="21" s="1"/>
  <c r="O15" i="21" s="1"/>
  <c r="P15" i="21" s="1"/>
  <c r="Q15" i="21" s="1"/>
  <c r="R15" i="21" s="1"/>
  <c r="S15" i="21" s="1"/>
  <c r="T15" i="21" s="1"/>
  <c r="U15" i="21" s="1"/>
  <c r="V15" i="21" s="1"/>
  <c r="W15" i="21" s="1"/>
  <c r="X15" i="21" s="1"/>
  <c r="Y15" i="21" s="1"/>
  <c r="Z15" i="21" s="1"/>
  <c r="AA15" i="21" s="1"/>
  <c r="AB15" i="21" s="1"/>
  <c r="AC15" i="21" s="1"/>
  <c r="AD15" i="21" s="1"/>
  <c r="AE15" i="21" s="1"/>
  <c r="AF15" i="21" s="1"/>
  <c r="AG15" i="21" s="1"/>
  <c r="AH15" i="21" s="1"/>
  <c r="AI15" i="21" s="1"/>
  <c r="AJ15" i="21" s="1"/>
  <c r="AK15" i="21" s="1"/>
  <c r="AL15" i="21" s="1"/>
  <c r="AM15" i="21" s="1"/>
  <c r="AN15" i="21" s="1"/>
  <c r="Q26" i="15" l="1"/>
  <c r="M10" i="27" l="1"/>
  <c r="L18" i="19" l="1"/>
  <c r="K18" i="19"/>
  <c r="J18" i="19"/>
  <c r="I18" i="19"/>
  <c r="H18" i="19"/>
  <c r="G18" i="19"/>
  <c r="F18" i="19"/>
  <c r="L7" i="34" l="1"/>
  <c r="L14" i="24" l="1"/>
  <c r="K14" i="24"/>
  <c r="J14" i="24"/>
  <c r="I14" i="24"/>
  <c r="H14" i="24"/>
  <c r="G14" i="24"/>
  <c r="F14" i="24"/>
  <c r="Q13" i="24"/>
  <c r="Q12" i="24"/>
  <c r="M8" i="16" l="1"/>
  <c r="M5" i="16"/>
  <c r="M25" i="15" l="1"/>
  <c r="M24" i="15"/>
  <c r="M23" i="15"/>
  <c r="M22" i="15"/>
  <c r="M21" i="15"/>
  <c r="M20" i="15"/>
  <c r="M17" i="15"/>
  <c r="M27" i="15" s="1"/>
  <c r="B10" i="21" l="1"/>
  <c r="C10" i="21" s="1"/>
  <c r="D10" i="21" s="1"/>
  <c r="E10" i="21" s="1"/>
  <c r="F10" i="21" s="1"/>
  <c r="G10" i="21" s="1"/>
  <c r="H10" i="21" s="1"/>
  <c r="I10" i="21" s="1"/>
  <c r="J10" i="21" s="1"/>
  <c r="K10" i="21" s="1"/>
  <c r="L10" i="21" s="1"/>
  <c r="M10" i="21" s="1"/>
  <c r="N10" i="21" s="1"/>
  <c r="O10" i="21" s="1"/>
  <c r="P10" i="21" s="1"/>
  <c r="Q10" i="21" s="1"/>
  <c r="R10" i="21" s="1"/>
  <c r="S10" i="21" s="1"/>
  <c r="T10" i="21" s="1"/>
  <c r="U10" i="21" s="1"/>
  <c r="V10" i="21" s="1"/>
  <c r="W10" i="21" s="1"/>
  <c r="X10" i="21" s="1"/>
  <c r="Y10" i="21" s="1"/>
  <c r="Z10" i="21" s="1"/>
  <c r="AA10" i="21" s="1"/>
  <c r="AB10" i="21" s="1"/>
  <c r="AC10" i="21" s="1"/>
  <c r="AD10" i="21" s="1"/>
  <c r="AE10" i="21" s="1"/>
  <c r="AF10" i="21" s="1"/>
  <c r="AG10" i="21" s="1"/>
  <c r="AH10" i="21" s="1"/>
  <c r="AI10" i="21" s="1"/>
  <c r="AJ10" i="21" s="1"/>
  <c r="AK10" i="21" s="1"/>
  <c r="AL10" i="21" s="1"/>
  <c r="AM10" i="21" s="1"/>
  <c r="AN10" i="21" s="1"/>
  <c r="B9" i="21"/>
  <c r="C9" i="21" s="1"/>
  <c r="D9" i="21" s="1"/>
  <c r="E9" i="21" s="1"/>
  <c r="F9" i="21" s="1"/>
  <c r="G9" i="21" s="1"/>
  <c r="H9" i="21" s="1"/>
  <c r="I9" i="21" s="1"/>
  <c r="J9" i="21" s="1"/>
  <c r="K9" i="21" s="1"/>
  <c r="L9" i="21" s="1"/>
  <c r="M9" i="21" s="1"/>
  <c r="N9" i="21" s="1"/>
  <c r="O9" i="21" s="1"/>
  <c r="P9" i="21" s="1"/>
  <c r="Q9" i="21" s="1"/>
  <c r="R9" i="21" s="1"/>
  <c r="S9" i="21" s="1"/>
  <c r="T9" i="21" s="1"/>
  <c r="U9" i="21" s="1"/>
  <c r="V9" i="21" s="1"/>
  <c r="W9" i="21" s="1"/>
  <c r="X9" i="21" s="1"/>
  <c r="Y9" i="21" s="1"/>
  <c r="Z9" i="21" s="1"/>
  <c r="AA9" i="21" s="1"/>
  <c r="AB9" i="21" s="1"/>
  <c r="AC9" i="21" s="1"/>
  <c r="AD9" i="21" s="1"/>
  <c r="AE9" i="21" s="1"/>
  <c r="AF9" i="21" s="1"/>
  <c r="AG9" i="21" s="1"/>
  <c r="AH9" i="21" s="1"/>
  <c r="AI9" i="21" s="1"/>
  <c r="AJ9" i="21" s="1"/>
  <c r="AK9" i="21" s="1"/>
  <c r="AL9" i="21" s="1"/>
  <c r="AM9" i="21" s="1"/>
  <c r="AN9" i="21" s="1"/>
  <c r="B8" i="21"/>
  <c r="C8" i="21" s="1"/>
  <c r="D8" i="21" s="1"/>
  <c r="E8" i="21" s="1"/>
  <c r="F8" i="21" s="1"/>
  <c r="G8" i="21" s="1"/>
  <c r="H8" i="21" s="1"/>
  <c r="I8" i="21" s="1"/>
  <c r="J8" i="21" s="1"/>
  <c r="K8" i="21" s="1"/>
  <c r="L8" i="21" s="1"/>
  <c r="M8" i="21" s="1"/>
  <c r="N8" i="21" s="1"/>
  <c r="O8" i="21" s="1"/>
  <c r="P8" i="21" s="1"/>
  <c r="Q8" i="21" s="1"/>
  <c r="R8" i="21" s="1"/>
  <c r="S8" i="21" s="1"/>
  <c r="T8" i="21" s="1"/>
  <c r="U8" i="21" s="1"/>
  <c r="V8" i="21" s="1"/>
  <c r="W8" i="21" s="1"/>
  <c r="X8" i="21" s="1"/>
  <c r="Y8" i="21" s="1"/>
  <c r="Z8" i="21" s="1"/>
  <c r="AA8" i="21" s="1"/>
  <c r="AB8" i="21" s="1"/>
  <c r="AC8" i="21" s="1"/>
  <c r="AD8" i="21" s="1"/>
  <c r="AE8" i="21" s="1"/>
  <c r="AF8" i="21" s="1"/>
  <c r="AG8" i="21" s="1"/>
  <c r="AH8" i="21" s="1"/>
  <c r="AI8" i="21" s="1"/>
  <c r="AJ8" i="21" s="1"/>
  <c r="AK8" i="21" s="1"/>
  <c r="AL8" i="21" s="1"/>
  <c r="AM8" i="21" s="1"/>
  <c r="AN8" i="21" s="1"/>
  <c r="B7" i="21"/>
  <c r="C7" i="21" s="1"/>
  <c r="D7" i="21" s="1"/>
  <c r="E7" i="21" s="1"/>
  <c r="F7" i="21" s="1"/>
  <c r="G7" i="21" s="1"/>
  <c r="H7" i="21" s="1"/>
  <c r="I7" i="21" s="1"/>
  <c r="J7" i="21" s="1"/>
  <c r="K7" i="21" s="1"/>
  <c r="L7" i="21" s="1"/>
  <c r="M7" i="21" s="1"/>
  <c r="N7" i="21" s="1"/>
  <c r="O7" i="21" s="1"/>
  <c r="P7" i="21" s="1"/>
  <c r="Q7" i="21" s="1"/>
  <c r="R7" i="21" s="1"/>
  <c r="S7" i="21" s="1"/>
  <c r="T7" i="21" s="1"/>
  <c r="U7" i="21" s="1"/>
  <c r="V7" i="21" s="1"/>
  <c r="W7" i="21" s="1"/>
  <c r="X7" i="21" s="1"/>
  <c r="Y7" i="21" s="1"/>
  <c r="Z7" i="21" s="1"/>
  <c r="AA7" i="21" s="1"/>
  <c r="AB7" i="21" s="1"/>
  <c r="AC7" i="21" s="1"/>
  <c r="AD7" i="21" s="1"/>
  <c r="AE7" i="21" s="1"/>
  <c r="AF7" i="21" s="1"/>
  <c r="AG7" i="21" s="1"/>
  <c r="AH7" i="21" s="1"/>
  <c r="AI7" i="21" s="1"/>
  <c r="AJ7" i="21" s="1"/>
  <c r="AK7" i="21" s="1"/>
  <c r="AL7" i="21" s="1"/>
  <c r="AM7" i="21" s="1"/>
  <c r="AN7" i="21" s="1"/>
  <c r="B6" i="21"/>
  <c r="C6" i="21" s="1"/>
  <c r="D6" i="21" s="1"/>
  <c r="E6" i="21" s="1"/>
  <c r="F6" i="21" s="1"/>
  <c r="G6" i="21" s="1"/>
  <c r="H6" i="21" s="1"/>
  <c r="I6" i="21" s="1"/>
  <c r="J6" i="21" s="1"/>
  <c r="K6" i="21" s="1"/>
  <c r="L6" i="21" s="1"/>
  <c r="M6" i="21" s="1"/>
  <c r="N6" i="21" s="1"/>
  <c r="O6" i="21" s="1"/>
  <c r="P6" i="21" s="1"/>
  <c r="Q6" i="21" s="1"/>
  <c r="R6" i="21" s="1"/>
  <c r="S6" i="21" s="1"/>
  <c r="T6" i="21" s="1"/>
  <c r="U6" i="21" s="1"/>
  <c r="V6" i="21" s="1"/>
  <c r="W6" i="21" s="1"/>
  <c r="X6" i="21" s="1"/>
  <c r="Y6" i="21" s="1"/>
  <c r="Z6" i="21" s="1"/>
  <c r="AA6" i="21" s="1"/>
  <c r="AB6" i="21" s="1"/>
  <c r="AC6" i="21" s="1"/>
  <c r="AD6" i="21" s="1"/>
  <c r="AE6" i="21" s="1"/>
  <c r="AF6" i="21" s="1"/>
  <c r="AG6" i="21" s="1"/>
  <c r="AH6" i="21" s="1"/>
  <c r="AI6" i="21" s="1"/>
  <c r="AJ6" i="21" s="1"/>
  <c r="AK6" i="21" s="1"/>
  <c r="AL6" i="21" s="1"/>
  <c r="AM6" i="21" s="1"/>
  <c r="AN6" i="21" s="1"/>
  <c r="AN11" i="21" l="1"/>
  <c r="AG28" i="21" s="1"/>
  <c r="C8" i="16" l="1"/>
  <c r="B8" i="16"/>
  <c r="E5" i="16"/>
  <c r="D5" i="16"/>
  <c r="C5" i="16"/>
  <c r="B5" i="16"/>
  <c r="E8" i="16" l="1"/>
  <c r="D8" i="16"/>
  <c r="AM11" i="21" l="1"/>
  <c r="E13" i="36"/>
  <c r="E9" i="36"/>
  <c r="I6" i="34" l="1"/>
  <c r="H6" i="34"/>
  <c r="B16" i="36" l="1"/>
  <c r="A29" i="36" s="1"/>
  <c r="J7" i="34" l="1"/>
  <c r="I7" i="34"/>
  <c r="P7" i="34"/>
  <c r="B12" i="34" s="1"/>
  <c r="K7" i="34"/>
  <c r="H7" i="34"/>
  <c r="G7" i="34"/>
  <c r="F7" i="34"/>
  <c r="Q6" i="34"/>
  <c r="Q5" i="34"/>
  <c r="Q4" i="34"/>
  <c r="Q3" i="34"/>
  <c r="AL11" i="21" l="1"/>
  <c r="AK11" i="21"/>
  <c r="L8" i="16" l="1"/>
  <c r="L5" i="16"/>
  <c r="R16" i="15" l="1"/>
  <c r="Q4" i="24"/>
  <c r="A22" i="23" l="1"/>
  <c r="E39" i="19" l="1"/>
  <c r="E38" i="19"/>
  <c r="E37" i="19"/>
  <c r="E36" i="19"/>
  <c r="E35" i="19"/>
  <c r="E34" i="19"/>
  <c r="E33" i="19"/>
  <c r="E32" i="19"/>
  <c r="E31" i="19"/>
  <c r="E30" i="19"/>
  <c r="E29" i="19"/>
  <c r="F40" i="19" l="1"/>
  <c r="F29" i="19"/>
  <c r="Q3" i="24" l="1"/>
  <c r="Q5" i="24"/>
  <c r="Q6" i="24"/>
  <c r="Q7" i="24"/>
  <c r="Q8" i="24"/>
  <c r="Q9" i="24"/>
  <c r="Q10" i="24"/>
  <c r="Q11" i="24"/>
  <c r="Q20" i="15" l="1"/>
  <c r="B39" i="15" s="1"/>
  <c r="L20" i="15"/>
  <c r="K20" i="15"/>
  <c r="J20" i="15"/>
  <c r="I20" i="15"/>
  <c r="H20" i="15"/>
  <c r="G20" i="15"/>
  <c r="Q17" i="15"/>
  <c r="L17" i="15"/>
  <c r="K17" i="15"/>
  <c r="J17" i="15"/>
  <c r="I17" i="15"/>
  <c r="H17" i="15"/>
  <c r="G17" i="15"/>
  <c r="F41" i="19" l="1"/>
  <c r="F39" i="19"/>
  <c r="F38" i="19"/>
  <c r="F37" i="19"/>
  <c r="F36" i="19"/>
  <c r="F35" i="19"/>
  <c r="F34" i="19"/>
  <c r="F33" i="19"/>
  <c r="F32" i="19"/>
  <c r="F31" i="19"/>
  <c r="F30" i="19"/>
  <c r="AI11" i="21" l="1"/>
  <c r="AJ11" i="21"/>
  <c r="M9" i="27" l="1"/>
  <c r="M8" i="27"/>
  <c r="M7" i="27"/>
  <c r="M6" i="27"/>
  <c r="M5" i="27"/>
  <c r="M4" i="27"/>
  <c r="B28" i="23" l="1"/>
  <c r="B26" i="23"/>
  <c r="B25" i="23"/>
  <c r="B24" i="23"/>
  <c r="B23" i="23"/>
  <c r="Q8" i="16" l="1"/>
  <c r="K8" i="16"/>
  <c r="J8" i="16"/>
  <c r="I8" i="16"/>
  <c r="H8" i="16"/>
  <c r="G8" i="16"/>
  <c r="F8" i="16"/>
  <c r="Q5" i="16"/>
  <c r="Q27" i="15" l="1"/>
  <c r="L27" i="15"/>
  <c r="K27" i="15"/>
  <c r="J27" i="15"/>
  <c r="I27" i="15"/>
  <c r="H27" i="15"/>
  <c r="G27" i="15"/>
  <c r="Q25" i="15"/>
  <c r="L25" i="15"/>
  <c r="K25" i="15"/>
  <c r="J25" i="15"/>
  <c r="I25" i="15"/>
  <c r="H25" i="15"/>
  <c r="G25" i="15"/>
  <c r="Q24" i="15"/>
  <c r="B43" i="15" s="1"/>
  <c r="L24" i="15"/>
  <c r="K24" i="15"/>
  <c r="J24" i="15"/>
  <c r="I24" i="15"/>
  <c r="H24" i="15"/>
  <c r="G24" i="15"/>
  <c r="Q23" i="15"/>
  <c r="B42" i="15" s="1"/>
  <c r="L23" i="15"/>
  <c r="K23" i="15"/>
  <c r="J23" i="15"/>
  <c r="I23" i="15"/>
  <c r="H23" i="15"/>
  <c r="G23" i="15"/>
  <c r="Q22" i="15"/>
  <c r="B41" i="15" s="1"/>
  <c r="L22" i="15"/>
  <c r="K22" i="15"/>
  <c r="J22" i="15"/>
  <c r="I22" i="15"/>
  <c r="H22" i="15"/>
  <c r="G22" i="15"/>
  <c r="Q21" i="15"/>
  <c r="B40" i="15" s="1"/>
  <c r="L21" i="15"/>
  <c r="K21" i="15"/>
  <c r="J21" i="15"/>
  <c r="I21" i="15"/>
  <c r="H21" i="15"/>
  <c r="G21" i="15"/>
  <c r="A76" i="39" l="1"/>
  <c r="A27" i="19"/>
  <c r="B11" i="21"/>
  <c r="AH11" i="21"/>
  <c r="K5" i="16" l="1"/>
  <c r="F5" i="16"/>
  <c r="G5" i="16"/>
  <c r="H5" i="16"/>
  <c r="I5" i="16"/>
  <c r="J5" i="16"/>
  <c r="A26"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 Schrepel</author>
  </authors>
  <commentList>
    <comment ref="A81" authorId="0" shapeId="0" xr:uid="{EF7BD57D-6E69-4B61-AEDE-BF7083C170F1}">
      <text>
        <r>
          <rPr>
            <b/>
            <sz val="9"/>
            <color indexed="81"/>
            <rFont val="Tahoma"/>
            <charset val="1"/>
          </rPr>
          <t>Eric Schrepel:</t>
        </r>
        <r>
          <rPr>
            <sz val="9"/>
            <color indexed="81"/>
            <rFont val="Tahoma"/>
            <charset val="1"/>
          </rPr>
          <t xml:space="preserve">
1) Insert column before last FY
2) Manually copy FY values, matching against column B
3) Update new FY column heading
4) Sort each section of above table on new FY (desc), copy column B and values to first table below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Eric Schrepel</author>
    <author>A satisfied Microsoft Office user</author>
    <author>dbt0117</author>
  </authors>
  <commentList>
    <comment ref="AC1" authorId="0" shapeId="0" xr:uid="{CD331B35-8CC8-4D83-8015-F60412A56A54}">
      <text>
        <r>
          <rPr>
            <b/>
            <sz val="9"/>
            <color indexed="81"/>
            <rFont val="Tahoma"/>
            <family val="2"/>
          </rPr>
          <t>Eric Schrepel:</t>
        </r>
        <r>
          <rPr>
            <sz val="9"/>
            <color indexed="81"/>
            <rFont val="Tahoma"/>
            <family val="2"/>
          </rPr>
          <t xml:space="preserve">
1) Insert column before last FY
2) Copy last FY to newly inserted column
3) Update column heading for new FY
4) Copy from BPA sheet to new FY
5) Use this to support sheets 1A, 1B (ensure 1B includes newly added column)</t>
        </r>
      </text>
    </comment>
    <comment ref="O2" authorId="1" shapeId="0" xr:uid="{682ED8F1-248D-4163-A083-003A15EFFD1E}">
      <text>
        <r>
          <rPr>
            <sz val="8"/>
            <color indexed="81"/>
            <rFont val="Tahoma"/>
            <family val="2"/>
          </rPr>
          <t>updated to FY 95 Congressional actual to the budget document. 3/23/94</t>
        </r>
      </text>
    </comment>
    <comment ref="P2" authorId="1" shapeId="0" xr:uid="{FE2AD897-7F1B-46C3-9456-F4ECAFE0D697}">
      <text>
        <r>
          <rPr>
            <sz val="8"/>
            <color indexed="81"/>
            <rFont val="Tahoma"/>
            <family val="2"/>
          </rPr>
          <t>Based on the FY 1995 Cong. Budget document for all Budget accounts.  PowPurch. are changed to reflect the 1994 NMFS BO.  Basis for $350 million number in the Cong. Testimony.  DOES NOT INCLUDE ANY $ FOR $40 MILLION ESA FUND.</t>
        </r>
      </text>
    </comment>
    <comment ref="Z9" authorId="2" shapeId="0" xr:uid="{732B9A89-016A-4FAA-AE9C-4A912830B645}">
      <text>
        <r>
          <rPr>
            <b/>
            <sz val="8"/>
            <color indexed="81"/>
            <rFont val="Tahoma"/>
            <family val="2"/>
          </rPr>
          <t>dbt0117:</t>
        </r>
        <r>
          <rPr>
            <sz val="8"/>
            <color indexed="81"/>
            <rFont val="Tahoma"/>
            <family val="2"/>
          </rPr>
          <t xml:space="preserve">
$5.1M in prior year capital adjustments was not attributed to the direct program in FY 04.  This resulted in a regionally reported program expense of $132.8M for FY 04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4_CostsByLocation!$A$3:$E$9" type="102" refreshedVersion="5" minRefreshableVersion="5">
    <extLst>
      <ext xmlns:x15="http://schemas.microsoft.com/office/spreadsheetml/2010/11/main" uri="{DE250136-89BD-433C-8126-D09CA5730AF9}">
        <x15:connection id="Range-5170fc5c-6da7-4755-86ea-689762ede593">
          <x15:rangePr sourceName="_xlcn.WorksheetConnection_4_CostsByLocationA3E91"/>
        </x15:connection>
      </ext>
    </extLst>
  </connection>
</connections>
</file>

<file path=xl/sharedStrings.xml><?xml version="1.0" encoding="utf-8"?>
<sst xmlns="http://schemas.openxmlformats.org/spreadsheetml/2006/main" count="648" uniqueCount="456">
  <si>
    <t>Notes:</t>
  </si>
  <si>
    <t>TOTAL</t>
  </si>
  <si>
    <t>CJH Cost Share</t>
  </si>
  <si>
    <t>Program Support</t>
  </si>
  <si>
    <t>Wildlife</t>
  </si>
  <si>
    <t>Resident Fish</t>
  </si>
  <si>
    <t>Anadromous Fish</t>
  </si>
  <si>
    <t>Capital Expenditures</t>
  </si>
  <si>
    <t>Expense Expenditures</t>
  </si>
  <si>
    <t>Species type</t>
  </si>
  <si>
    <t>Capital</t>
  </si>
  <si>
    <t>Expense</t>
  </si>
  <si>
    <t>Category</t>
  </si>
  <si>
    <t>2) Contract Administration spending can be tracked back to a work element that did not require the contractor to identify the "Primary Focal Species" benefiting from the work.</t>
  </si>
  <si>
    <t>Trout, Bull (threatened)</t>
  </si>
  <si>
    <t>Sturgeon, White - Kootenai River DPS (endangered)</t>
  </si>
  <si>
    <t>Cutthroat Trout, Lahontan (threatened)</t>
  </si>
  <si>
    <t>Steelhead - Upper Willamette River DPS (threatened)</t>
  </si>
  <si>
    <t>Steelhead - Snake River DPS (threatened)</t>
  </si>
  <si>
    <t>Steelhead - Middle Columbia River DPS (threatened)</t>
  </si>
  <si>
    <t>Steelhead - Lower Columbia River DPS (threatened)</t>
  </si>
  <si>
    <t>Sockeye - Snake River ESU (endangered)</t>
  </si>
  <si>
    <t>Coho - Lower Columbia River ESU (threatened)</t>
  </si>
  <si>
    <t>Chum - Columbia River ESU (threatened)</t>
  </si>
  <si>
    <t>Chinook - Upper Willamette River ESU (threatened)</t>
  </si>
  <si>
    <t>Chinook - Upper Columbia River Spring ESU (endangered)</t>
  </si>
  <si>
    <t>Chinook - Snake River Spring/Summer ESU (threatened)</t>
  </si>
  <si>
    <t>Chinook - Snake River Fall ESU (threatened)</t>
  </si>
  <si>
    <t>Chinook - Lower Columbia River ESU (threatened)</t>
  </si>
  <si>
    <t>Total Spending</t>
  </si>
  <si>
    <t>Capital Total Spending</t>
  </si>
  <si>
    <t>Capital "Contract Administration" Spending</t>
  </si>
  <si>
    <t>Capital "Direct" Spending</t>
  </si>
  <si>
    <t>Expense Total Spending</t>
  </si>
  <si>
    <t>Expense "Contract Administration" Spending</t>
  </si>
  <si>
    <t>Expense "Direct" Spending</t>
  </si>
  <si>
    <t>ESA Listed Focal Species Name</t>
  </si>
  <si>
    <t>Total</t>
  </si>
  <si>
    <t>Predator Removal</t>
  </si>
  <si>
    <t>Law Enforcement</t>
  </si>
  <si>
    <t>Harvest Augmentation</t>
  </si>
  <si>
    <t>Data Management</t>
  </si>
  <si>
    <t>Programmatic</t>
  </si>
  <si>
    <t>Predation</t>
  </si>
  <si>
    <t>Hydrosystem</t>
  </si>
  <si>
    <t>Harvest</t>
  </si>
  <si>
    <t>Habitat</t>
  </si>
  <si>
    <t>Artificial Production</t>
  </si>
  <si>
    <t>2) Other includes "Undetermined" locations such as Ocean, Canada; and provinces not recognized by NPCC.</t>
  </si>
  <si>
    <t>1) Starting in 2008, spending by province is tracked in Pisces based on where the contractor explicitly identified work location.</t>
  </si>
  <si>
    <t>Province</t>
  </si>
  <si>
    <t>Other</t>
  </si>
  <si>
    <t>Project Proponent(s)</t>
  </si>
  <si>
    <t>Columbia Land Trust</t>
  </si>
  <si>
    <t>Colville Confederated Tribes</t>
  </si>
  <si>
    <t>Idaho Department of Fish and Game (IDFG)</t>
  </si>
  <si>
    <t>Idaho Office of Species Conservation</t>
  </si>
  <si>
    <t>Nature Conservancy</t>
  </si>
  <si>
    <t>Nez Perce Tribe</t>
  </si>
  <si>
    <t>Oregon Watershed Enhancement Board</t>
  </si>
  <si>
    <t>Salish and Kootenai Confederated Tribes</t>
  </si>
  <si>
    <t>Shoshone-Bannock Tribes</t>
  </si>
  <si>
    <t>Shoshone-Paiute Tribes</t>
  </si>
  <si>
    <t>Umatilla Confederated Tribes (CTUIR)</t>
  </si>
  <si>
    <t>Yakama Confederated Tribes</t>
  </si>
  <si>
    <t>Fixed Expenses</t>
  </si>
  <si>
    <t>Direct Program</t>
  </si>
  <si>
    <t>Reimbursable Expenses</t>
  </si>
  <si>
    <t>Forgone Revenues</t>
  </si>
  <si>
    <t>Power Purchases</t>
  </si>
  <si>
    <t>1978-80</t>
  </si>
  <si>
    <t>TOTAL PROGRAM</t>
  </si>
  <si>
    <t>Total General</t>
  </si>
  <si>
    <t>Figure subtitle:</t>
  </si>
  <si>
    <t>Subtitle:</t>
  </si>
  <si>
    <r>
      <t xml:space="preserve">2) Estimated spending is based at the </t>
    </r>
    <r>
      <rPr>
        <u/>
        <sz val="12"/>
        <rFont val="Century Gothic"/>
        <family val="2"/>
      </rPr>
      <t>project level</t>
    </r>
    <r>
      <rPr>
        <sz val="12"/>
        <rFont val="Century Gothic"/>
        <family val="2"/>
      </rPr>
      <t>.  Therefore if a project is assigned an emphasis of Habitat, but also does RME, all expenditures for the project are included under Habitat.</t>
    </r>
  </si>
  <si>
    <t>Research, Monitoring and Evaluation</t>
  </si>
  <si>
    <t>Production (Supplementation)</t>
  </si>
  <si>
    <t>for graph</t>
  </si>
  <si>
    <t>Ocean</t>
  </si>
  <si>
    <t>Montana</t>
  </si>
  <si>
    <t>Oregon</t>
  </si>
  <si>
    <t>Idaho</t>
  </si>
  <si>
    <t>Washington</t>
  </si>
  <si>
    <t>STATE</t>
  </si>
  <si>
    <t>GRAND TOTAL</t>
  </si>
  <si>
    <t>OTHER TOTAL</t>
  </si>
  <si>
    <t>NATIONAL FISH &amp; WILDLIFE FOUNDATION</t>
  </si>
  <si>
    <t>UTILITY</t>
  </si>
  <si>
    <r>
      <t>LAND ACQUISITIONS</t>
    </r>
    <r>
      <rPr>
        <vertAlign val="superscript"/>
        <sz val="11"/>
        <rFont val="Century Gothic"/>
        <family val="2"/>
      </rPr>
      <t>2</t>
    </r>
  </si>
  <si>
    <t>COLUMBIA BASIN FISH &amp; WILDLIFE AUTHORITY</t>
  </si>
  <si>
    <t>OTHER</t>
  </si>
  <si>
    <t>UNIVERSITY</t>
  </si>
  <si>
    <t>PACIFIC STATES MARINE FISHERIES COMMISSION (PSMFC)</t>
  </si>
  <si>
    <t>INTERSTATE COMPACT</t>
  </si>
  <si>
    <t>TRIBE TOTAL</t>
  </si>
  <si>
    <t>YAKAMA CONFEDERATED TRIBES</t>
  </si>
  <si>
    <t>UPPER SNAKE RIVER TRIBES FOUNDATION</t>
  </si>
  <si>
    <t>UPPER COLUMBIA UNITED TRIBES (UCUT)</t>
  </si>
  <si>
    <t>UMATILLA CONFEDERATED TRIBES</t>
  </si>
  <si>
    <t>SPOKANE TRIBE OF INDIANS</t>
  </si>
  <si>
    <t>SHOSHONE-PAUITE TRIBES</t>
  </si>
  <si>
    <t>SHOSHONE-BANNOCK TRIBES</t>
  </si>
  <si>
    <t>SALISH AND KOOTENAI TRIBES CONFEDERATED TRIBES</t>
  </si>
  <si>
    <t>NEZ PERCE TRIBE</t>
  </si>
  <si>
    <t>KOOTENAI TRIBE</t>
  </si>
  <si>
    <t>KALISPEL TRIBE OF INDIANS</t>
  </si>
  <si>
    <t>COWLITZ INDIAN TRIBE</t>
  </si>
  <si>
    <t>CONFEDERATED TRIBES OF WARM SPRINGS</t>
  </si>
  <si>
    <t>CONFEDERATED TRIBES OF SILETZ INDIANS</t>
  </si>
  <si>
    <t>CONFEDERATED TRIBES OF GRAND RONDE</t>
  </si>
  <si>
    <t>COLVILLE CONFEDERATED TRIBES</t>
  </si>
  <si>
    <t>COLUMBIA RIVER INTERTRIBAL FISH COMMISSION</t>
  </si>
  <si>
    <t>COEUR D'ALENE TRIBE OF IDAHO</t>
  </si>
  <si>
    <t>BURNS PAIUTE TRIBE</t>
  </si>
  <si>
    <t>TRIBE</t>
  </si>
  <si>
    <t>STATE TOTAL</t>
  </si>
  <si>
    <t>MONTANA Subtotal</t>
  </si>
  <si>
    <t>MONTANA FISH, WILDLIFE AND PARKS (MFWP)</t>
  </si>
  <si>
    <t>WASHINGTON Subtotal</t>
  </si>
  <si>
    <t>WASHINGTON DEPARTMENT OF ECOLOGY</t>
  </si>
  <si>
    <t>WASHINGTON DEPARTMENT OF FISH &amp; WILDLIFE</t>
  </si>
  <si>
    <t>IDAHO Subtotal</t>
  </si>
  <si>
    <t>IDAHO STATE OFFICE OF SPECIES CONSERVATION</t>
  </si>
  <si>
    <t>IDAHO SOIL &amp; WATER CONSERVATION COMMISSION</t>
  </si>
  <si>
    <t>IDAHO DEPARTMENT OF FISH &amp; WILDLIFE</t>
  </si>
  <si>
    <t>OREGON Subtotal</t>
  </si>
  <si>
    <t>OREGON WATERSHED ENHANCEMENT BOARD</t>
  </si>
  <si>
    <t>OREGON DEPARTMENT OF FISH &amp; WILDLIFE</t>
  </si>
  <si>
    <t>FEDERAL TOTAL</t>
  </si>
  <si>
    <t>US GEOLOGICAL SURVEY (USGS)</t>
  </si>
  <si>
    <t>US FOREST SERVICE (USFS)</t>
  </si>
  <si>
    <t>US ARMY CORP OF ENGINEERS (COE)</t>
  </si>
  <si>
    <t>US BUREAU OF RECLAMATION (BOR)</t>
  </si>
  <si>
    <t>US FISH &amp; WILDLIFE SERVICE (USFWS)</t>
  </si>
  <si>
    <t>NATIONAL MARINE FISHERIES (NOAA)</t>
  </si>
  <si>
    <t>FEDERAL</t>
  </si>
  <si>
    <t>Prime Contractor</t>
  </si>
  <si>
    <t>Contractor Type</t>
  </si>
  <si>
    <t>Federal</t>
  </si>
  <si>
    <t>State</t>
  </si>
  <si>
    <t>Tribe</t>
  </si>
  <si>
    <t>Interstate</t>
  </si>
  <si>
    <t>University</t>
  </si>
  <si>
    <t>Federal: National Marine Fisheries</t>
  </si>
  <si>
    <t>Federal: US Geological Survey</t>
  </si>
  <si>
    <t>Federal: Other</t>
  </si>
  <si>
    <t>State: Oregon Department of Fish &amp; Wildlife</t>
  </si>
  <si>
    <t>State: Idaho Department of Fish &amp; Wildlife</t>
  </si>
  <si>
    <t>State: Washington Department of Fish &amp; Wildlife</t>
  </si>
  <si>
    <t>State: Montana Fish, Wildlife And Parks</t>
  </si>
  <si>
    <t>State: Idaho State Office of Species Conservation</t>
  </si>
  <si>
    <t>Tribe: Yakama Confederated Tribes</t>
  </si>
  <si>
    <t>Tribe: Kootenai Tribe</t>
  </si>
  <si>
    <t>Tribe: Nez Perce Tribe</t>
  </si>
  <si>
    <t>Tribe: Colville Confederated Tribes</t>
  </si>
  <si>
    <t>Tribe: Umatilla Confederated Tribes</t>
  </si>
  <si>
    <t>Tribe: Columbia River Intertribal Fish Commission</t>
  </si>
  <si>
    <t>Tribe: Confederated Tribes of Warm Springs</t>
  </si>
  <si>
    <t>Tribe: Shoshone-Bannock Tribes</t>
  </si>
  <si>
    <t>Tribe: Spokane Tribe of Indians</t>
  </si>
  <si>
    <t>Tribe: Kalispel Tribe of Indians</t>
  </si>
  <si>
    <t>Tribe: Coeur D'Alene Tribe of Idaho</t>
  </si>
  <si>
    <t>Tribe: Other</t>
  </si>
  <si>
    <t>Interstate: Pacific States Marine Fisheries Commission</t>
  </si>
  <si>
    <t>Other: Private/Non-Profit/Other</t>
  </si>
  <si>
    <t>Other: Land Acquisitions</t>
  </si>
  <si>
    <t>Other: Local/Semi Government</t>
  </si>
  <si>
    <t>Other: National Fish &amp; Wildlife Foundation</t>
  </si>
  <si>
    <t>Montana Fish, Wildlife and Parks (MFWP)</t>
  </si>
  <si>
    <t>Oregon Department Of Fish and Wildlife (ODFW)</t>
  </si>
  <si>
    <t>Washington Department of Fish and Wildlife (WDFW)</t>
  </si>
  <si>
    <t>1) Values above include bank fees, permits, etc.</t>
  </si>
  <si>
    <t>Notes</t>
  </si>
  <si>
    <t>Direct F&amp;W Program</t>
  </si>
  <si>
    <t>Lower Snake Comp Plan</t>
  </si>
  <si>
    <t>Corps of Engineers O&amp;M (est.)</t>
  </si>
  <si>
    <t>Bureau of Reclamation O&amp;M (est.)</t>
  </si>
  <si>
    <t>NW Power &amp; Conservation Council</t>
  </si>
  <si>
    <t>Interest Expense (est.)</t>
  </si>
  <si>
    <t>Power Purchases for Fish Enhancement (est.)</t>
  </si>
  <si>
    <t>1) Estimated spending is based at the project level.  Therefore, if a project partially supports the FCRPS BiOp, all expenditures for the project are included.</t>
  </si>
  <si>
    <t xml:space="preserve">FIGURE 2. </t>
  </si>
  <si>
    <t>Total BiOp (non-Accord)</t>
  </si>
  <si>
    <t>Coordination (Local/Regional)</t>
  </si>
  <si>
    <t>Habitat (Restoration/Protection)</t>
  </si>
  <si>
    <t>BLUE MOUNTAIN</t>
  </si>
  <si>
    <t>COLUMBIA CASCADE</t>
  </si>
  <si>
    <t>COLUMBIA GORGE</t>
  </si>
  <si>
    <t>COLUMBIA PLATEAU</t>
  </si>
  <si>
    <t>COLUMBIA ESTUARY</t>
  </si>
  <si>
    <t>INTERMOUNTAIN</t>
  </si>
  <si>
    <t>LOWER COLUMBIA</t>
  </si>
  <si>
    <t>MIDDLE SNAKE</t>
  </si>
  <si>
    <t>MOUNTAIN COLUMBIA</t>
  </si>
  <si>
    <t>MOUNTAIN SNAKE</t>
  </si>
  <si>
    <t>UPPER SNAKE</t>
  </si>
  <si>
    <r>
      <t>OTHER</t>
    </r>
    <r>
      <rPr>
        <vertAlign val="superscript"/>
        <sz val="11"/>
        <rFont val="Century Gothic"/>
        <family val="2"/>
      </rPr>
      <t xml:space="preserve"> 2</t>
    </r>
  </si>
  <si>
    <r>
      <t>PROGRAM SUPPORT/ADMIN/ OVERHEAD/OTHER</t>
    </r>
    <r>
      <rPr>
        <vertAlign val="superscript"/>
        <sz val="11"/>
        <rFont val="Century Gothic"/>
        <family val="2"/>
      </rPr>
      <t xml:space="preserve"> 3</t>
    </r>
  </si>
  <si>
    <t>Confederated Tribes of the Warm Springs</t>
  </si>
  <si>
    <t>Totals</t>
  </si>
  <si>
    <t>Tribe: Shoshone-Paiute Tribes</t>
  </si>
  <si>
    <t>for graph (footnote marks removed)</t>
  </si>
  <si>
    <t>PACIFIC NW NATIONAL LABORATORY/DEPT. OF ENERGY</t>
  </si>
  <si>
    <t>FORT McDERMITT TRIBE</t>
  </si>
  <si>
    <t>UNIVERSITIES</t>
  </si>
  <si>
    <t>Federal: US Forest Service</t>
  </si>
  <si>
    <t>Other: Utility</t>
  </si>
  <si>
    <t>Supplementation</t>
  </si>
  <si>
    <t>2) Passage projects were moved from Capital to Expense funding starting with FY16 contracts.</t>
  </si>
  <si>
    <r>
      <t>2016</t>
    </r>
    <r>
      <rPr>
        <b/>
        <vertAlign val="superscript"/>
        <sz val="12"/>
        <rFont val="Century Gothic"/>
        <family val="2"/>
      </rPr>
      <t xml:space="preserve"> 3 </t>
    </r>
  </si>
  <si>
    <t>Steelhead - Upper Columbia River DPS (endangered)</t>
  </si>
  <si>
    <t>1) Direct spending can be tracked back to a work element where the contractor explicitly identified the "Primary Focal Species" benefiting from the work.</t>
  </si>
  <si>
    <r>
      <t>Coordination (BPA Overhead)</t>
    </r>
    <r>
      <rPr>
        <vertAlign val="superscript"/>
        <sz val="12"/>
        <rFont val="Century Gothic"/>
        <family val="2"/>
      </rPr>
      <t xml:space="preserve"> 3</t>
    </r>
  </si>
  <si>
    <r>
      <t>2016</t>
    </r>
    <r>
      <rPr>
        <b/>
        <vertAlign val="superscript"/>
        <sz val="12"/>
        <rFont val="Century Gothic"/>
        <family val="2"/>
      </rPr>
      <t xml:space="preserve"> 4</t>
    </r>
  </si>
  <si>
    <t>3) Program Support/Admin includes spending that cannot be traced back to a contract that has at least one work element requiring location; contracts without any work elements at all; program level spending not mapped to a specific project; and BPA Overhead.</t>
  </si>
  <si>
    <r>
      <t>2016</t>
    </r>
    <r>
      <rPr>
        <b/>
        <vertAlign val="superscript"/>
        <sz val="12"/>
        <rFont val="Century Gothic"/>
        <family val="2"/>
      </rPr>
      <t xml:space="preserve"> 2</t>
    </r>
  </si>
  <si>
    <t>1/  Capital Investments include both BPA's direct Fish and Wildlife Program capital investments, funded by BPA's Treasury borrowing, and "Associated Projects", which include capital investments at Corps of Engineers' and Bureau of Reclamation projects, funded by appropriations and repaid by BPA.  The negative amount in FY 1997 reflects a decision to reverse "plant-in-service" investment that was never actually placed into service.   The annual expenses associated with these investments are included in "Program-Related Fixed Expenses", below.</t>
  </si>
  <si>
    <t xml:space="preserve">2/ Includes High Priority and Action Plan Expenses and other supplemental programs. </t>
  </si>
  <si>
    <t xml:space="preserve">4/  "Fixed Expenses" include depreciation, amortization and interest on investments on the Corps of Engineers' projects, and amortization and interest on the investments associated with BPA's direct Fish and Wildlife Program.                         
</t>
  </si>
  <si>
    <t>◄</t>
  </si>
  <si>
    <t>Capital investments</t>
  </si>
  <si>
    <t>Federal credits from U.S. Treasury 4(h)(10)(C)</t>
  </si>
  <si>
    <r>
      <t xml:space="preserve">2016 </t>
    </r>
    <r>
      <rPr>
        <b/>
        <vertAlign val="superscript"/>
        <sz val="12"/>
        <rFont val="Century Gothic"/>
        <family val="2"/>
      </rPr>
      <t>2</t>
    </r>
  </si>
  <si>
    <t>Note: Create legend for this chart in InDesign so that the top-to-bottom order matches (Excel reverses it)</t>
  </si>
  <si>
    <t>Power Purchases (row 27)</t>
  </si>
  <si>
    <t>Forgone Revenues (row 26)</t>
  </si>
  <si>
    <t>Reimbursable Expenses (row 17</t>
  </si>
  <si>
    <t>Direct Program (row 9)</t>
  </si>
  <si>
    <t>Fixed Expenses (row 23)</t>
  </si>
  <si>
    <t>Direct Program chart</t>
  </si>
  <si>
    <t>Subtitle (change this to point to current FY)</t>
  </si>
  <si>
    <t>axis titles with</t>
  </si>
  <si>
    <t>current FY data</t>
  </si>
  <si>
    <t>◄ also edit 2nd</t>
  </si>
  <si>
    <t>(graph uses these formulas)</t>
  </si>
  <si>
    <t>◄ 1) Insert current year *before* last column, 2) copy values from last column to inserted column, 3) update FY in last column to point to current FY</t>
  </si>
  <si>
    <t xml:space="preserve">1) BPA’s database identifies projects by their “Purpose” (general goal) and “Emphasis” (primary type of work, e.g., habitat restoration.) BPA does not track its project management overhead against individual projects or contracts, so there is no easy or accurate way to allocate BPA overhead to specific purposes or emphases.  Thus, in the above  report, BPA includes its staffing to manage the 600-plus contracts in its fish and wildlife program in the category identified as Coordination (BPA Overhead), and its direct technical services contracts for Data Management and RM&amp;E in those respective categories.  </t>
  </si>
  <si>
    <t>G&amp;A</t>
  </si>
  <si>
    <t>CRSO EIS</t>
  </si>
  <si>
    <t>Program Support/Admin/Overhead/Other</t>
  </si>
  <si>
    <t>Kalispel Tribe</t>
  </si>
  <si>
    <t>Kootenai Tribe</t>
  </si>
  <si>
    <t>OREGON DEPARTMENT OF ENVIRONMENTAL QUALITY</t>
  </si>
  <si>
    <t>BPA G&amp;A</t>
  </si>
  <si>
    <t>G&amp;A + CRSO EIS</t>
  </si>
  <si>
    <t>y</t>
  </si>
  <si>
    <t>match?</t>
  </si>
  <si>
    <t>(For subtitle calculations only:)</t>
  </si>
  <si>
    <t>Total Capital Investments (row 7)</t>
  </si>
  <si>
    <t>Total Credits (row 33)</t>
  </si>
  <si>
    <r>
      <t xml:space="preserve">PROGRAM SUPPORT/ADMIN/ OVERHEAD </t>
    </r>
    <r>
      <rPr>
        <vertAlign val="superscript"/>
        <sz val="11"/>
        <rFont val="Century Gothic"/>
        <family val="2"/>
      </rPr>
      <t>3</t>
    </r>
  </si>
  <si>
    <t>Snake Upper Closed Basin</t>
  </si>
  <si>
    <t>Upper Snake</t>
  </si>
  <si>
    <t>Snake Upper</t>
  </si>
  <si>
    <t>Snake Headwaters</t>
  </si>
  <si>
    <t>Salmon</t>
  </si>
  <si>
    <t>Mountain Snake</t>
  </si>
  <si>
    <t>Clearwater</t>
  </si>
  <si>
    <t>Kootenai</t>
  </si>
  <si>
    <t>Mountain Columbia</t>
  </si>
  <si>
    <t>Flathead</t>
  </si>
  <si>
    <t>Clark Fork</t>
  </si>
  <si>
    <t>Blackfoot</t>
  </si>
  <si>
    <t>Bitterroot</t>
  </si>
  <si>
    <t>Snake Lower Middle</t>
  </si>
  <si>
    <t>Middle Snake</t>
  </si>
  <si>
    <t>Powder</t>
  </si>
  <si>
    <t>Payette</t>
  </si>
  <si>
    <t>Owyhee</t>
  </si>
  <si>
    <t>Malheur</t>
  </si>
  <si>
    <t>Bruneau</t>
  </si>
  <si>
    <t>Boise</t>
  </si>
  <si>
    <t>Willamette</t>
  </si>
  <si>
    <t>Lower Columbia</t>
  </si>
  <si>
    <t>Washougal</t>
  </si>
  <si>
    <t>Sandy</t>
  </si>
  <si>
    <t>Lewis</t>
  </si>
  <si>
    <t>Kalama</t>
  </si>
  <si>
    <t>Columbia Lower</t>
  </si>
  <si>
    <t>Spokane</t>
  </si>
  <si>
    <t>Intermountain</t>
  </si>
  <si>
    <t>Sanpoil</t>
  </si>
  <si>
    <t>Pend Oreille</t>
  </si>
  <si>
    <t>Columbia Upper</t>
  </si>
  <si>
    <t>Coeur D'Alene</t>
  </si>
  <si>
    <t>Grays</t>
  </si>
  <si>
    <t>Columbia River Estuary</t>
  </si>
  <si>
    <t>Elochoman</t>
  </si>
  <si>
    <t>Cowlitz</t>
  </si>
  <si>
    <t>Columbia Estuary</t>
  </si>
  <si>
    <t>Yakima</t>
  </si>
  <si>
    <t>Columbia Plateau</t>
  </si>
  <si>
    <t>Walla Walla</t>
  </si>
  <si>
    <t>Umatilla</t>
  </si>
  <si>
    <t>Tucannon</t>
  </si>
  <si>
    <t>Snake Lower</t>
  </si>
  <si>
    <t>Palouse</t>
  </si>
  <si>
    <t>John Day</t>
  </si>
  <si>
    <t>Deschutes</t>
  </si>
  <si>
    <t>Crab</t>
  </si>
  <si>
    <t>Columbia Lower Middle</t>
  </si>
  <si>
    <t>Wind</t>
  </si>
  <si>
    <t>Columbia Gorge</t>
  </si>
  <si>
    <t>Little White Salmon</t>
  </si>
  <si>
    <t>Klickitat</t>
  </si>
  <si>
    <t>Hood</t>
  </si>
  <si>
    <t>Fifteenmile</t>
  </si>
  <si>
    <t>Big White Salmon</t>
  </si>
  <si>
    <t>Wenatchee</t>
  </si>
  <si>
    <t>Columbia Cascade</t>
  </si>
  <si>
    <t>Okanogan</t>
  </si>
  <si>
    <t>Methow</t>
  </si>
  <si>
    <t>Lake Chelan</t>
  </si>
  <si>
    <t>Entiat</t>
  </si>
  <si>
    <t>Columbia Upper Middle</t>
  </si>
  <si>
    <t>Snake Hells Canyon</t>
  </si>
  <si>
    <t>Blue Mountain</t>
  </si>
  <si>
    <t>Imnaha</t>
  </si>
  <si>
    <t>Grande Ronde</t>
  </si>
  <si>
    <t>Asotin</t>
  </si>
  <si>
    <t>3) Program Support/Admin includes spending that cannot be traced back to a contract that has at least one work element requiring location; contracts without any work elements at all; program level spending not mapped to a specific project.</t>
  </si>
  <si>
    <t>CHIEF JOSEPH HATCHERY PUD COST SHARE</t>
  </si>
  <si>
    <t>As of FY 2019 report (Feb 2020), this chart is no longer included</t>
  </si>
  <si>
    <t>Source: "1978-20xx Total Cost of BPA Fish &amp; Wildlife Actions" sheet usually provided by BPA</t>
  </si>
  <si>
    <t>◄ BPA row 26</t>
  </si>
  <si>
    <t>◄ BPA row 20</t>
  </si>
  <si>
    <t>◄ BPA rows 21+22</t>
  </si>
  <si>
    <t>◄ BPA row 27</t>
  </si>
  <si>
    <t>◄ BPA row 14</t>
  </si>
  <si>
    <t>◄ BPA row 13</t>
  </si>
  <si>
    <t>◄ BPA row 15</t>
  </si>
  <si>
    <t>◄ BPA row 16</t>
  </si>
  <si>
    <t>◄ BPA row 9</t>
  </si>
  <si>
    <t>◄ BPA row 31</t>
  </si>
  <si>
    <t>Add'l chart labels:</t>
  </si>
  <si>
    <t>Formatted for chart:</t>
  </si>
  <si>
    <t>Fund</t>
  </si>
  <si>
    <r>
      <t>2016</t>
    </r>
    <r>
      <rPr>
        <b/>
        <vertAlign val="superscript"/>
        <sz val="12"/>
        <rFont val="Century Gothic"/>
        <family val="2"/>
      </rPr>
      <t xml:space="preserve"> 2, 3</t>
    </r>
  </si>
  <si>
    <t>1) BiOp tracking at fund level began in 2009; Accords began in 2008.</t>
  </si>
  <si>
    <t>Subbasin</t>
  </si>
  <si>
    <t>Steps to update chart (see note)</t>
  </si>
  <si>
    <t>1) Values above include accruals.</t>
  </si>
  <si>
    <t>DEPARTMENT OF THE INTERIOR</t>
  </si>
  <si>
    <t>◄ BPA row 7</t>
  </si>
  <si>
    <t>COST ELEMENT</t>
  </si>
  <si>
    <t xml:space="preserve"> 1978-1980</t>
  </si>
  <si>
    <t xml:space="preserve"> 1981</t>
  </si>
  <si>
    <t xml:space="preserve"> 1982</t>
  </si>
  <si>
    <t xml:space="preserve"> 1983</t>
  </si>
  <si>
    <t xml:space="preserve"> 1984</t>
  </si>
  <si>
    <t xml:space="preserve"> 1985</t>
  </si>
  <si>
    <t xml:space="preserve"> 1986</t>
  </si>
  <si>
    <t xml:space="preserve"> 1987</t>
  </si>
  <si>
    <t xml:space="preserve"> 1988</t>
  </si>
  <si>
    <t xml:space="preserve"> 1989</t>
  </si>
  <si>
    <t xml:space="preserve"> 1990</t>
  </si>
  <si>
    <t xml:space="preserve"> 1991</t>
  </si>
  <si>
    <t xml:space="preserve">         BPA  FISH AND WILDLIFE  </t>
  </si>
  <si>
    <t xml:space="preserve">         ASSOCIATED PROJECTS (FEDERAL HYDRO) </t>
  </si>
  <si>
    <t xml:space="preserve">     TOTAL  CAPITAL  INVESTMENTS</t>
  </si>
  <si>
    <t>PROGRAM EXPENSES</t>
  </si>
  <si>
    <t xml:space="preserve">BPA  DIRECT FISH AND WILDLIFE PROGRAM  </t>
  </si>
  <si>
    <t xml:space="preserve">        O &amp; M CORPS OF ENGINEERS</t>
  </si>
  <si>
    <t xml:space="preserve">        O &amp; M BUREAU OF RECLAMATION</t>
  </si>
  <si>
    <t xml:space="preserve">        NW POWER AND CONSERVATION COUNCIL ALLOCATED @ 50%</t>
  </si>
  <si>
    <t>SUBTOTAL (REIMB/DIRECT-FUNDED)</t>
  </si>
  <si>
    <t xml:space="preserve">      TOTAL OPERATING EXPENSES</t>
  </si>
  <si>
    <t xml:space="preserve">         INTEREST EXPENSE  </t>
  </si>
  <si>
    <t xml:space="preserve">        AMORTIZATION EXPENSE  </t>
  </si>
  <si>
    <t xml:space="preserve">        DEPRECIATION EXPENSE  </t>
  </si>
  <si>
    <t xml:space="preserve">    TOTAL FIXED EXPENSES</t>
  </si>
  <si>
    <t xml:space="preserve"> GRAND TOTAL PROGRAM  EXPENSES</t>
  </si>
  <si>
    <t xml:space="preserve">FORGONE REVENUES AND POWER PURCHASES </t>
  </si>
  <si>
    <t xml:space="preserve">BPA POWER PURCH. FOR FISH ENHANCEMENT  </t>
  </si>
  <si>
    <t>CREDITS</t>
  </si>
  <si>
    <t>4(h)(10)(C)</t>
  </si>
  <si>
    <t>FISH COST CONTINGENCY FUND</t>
  </si>
  <si>
    <t>TOTAL CREDITS</t>
  </si>
  <si>
    <t>This information has been made publicly available by BPA on 3/25/2008.  The figures shown are consistent with audited actuals that contain Agency approved financial information, except for forgone revenues and power purchases which are estimates and do not contain Agency approved financial information</t>
  </si>
  <si>
    <r>
      <t xml:space="preserve">CAPITAL  INVESTMENTS </t>
    </r>
    <r>
      <rPr>
        <b/>
        <u/>
        <vertAlign val="superscript"/>
        <sz val="10"/>
        <rFont val="Arial"/>
        <family val="2"/>
      </rPr>
      <t xml:space="preserve"> 1/</t>
    </r>
  </si>
  <si>
    <r>
      <t xml:space="preserve">SUPPLEMENTAL MITIGATION PROGRAM EXPENSES </t>
    </r>
    <r>
      <rPr>
        <b/>
        <vertAlign val="superscript"/>
        <sz val="10"/>
        <rFont val="Arial"/>
        <family val="2"/>
      </rPr>
      <t>2/</t>
    </r>
  </si>
  <si>
    <r>
      <t xml:space="preserve">REIMBURSABLE/DIRECT-FUNDED PROJECTS </t>
    </r>
    <r>
      <rPr>
        <b/>
        <vertAlign val="superscript"/>
        <sz val="10"/>
        <rFont val="Arial"/>
        <family val="2"/>
      </rPr>
      <t>3/</t>
    </r>
  </si>
  <si>
    <r>
      <t xml:space="preserve">PROGRAM RELATED FIXED EXPENSES   </t>
    </r>
    <r>
      <rPr>
        <b/>
        <vertAlign val="superscript"/>
        <sz val="10"/>
        <rFont val="Arial"/>
        <family val="2"/>
      </rPr>
      <t>4/</t>
    </r>
  </si>
  <si>
    <t xml:space="preserve">        O &amp; M LOWER SNAKE RIVER HATCHERIES</t>
  </si>
  <si>
    <t>See "BPA Cost Table" sheet for data</t>
  </si>
  <si>
    <t>Lower Columbia Estuary Partnership (LCEP)</t>
  </si>
  <si>
    <t>4) See Figure 2, note 4</t>
  </si>
  <si>
    <t>5) See Figure 2, note 4</t>
  </si>
  <si>
    <t>RM&amp;E</t>
  </si>
  <si>
    <t>This information has been made publicly available by BPA in January 2022. The figures shown are consistent with audited actuals that contain Agency approved financial information, except for forgone revenues and power purchases which are estimates and do not contain Agency approved financial information</t>
  </si>
  <si>
    <t>▼ This gets used in InDesign subtitle, total capital expense for current FY</t>
  </si>
  <si>
    <t>Values to chart (skip bottom 1% or so)</t>
  </si>
  <si>
    <t>Federal: US Army Corps of Engineers</t>
  </si>
  <si>
    <t>Federal: US Bureau of Reclamation</t>
  </si>
  <si>
    <t>Tribe: Salish-Kootenai Tribes</t>
  </si>
  <si>
    <t>TOTAL FORGONE REVENUES AND POWER PURCHASES</t>
  </si>
  <si>
    <t>TOTAL PROGRAM EXPENSES, FORGONE REVENUES, &amp; POWER PURCHASES</t>
  </si>
  <si>
    <t xml:space="preserve">FORGONE REVENUES </t>
  </si>
  <si>
    <t xml:space="preserve"> Total Cost of BPA Fish &amp; Wildlife Actions (millions of $)</t>
  </si>
  <si>
    <t>Forgone Revenue (est.)</t>
  </si>
  <si>
    <t xml:space="preserve">1) Starting in 2008, spending can be tracked back to a work element where the contractor explicitly identified the "Primary Focal Species" benefiting from the work.  </t>
  </si>
  <si>
    <r>
      <t>Total BPA Overhead</t>
    </r>
    <r>
      <rPr>
        <vertAlign val="superscript"/>
        <sz val="12"/>
        <rFont val="Century Gothic"/>
        <family val="2"/>
      </rPr>
      <t>4</t>
    </r>
  </si>
  <si>
    <t>3) See Figure 2, note 2</t>
  </si>
  <si>
    <t>4) See Figure 2, note 2</t>
  </si>
  <si>
    <r>
      <t>Program Support</t>
    </r>
    <r>
      <rPr>
        <vertAlign val="superscript"/>
        <sz val="12"/>
        <rFont val="Century Gothic"/>
        <family val="2"/>
      </rPr>
      <t>3</t>
    </r>
  </si>
  <si>
    <r>
      <t>G&amp;A</t>
    </r>
    <r>
      <rPr>
        <vertAlign val="superscript"/>
        <sz val="12"/>
        <rFont val="Century Gothic"/>
        <family val="2"/>
      </rPr>
      <t>2</t>
    </r>
  </si>
  <si>
    <r>
      <t>CJH Cost Share</t>
    </r>
    <r>
      <rPr>
        <vertAlign val="superscript"/>
        <sz val="12"/>
        <rFont val="Century Gothic"/>
        <family val="2"/>
      </rPr>
      <t>4</t>
    </r>
  </si>
  <si>
    <t>4) During the construction of CJH, BPA received cost share from a PUD (as Capital). BPA still receives cost share (as Expense), but it is intertwined with other CJH data.</t>
  </si>
  <si>
    <t>1) Estimated spending is based at the project level.  Therefore if a project is assigned a purpose of Artificial Production, but also does Harvest, all expenditures for the project are included under Artificial Production.</t>
  </si>
  <si>
    <t>3) Program Support includes contracts that contain only administrative work elements or program level spending that could not be mapped to a specific project.</t>
  </si>
  <si>
    <t>Total Agreement - BiOp</t>
  </si>
  <si>
    <t>Total Agreement - Non-BiOp</t>
  </si>
  <si>
    <r>
      <t>Total Agreement</t>
    </r>
    <r>
      <rPr>
        <vertAlign val="superscript"/>
        <sz val="12"/>
        <rFont val="Century Gothic"/>
        <family val="2"/>
      </rPr>
      <t>1</t>
    </r>
  </si>
  <si>
    <t>2) Spending is estimated based on the % of funding towards a project. For example, if a project budget is 70% BiOp and 30% General, the project expenditures will be prorated 70% towards BiOp and 30% General.</t>
  </si>
  <si>
    <t>6) FY2020 revised as of January 24, 2022</t>
  </si>
  <si>
    <t>5) Some work elements do not map to a specific focal species, such as coordination and administration projects, so are identified as Program Support</t>
  </si>
  <si>
    <t>4) FY 2020 revised as of January 24, 2022</t>
  </si>
  <si>
    <t>2) Other includes: Northern Oregon Coastal, Oregon Closed Basins, Puget Sound, SW Washington Coastal and “undetermined”, such as work in Canada for the Kootenai River white sturgeon</t>
  </si>
  <si>
    <r>
      <t>PRIVATE/NON-PROFIT/OTHER</t>
    </r>
    <r>
      <rPr>
        <vertAlign val="superscript"/>
        <sz val="11"/>
        <rFont val="Century Gothic"/>
        <family val="2"/>
      </rPr>
      <t>3</t>
    </r>
  </si>
  <si>
    <t>3) Expenditures are reported for the project proponent under which the acquisition was funded (may/may not be the land manager)</t>
  </si>
  <si>
    <t>4) FY2020 revised as of January 2022</t>
  </si>
  <si>
    <r>
      <t>British Columbia</t>
    </r>
    <r>
      <rPr>
        <vertAlign val="superscript"/>
        <sz val="12"/>
        <color theme="1"/>
        <rFont val="Century Gothic"/>
        <family val="2"/>
      </rPr>
      <t>1</t>
    </r>
  </si>
  <si>
    <r>
      <t>Nevada</t>
    </r>
    <r>
      <rPr>
        <vertAlign val="superscript"/>
        <sz val="12"/>
        <color theme="1"/>
        <rFont val="Century Gothic"/>
        <family val="2"/>
      </rPr>
      <t>1</t>
    </r>
  </si>
  <si>
    <t>1) Some work outside of Council subbasins include work with Kootenai Tribe in BC and Shoshone-Paiute Tribe in Nevada</t>
  </si>
  <si>
    <t>2) Starting in 2008, spending by state is tracked in Pisces based on where the contractor explicitly identified work location.</t>
  </si>
  <si>
    <t>3) Program Support/Admin/Other includes spending that cannot be traced back to a contract that has at least one work element requiring location; contracts without any work elements; program level spending not mapped to a specific project or NPCC province; and BPA Overhead.</t>
  </si>
  <si>
    <r>
      <t>LOCAL/SEMI GOVERNMENT</t>
    </r>
    <r>
      <rPr>
        <vertAlign val="superscript"/>
        <sz val="11"/>
        <rFont val="Century Gothic"/>
        <family val="2"/>
      </rPr>
      <t>4</t>
    </r>
  </si>
  <si>
    <t>4) Local/semi-government includes local Soil &amp; Water Conservation Districts, Irrigation Districts, cities and counties</t>
  </si>
  <si>
    <t>Total reimburseable expenses</t>
  </si>
  <si>
    <t>Total fixed expenses</t>
  </si>
  <si>
    <t>3/ "Reimbursable/Direct-Funded Projects" includes the portion of expenses BPA pays to or on behalf of other entities that is determined to be for fish and wildlife purposes.</t>
  </si>
  <si>
    <t>2) In prior years,  a portion of BPA agency G&amp;A was allocated to F&amp;W Overhead. Starting in FY2018, the agency G&amp;A was calculated using a revised methodology and recognized as a distinct charge from the F&amp;W program overhead.  However, those charges are included in the 4h10c crediting as part of total F&amp;W expenses.  Similar to G&amp;A, the CRSO EIS also has a portion included in the F&amp;W total expenses, but it is not directly part of the Integrated F&amp;W program.</t>
  </si>
  <si>
    <t>4) BPA overhead includes all BPA expenses for staff, travel/training, NEPA, Cultural Resources, as well as Technical Service contracts.</t>
  </si>
  <si>
    <t>3) Starting in Fiscal Year 2015 (and revised for FY2014), expenses by Category will now separate Coordination expenses between Regional/Local Coordination and BPA Overhead (project 2003-048-00 only).</t>
  </si>
  <si>
    <t>2) Land acquisitions may include wildlife settlements, fish restoration, and resident fish. Starting in FY 2013, land acquisition values may include stewardship expenses for long-term operations and maintenance (O&amp;M).</t>
  </si>
  <si>
    <t>Federal: BPA Overhead (&amp; Non-Contracted Project expenses)</t>
  </si>
  <si>
    <t>2) Starting in FY2013, land acquisition values may include stewardship expenses for long-term operations and maintenance (O&amp;M)</t>
  </si>
  <si>
    <t>4) Stewardship expenses represent a one-time payment for O&amp;M in perpetuity</t>
  </si>
  <si>
    <t>Table/Figure 12: Cumulative expenses 1978-2018, by Major Spending Area</t>
  </si>
  <si>
    <t xml:space="preserve">         BPA  SOFTWARE DEVELOPMENT expenses </t>
  </si>
  <si>
    <t>FISH &amp; WILDLIFE SOFTWARE EXPENSE expenses</t>
  </si>
  <si>
    <t>BiOp (non Accord)</t>
  </si>
  <si>
    <t>General</t>
  </si>
  <si>
    <t>Overhead</t>
  </si>
  <si>
    <t>Coordination &amp; Project Mgmt</t>
  </si>
  <si>
    <t>3) "Other: Private/Non-Profit/Other" includes direct contracts with organizations such as, but not exclusive to, consulting and construction firms, non-profits, foundations, the NPCC, or non-governmental organizations. part of the NPCC budget, various consulting firms, hatchery construction firms, non-profits, NGO’s, and foundations</t>
  </si>
  <si>
    <t>Figure 1: Costs by Major Area, FY2021</t>
  </si>
  <si>
    <t>Graphs and tables used in the FY 2021 Columbia River Basin F&amp;W Program Costs Report (document 2022-1)</t>
  </si>
  <si>
    <t>Figure 1B: Combined Direct Program and Capital Borrowing Costs, FY 2007-2019</t>
  </si>
  <si>
    <t>Figure 4: ESA-Listed Fish Costs, FY2021</t>
  </si>
  <si>
    <t>Accords - BiOp</t>
  </si>
  <si>
    <t>Accords - non-BiOp</t>
  </si>
  <si>
    <t>BPA OVERHEAD (&amp; NON-CONTRACTED PROJECT COSTS)</t>
  </si>
  <si>
    <t>x</t>
  </si>
  <si>
    <t>Amortization/Depreciation (est.)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</si>
</sst>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_);[Red]\(&quot;$&quot;#,##0\)"/>
    <numFmt numFmtId="44" formatCode="_(&quot;$&quot;* #,##0.00_);_(&quot;$&quot;* \(#,##0.00\);_(&quot;$&quot;* &quot;-&quot;??_);_(@_)"/>
    <numFmt numFmtId="43" formatCode="_(* #,##0.00_);_(* \(#,##0.00\);_(* &quot;-&quot;??_);_(@_)"/>
    <numFmt numFmtId="164" formatCode="&quot;$&quot;#,##0"/>
    <numFmt numFmtId="165" formatCode="0.0%"/>
    <numFmt numFmtId="166" formatCode="&quot;$&quot;#.00,,\ &quot;million&quot;"/>
    <numFmt numFmtId="167" formatCode="_(&quot;$&quot;* #,##0_);_(&quot;$&quot;* \(#,##0\);_(&quot;$&quot;* &quot;-&quot;??_);_(@_)"/>
    <numFmt numFmtId="168" formatCode="&quot;$&quot;#,,\ &quot;million&quot;"/>
    <numFmt numFmtId="169" formatCode="&quot;$&quot;#,##0.0"/>
    <numFmt numFmtId="170" formatCode="&quot;$&quot;#.0,,\ &quot;million&quot;"/>
    <numFmt numFmtId="171" formatCode="_(* #,##0.0_);_(* \(#,##0.0\);_(* &quot;-&quot;??_);_(@_)"/>
    <numFmt numFmtId="172" formatCode="0.0_);\(0.0\)"/>
    <numFmt numFmtId="173" formatCode="0.000"/>
    <numFmt numFmtId="174" formatCode="_(* #,##0_);_(* \(#,##0\);_(* &quot;-&quot;??_);_(@_)"/>
    <numFmt numFmtId="175" formatCode="0_);\(0\)"/>
    <numFmt numFmtId="176" formatCode="0.0"/>
    <numFmt numFmtId="177" formatCode="_(* #,##0.0_);_(* \(#,##0.0\);_(* &quot;-&quot;?_);_(@_)"/>
  </numFmts>
  <fonts count="70">
    <font>
      <sz val="10"/>
      <name val="Helv"/>
    </font>
    <font>
      <sz val="10"/>
      <name val="Helv"/>
    </font>
    <font>
      <sz val="10"/>
      <name val="Arial"/>
      <family val="2"/>
    </font>
    <font>
      <sz val="8"/>
      <name val="Arial"/>
      <family val="2"/>
    </font>
    <font>
      <sz val="12"/>
      <name val="Century Gothic"/>
      <family val="2"/>
    </font>
    <font>
      <sz val="12"/>
      <name val="Times New Roman"/>
      <family val="1"/>
    </font>
    <font>
      <b/>
      <sz val="10"/>
      <name val="Arial"/>
      <family val="2"/>
    </font>
    <font>
      <b/>
      <sz val="12"/>
      <name val="Century Gothic"/>
      <family val="2"/>
    </font>
    <font>
      <sz val="10"/>
      <name val="Arial"/>
      <family val="2"/>
    </font>
    <font>
      <b/>
      <i/>
      <sz val="12"/>
      <name val="Century Gothic"/>
      <family val="2"/>
    </font>
    <font>
      <b/>
      <vertAlign val="superscript"/>
      <sz val="12"/>
      <name val="Century Gothic"/>
      <family val="2"/>
    </font>
    <font>
      <sz val="10"/>
      <name val="Arial Unicode MS"/>
      <family val="2"/>
    </font>
    <font>
      <sz val="11"/>
      <color theme="1"/>
      <name val="Calibri"/>
      <family val="2"/>
      <scheme val="minor"/>
    </font>
    <font>
      <sz val="11"/>
      <color theme="1"/>
      <name val="Century Gothic"/>
      <family val="2"/>
    </font>
    <font>
      <b/>
      <sz val="11"/>
      <color theme="1"/>
      <name val="Century Gothic"/>
      <family val="2"/>
    </font>
    <font>
      <i/>
      <sz val="11"/>
      <color theme="1"/>
      <name val="Century Gothic"/>
      <family val="2"/>
    </font>
    <font>
      <b/>
      <i/>
      <sz val="11"/>
      <color theme="1"/>
      <name val="Century Gothic"/>
      <family val="2"/>
    </font>
    <font>
      <b/>
      <sz val="14"/>
      <color theme="1"/>
      <name val="Century Gothic"/>
      <family val="2"/>
    </font>
    <font>
      <sz val="11"/>
      <name val="Century Gothic"/>
      <family val="2"/>
    </font>
    <font>
      <b/>
      <sz val="11"/>
      <name val="Century Gothic"/>
      <family val="2"/>
    </font>
    <font>
      <b/>
      <i/>
      <sz val="11"/>
      <name val="Century Gothic"/>
      <family val="2"/>
    </font>
    <font>
      <vertAlign val="superscript"/>
      <sz val="12"/>
      <name val="Century Gothic"/>
      <family val="2"/>
    </font>
    <font>
      <b/>
      <sz val="12"/>
      <color rgb="FFFF0000"/>
      <name val="Century Gothic"/>
      <family val="2"/>
    </font>
    <font>
      <sz val="12"/>
      <color rgb="FFFF0000"/>
      <name val="Century Gothic"/>
      <family val="2"/>
    </font>
    <font>
      <sz val="9"/>
      <name val="Arial"/>
      <family val="2"/>
    </font>
    <font>
      <u/>
      <sz val="12"/>
      <name val="Century Gothic"/>
      <family val="2"/>
    </font>
    <font>
      <b/>
      <sz val="8"/>
      <name val="Arial"/>
      <family val="2"/>
    </font>
    <font>
      <b/>
      <sz val="12"/>
      <color theme="1"/>
      <name val="Century Gothic"/>
      <family val="2"/>
    </font>
    <font>
      <sz val="12"/>
      <color theme="1"/>
      <name val="Century Gothic"/>
      <family val="2"/>
    </font>
    <font>
      <vertAlign val="superscript"/>
      <sz val="11"/>
      <name val="Century Gothic"/>
      <family val="2"/>
    </font>
    <font>
      <sz val="10"/>
      <name val="Arial"/>
      <family val="2"/>
    </font>
    <font>
      <sz val="10"/>
      <name val="Century Gothic"/>
      <family val="2"/>
    </font>
    <font>
      <b/>
      <sz val="10"/>
      <name val="Century Gothic"/>
      <family val="2"/>
    </font>
    <font>
      <b/>
      <sz val="11"/>
      <color theme="0"/>
      <name val="Century Gothic"/>
      <family val="2"/>
    </font>
    <font>
      <sz val="11"/>
      <color theme="1"/>
      <name val="Arial"/>
      <family val="2"/>
    </font>
    <font>
      <sz val="10"/>
      <name val="Arial"/>
      <family val="2"/>
    </font>
    <font>
      <b/>
      <sz val="10"/>
      <color rgb="FFC00000"/>
      <name val="Century Gothic"/>
      <family val="2"/>
    </font>
    <font>
      <sz val="11"/>
      <color rgb="FFC00000"/>
      <name val="Calibri"/>
      <family val="2"/>
      <scheme val="minor"/>
    </font>
    <font>
      <b/>
      <sz val="11"/>
      <color rgb="FFC00000"/>
      <name val="Century Gothic"/>
      <family val="2"/>
    </font>
    <font>
      <b/>
      <sz val="11"/>
      <color rgb="FFC00000"/>
      <name val="Calibri"/>
      <family val="2"/>
      <scheme val="minor"/>
    </font>
    <font>
      <b/>
      <sz val="11"/>
      <color rgb="FFFF0000"/>
      <name val="Calibri"/>
      <family val="2"/>
      <scheme val="minor"/>
    </font>
    <font>
      <b/>
      <sz val="12"/>
      <color rgb="FFFF0000"/>
      <name val="Calibri"/>
      <family val="2"/>
      <scheme val="minor"/>
    </font>
    <font>
      <b/>
      <sz val="11"/>
      <color rgb="FFFF0000"/>
      <name val="Century Gothic"/>
      <family val="2"/>
    </font>
    <font>
      <b/>
      <sz val="11"/>
      <color theme="1"/>
      <name val="Calibri"/>
      <family val="2"/>
      <scheme val="minor"/>
    </font>
    <font>
      <sz val="10"/>
      <color rgb="FFFF0000"/>
      <name val="Arial"/>
      <family val="2"/>
    </font>
    <font>
      <b/>
      <sz val="10"/>
      <color rgb="FFFF0000"/>
      <name val="Arial"/>
      <family val="2"/>
    </font>
    <font>
      <sz val="9"/>
      <color indexed="81"/>
      <name val="Tahoma"/>
      <charset val="1"/>
    </font>
    <font>
      <b/>
      <sz val="9"/>
      <color indexed="81"/>
      <name val="Tahoma"/>
      <charset val="1"/>
    </font>
    <font>
      <b/>
      <sz val="20"/>
      <name val="Helv"/>
    </font>
    <font>
      <sz val="12"/>
      <name val="Comic Sans MS"/>
      <family val="4"/>
    </font>
    <font>
      <sz val="12"/>
      <name val="Arial"/>
      <family val="2"/>
    </font>
    <font>
      <b/>
      <sz val="14"/>
      <name val="Arial"/>
      <family val="2"/>
    </font>
    <font>
      <b/>
      <sz val="9"/>
      <color indexed="81"/>
      <name val="Tahoma"/>
      <family val="2"/>
    </font>
    <font>
      <sz val="9"/>
      <color indexed="81"/>
      <name val="Tahoma"/>
      <family val="2"/>
    </font>
    <font>
      <sz val="8"/>
      <color indexed="81"/>
      <name val="Tahoma"/>
      <family val="2"/>
    </font>
    <font>
      <b/>
      <sz val="8"/>
      <color indexed="81"/>
      <name val="Tahoma"/>
      <family val="2"/>
    </font>
    <font>
      <b/>
      <sz val="10"/>
      <name val="Comic Sans MS"/>
      <family val="4"/>
    </font>
    <font>
      <b/>
      <u/>
      <sz val="10"/>
      <name val="Arial"/>
      <family val="2"/>
    </font>
    <font>
      <b/>
      <u/>
      <vertAlign val="superscript"/>
      <sz val="10"/>
      <name val="Arial"/>
      <family val="2"/>
    </font>
    <font>
      <sz val="10"/>
      <name val="Comic Sans MS"/>
      <family val="4"/>
    </font>
    <font>
      <sz val="10"/>
      <color theme="1" tint="4.9989318521683403E-2"/>
      <name val="Arial"/>
      <family val="2"/>
    </font>
    <font>
      <sz val="10"/>
      <color indexed="12"/>
      <name val="Arial"/>
      <family val="2"/>
    </font>
    <font>
      <b/>
      <sz val="10"/>
      <color theme="1" tint="4.9989318521683403E-2"/>
      <name val="Arial"/>
      <family val="2"/>
    </font>
    <font>
      <b/>
      <vertAlign val="superscript"/>
      <sz val="10"/>
      <name val="Arial"/>
      <family val="2"/>
    </font>
    <font>
      <b/>
      <sz val="10"/>
      <color indexed="12"/>
      <name val="Arial"/>
      <family val="2"/>
    </font>
    <font>
      <sz val="10"/>
      <color indexed="10"/>
      <name val="Arial"/>
      <family val="2"/>
    </font>
    <font>
      <b/>
      <sz val="14"/>
      <name val="Helv"/>
    </font>
    <font>
      <b/>
      <sz val="12"/>
      <color rgb="FFC00000"/>
      <name val="Century Gothic"/>
      <family val="2"/>
    </font>
    <font>
      <b/>
      <sz val="11"/>
      <color theme="5"/>
      <name val="Century Gothic"/>
      <family val="2"/>
    </font>
    <font>
      <vertAlign val="superscript"/>
      <sz val="12"/>
      <color theme="1"/>
      <name val="Century Gothic"/>
      <family val="2"/>
    </font>
  </fonts>
  <fills count="16">
    <fill>
      <patternFill patternType="none"/>
    </fill>
    <fill>
      <patternFill patternType="gray125"/>
    </fill>
    <fill>
      <patternFill patternType="solid">
        <fgColor rgb="FFFFFFCC"/>
      </patternFill>
    </fill>
    <fill>
      <patternFill patternType="solid">
        <fgColor theme="6" tint="0.39997558519241921"/>
        <bgColor indexed="64"/>
      </patternFill>
    </fill>
    <fill>
      <patternFill patternType="solid">
        <fgColor rgb="FF9BBB59"/>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9"/>
        <bgColor indexed="64"/>
      </patternFill>
    </fill>
    <fill>
      <patternFill patternType="solid">
        <fgColor theme="0" tint="-0.14999847407452621"/>
        <bgColor indexed="64"/>
      </patternFill>
    </fill>
    <fill>
      <patternFill patternType="solid">
        <fgColor rgb="FFC3D69B"/>
        <bgColor indexed="64"/>
      </patternFill>
    </fill>
    <fill>
      <patternFill patternType="solid">
        <fgColor indexed="45"/>
        <bgColor indexed="64"/>
      </patternFill>
    </fill>
    <fill>
      <patternFill patternType="solid">
        <fgColor indexed="44"/>
        <bgColor indexed="64"/>
      </patternFill>
    </fill>
    <fill>
      <patternFill patternType="solid">
        <fgColor theme="3" tint="0.79998168889431442"/>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s>
  <cellStyleXfs count="20">
    <xf numFmtId="0" fontId="0" fillId="0" borderId="0"/>
    <xf numFmtId="9" fontId="1" fillId="0" borderId="0" applyFont="0" applyFill="0" applyBorder="0" applyAlignment="0" applyProtection="0"/>
    <xf numFmtId="0" fontId="2" fillId="0" borderId="0"/>
    <xf numFmtId="0" fontId="5" fillId="0" borderId="0"/>
    <xf numFmtId="0" fontId="2" fillId="0" borderId="0"/>
    <xf numFmtId="44" fontId="2" fillId="0" borderId="0" applyFont="0" applyFill="0" applyBorder="0" applyAlignment="0" applyProtection="0"/>
    <xf numFmtId="0" fontId="8" fillId="0" borderId="0"/>
    <xf numFmtId="0" fontId="11" fillId="0" borderId="0"/>
    <xf numFmtId="0" fontId="12" fillId="0" borderId="0"/>
    <xf numFmtId="0" fontId="12" fillId="2" borderId="4" applyNumberFormat="0" applyFont="0" applyAlignment="0" applyProtection="0"/>
    <xf numFmtId="0" fontId="8" fillId="0" borderId="0"/>
    <xf numFmtId="44" fontId="8"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0" fontId="1" fillId="0" borderId="0"/>
    <xf numFmtId="43" fontId="12" fillId="0" borderId="0" applyFont="0" applyFill="0" applyBorder="0" applyAlignment="0" applyProtection="0"/>
    <xf numFmtId="0" fontId="30" fillId="0" borderId="0"/>
    <xf numFmtId="0" fontId="35" fillId="0" borderId="0"/>
    <xf numFmtId="0" fontId="2" fillId="0" borderId="0"/>
  </cellStyleXfs>
  <cellXfs count="406">
    <xf numFmtId="0" fontId="0" fillId="0" borderId="0" xfId="0"/>
    <xf numFmtId="0" fontId="3" fillId="0" borderId="0" xfId="2" applyFont="1" applyFill="1"/>
    <xf numFmtId="0" fontId="3" fillId="0" borderId="0" xfId="2" applyFont="1" applyFill="1" applyAlignment="1">
      <alignment horizontal="left"/>
    </xf>
    <xf numFmtId="0" fontId="4" fillId="0" borderId="0" xfId="2" applyFont="1" applyFill="1" applyBorder="1"/>
    <xf numFmtId="0" fontId="4" fillId="0" borderId="0" xfId="2" applyFont="1" applyFill="1" applyBorder="1" applyAlignment="1">
      <alignment horizontal="left"/>
    </xf>
    <xf numFmtId="0" fontId="7" fillId="0" borderId="1" xfId="4" applyFont="1" applyFill="1" applyBorder="1" applyAlignment="1">
      <alignment horizontal="left" wrapText="1"/>
    </xf>
    <xf numFmtId="164" fontId="8" fillId="0" borderId="0" xfId="5" applyNumberFormat="1" applyFont="1" applyBorder="1"/>
    <xf numFmtId="164" fontId="4" fillId="0" borderId="0" xfId="2" applyNumberFormat="1" applyFont="1" applyFill="1" applyBorder="1"/>
    <xf numFmtId="0" fontId="4" fillId="0" borderId="0" xfId="4" applyFont="1" applyFill="1" applyBorder="1" applyAlignment="1">
      <alignment horizontal="right" wrapText="1"/>
    </xf>
    <xf numFmtId="0" fontId="9" fillId="0" borderId="0" xfId="4" applyFont="1" applyFill="1" applyBorder="1" applyAlignment="1">
      <alignment horizontal="left"/>
    </xf>
    <xf numFmtId="0" fontId="4" fillId="0" borderId="0" xfId="4" applyFont="1" applyFill="1" applyBorder="1" applyAlignment="1">
      <alignment horizontal="left" wrapText="1" indent="1"/>
    </xf>
    <xf numFmtId="0" fontId="8" fillId="0" borderId="0" xfId="4" applyFont="1" applyFill="1" applyBorder="1" applyAlignment="1">
      <alignment horizontal="center" wrapText="1"/>
    </xf>
    <xf numFmtId="0" fontId="8" fillId="0" borderId="0" xfId="2" applyFont="1" applyFill="1" applyBorder="1" applyAlignment="1" applyProtection="1">
      <alignment horizontal="center"/>
      <protection locked="0"/>
    </xf>
    <xf numFmtId="0" fontId="8" fillId="0" borderId="0" xfId="6"/>
    <xf numFmtId="0" fontId="4" fillId="0" borderId="0" xfId="6" applyFont="1" applyBorder="1"/>
    <xf numFmtId="0" fontId="7" fillId="0" borderId="0" xfId="6" applyFont="1" applyBorder="1"/>
    <xf numFmtId="0" fontId="6" fillId="0" borderId="0" xfId="6" applyFont="1"/>
    <xf numFmtId="164" fontId="7" fillId="0" borderId="3" xfId="6" applyNumberFormat="1" applyFont="1" applyBorder="1"/>
    <xf numFmtId="164" fontId="7" fillId="0" borderId="2" xfId="6" applyNumberFormat="1" applyFont="1" applyBorder="1"/>
    <xf numFmtId="0" fontId="7" fillId="0" borderId="1" xfId="6" applyFont="1" applyBorder="1"/>
    <xf numFmtId="0" fontId="7" fillId="0" borderId="0" xfId="6" applyFont="1" applyBorder="1" applyAlignment="1">
      <alignment vertical="top"/>
    </xf>
    <xf numFmtId="0" fontId="13" fillId="0" borderId="0" xfId="8" applyFont="1"/>
    <xf numFmtId="0" fontId="14" fillId="0" borderId="0" xfId="8" applyFont="1" applyAlignment="1">
      <alignment horizontal="center"/>
    </xf>
    <xf numFmtId="0" fontId="15" fillId="0" borderId="0" xfId="8" applyFont="1" applyAlignment="1">
      <alignment horizontal="center"/>
    </xf>
    <xf numFmtId="0" fontId="13" fillId="0" borderId="0" xfId="8" applyFont="1" applyAlignment="1">
      <alignment horizontal="center"/>
    </xf>
    <xf numFmtId="0" fontId="14" fillId="0" borderId="0" xfId="8" applyFont="1"/>
    <xf numFmtId="6" fontId="14" fillId="0" borderId="0" xfId="8" applyNumberFormat="1" applyFont="1" applyAlignment="1"/>
    <xf numFmtId="0" fontId="13" fillId="0" borderId="0" xfId="8" applyFont="1" applyAlignment="1">
      <alignment wrapText="1"/>
    </xf>
    <xf numFmtId="0" fontId="18" fillId="0" borderId="0" xfId="10" applyFont="1" applyFill="1" applyBorder="1"/>
    <xf numFmtId="164" fontId="18" fillId="0" borderId="0" xfId="10" applyNumberFormat="1" applyFont="1" applyFill="1" applyBorder="1" applyAlignment="1">
      <alignment horizontal="center"/>
    </xf>
    <xf numFmtId="0" fontId="18" fillId="0" borderId="0" xfId="10" applyFont="1" applyFill="1" applyBorder="1" applyAlignment="1">
      <alignment horizontal="center"/>
    </xf>
    <xf numFmtId="0" fontId="18" fillId="0" borderId="0" xfId="3" applyFont="1" applyFill="1" applyBorder="1" applyAlignment="1">
      <alignment horizontal="left"/>
    </xf>
    <xf numFmtId="0" fontId="18" fillId="0" borderId="0" xfId="3" applyFont="1" applyFill="1" applyBorder="1"/>
    <xf numFmtId="164" fontId="18" fillId="0" borderId="0" xfId="10" applyNumberFormat="1" applyFont="1" applyFill="1" applyBorder="1"/>
    <xf numFmtId="0" fontId="19" fillId="0" borderId="0" xfId="3" applyFont="1" applyFill="1" applyBorder="1"/>
    <xf numFmtId="0" fontId="19" fillId="0" borderId="1" xfId="3" applyFont="1" applyFill="1" applyBorder="1" applyAlignment="1">
      <alignment horizontal="left"/>
    </xf>
    <xf numFmtId="0" fontId="19" fillId="3" borderId="0" xfId="3" applyFont="1" applyFill="1" applyBorder="1"/>
    <xf numFmtId="164" fontId="20" fillId="0" borderId="0" xfId="10" applyNumberFormat="1" applyFont="1" applyFill="1" applyBorder="1" applyAlignment="1">
      <alignment horizontal="center"/>
    </xf>
    <xf numFmtId="0" fontId="19" fillId="0" borderId="0" xfId="3" applyFont="1" applyFill="1" applyBorder="1" applyAlignment="1">
      <alignment vertical="top"/>
    </xf>
    <xf numFmtId="165" fontId="18" fillId="0" borderId="0" xfId="1" applyNumberFormat="1" applyFont="1" applyFill="1" applyBorder="1" applyAlignment="1">
      <alignment horizontal="center"/>
    </xf>
    <xf numFmtId="0" fontId="2" fillId="0" borderId="0" xfId="2"/>
    <xf numFmtId="164" fontId="4" fillId="0" borderId="0" xfId="11" applyNumberFormat="1" applyFont="1" applyBorder="1"/>
    <xf numFmtId="164" fontId="4" fillId="0" borderId="0" xfId="0" applyNumberFormat="1" applyFont="1" applyBorder="1"/>
    <xf numFmtId="164" fontId="7" fillId="0" borderId="2" xfId="0" applyNumberFormat="1" applyFont="1" applyFill="1" applyBorder="1"/>
    <xf numFmtId="0" fontId="4" fillId="0" borderId="0" xfId="0" applyFont="1" applyFill="1" applyBorder="1" applyAlignment="1">
      <alignment horizontal="left"/>
    </xf>
    <xf numFmtId="0" fontId="4" fillId="0" borderId="0" xfId="0" applyFont="1" applyFill="1" applyBorder="1"/>
    <xf numFmtId="0" fontId="3" fillId="0" borderId="0" xfId="0" applyFont="1" applyFill="1"/>
    <xf numFmtId="0" fontId="4" fillId="0" borderId="0" xfId="2" applyFont="1" applyFill="1"/>
    <xf numFmtId="0" fontId="7" fillId="0" borderId="0" xfId="2" applyFont="1" applyFill="1" applyAlignment="1">
      <alignment horizontal="right"/>
    </xf>
    <xf numFmtId="164" fontId="4" fillId="0" borderId="0" xfId="2" applyNumberFormat="1" applyFont="1" applyFill="1"/>
    <xf numFmtId="0" fontId="4" fillId="0" borderId="0" xfId="0" applyFont="1" applyBorder="1"/>
    <xf numFmtId="164" fontId="7" fillId="0" borderId="0" xfId="6" applyNumberFormat="1" applyFont="1" applyBorder="1"/>
    <xf numFmtId="0" fontId="4" fillId="0" borderId="0" xfId="2" applyFont="1"/>
    <xf numFmtId="0" fontId="4" fillId="0" borderId="0" xfId="2" applyFont="1" applyBorder="1"/>
    <xf numFmtId="0" fontId="7" fillId="0" borderId="0" xfId="2" applyFont="1" applyBorder="1"/>
    <xf numFmtId="167" fontId="7" fillId="0" borderId="2" xfId="5" applyNumberFormat="1" applyFont="1" applyFill="1" applyBorder="1"/>
    <xf numFmtId="0" fontId="7" fillId="0" borderId="1" xfId="2" applyFont="1" applyFill="1" applyBorder="1"/>
    <xf numFmtId="0" fontId="4" fillId="0" borderId="0" xfId="2" applyFont="1" applyFill="1" applyBorder="1" applyAlignment="1">
      <alignment horizontal="left" indent="1"/>
    </xf>
    <xf numFmtId="0" fontId="23" fillId="0" borderId="0" xfId="2" applyFont="1"/>
    <xf numFmtId="168" fontId="4" fillId="0" borderId="0" xfId="2" applyNumberFormat="1" applyFont="1"/>
    <xf numFmtId="164" fontId="24" fillId="0" borderId="0" xfId="2" applyNumberFormat="1" applyFont="1" applyFill="1"/>
    <xf numFmtId="164" fontId="2" fillId="0" borderId="0" xfId="2" applyNumberFormat="1" applyFont="1" applyFill="1"/>
    <xf numFmtId="169" fontId="3" fillId="0" borderId="0" xfId="2" applyNumberFormat="1" applyFont="1" applyFill="1"/>
    <xf numFmtId="0" fontId="3" fillId="0" borderId="0" xfId="3" applyFont="1" applyFill="1"/>
    <xf numFmtId="0" fontId="4" fillId="0" borderId="0" xfId="3" applyFont="1" applyFill="1"/>
    <xf numFmtId="164" fontId="4" fillId="0" borderId="0" xfId="3" applyNumberFormat="1" applyFont="1" applyFill="1"/>
    <xf numFmtId="0" fontId="26" fillId="0" borderId="0" xfId="3" applyFont="1" applyFill="1"/>
    <xf numFmtId="164" fontId="7" fillId="0" borderId="3" xfId="3" applyNumberFormat="1" applyFont="1" applyFill="1" applyBorder="1"/>
    <xf numFmtId="164" fontId="7" fillId="0" borderId="2" xfId="3" applyNumberFormat="1" applyFont="1" applyFill="1" applyBorder="1"/>
    <xf numFmtId="0" fontId="7" fillId="0" borderId="1" xfId="3" applyFont="1" applyFill="1" applyBorder="1" applyAlignment="1">
      <alignment horizontal="left"/>
    </xf>
    <xf numFmtId="0" fontId="4" fillId="0" borderId="5" xfId="3" applyFont="1" applyFill="1" applyBorder="1"/>
    <xf numFmtId="0" fontId="4" fillId="0" borderId="0" xfId="3" applyFont="1" applyFill="1" applyBorder="1"/>
    <xf numFmtId="0" fontId="3" fillId="0" borderId="0" xfId="3" applyFont="1" applyFill="1" applyAlignment="1">
      <alignment horizontal="center"/>
    </xf>
    <xf numFmtId="0" fontId="4" fillId="0" borderId="0" xfId="2" applyFont="1" applyFill="1" applyAlignment="1">
      <alignment wrapText="1"/>
    </xf>
    <xf numFmtId="0" fontId="4" fillId="0" borderId="0" xfId="2" applyFont="1" applyFill="1" applyAlignment="1">
      <alignment horizontal="left" vertical="top"/>
    </xf>
    <xf numFmtId="0" fontId="4" fillId="0" borderId="0" xfId="3" applyFont="1" applyFill="1" applyAlignment="1">
      <alignment horizontal="left"/>
    </xf>
    <xf numFmtId="0" fontId="12" fillId="0" borderId="0" xfId="8"/>
    <xf numFmtId="0" fontId="27" fillId="0" borderId="0" xfId="8" applyFont="1"/>
    <xf numFmtId="164" fontId="28" fillId="0" borderId="0" xfId="8" applyNumberFormat="1" applyFont="1" applyBorder="1"/>
    <xf numFmtId="0" fontId="28" fillId="0" borderId="0" xfId="8" applyFont="1"/>
    <xf numFmtId="164" fontId="28" fillId="0" borderId="6" xfId="8" applyNumberFormat="1" applyFont="1" applyBorder="1"/>
    <xf numFmtId="0" fontId="28" fillId="0" borderId="0" xfId="8" applyFont="1" applyAlignment="1"/>
    <xf numFmtId="0" fontId="19" fillId="3" borderId="0" xfId="5" applyNumberFormat="1" applyFont="1" applyFill="1" applyBorder="1" applyAlignment="1">
      <alignment horizontal="center"/>
    </xf>
    <xf numFmtId="164" fontId="18" fillId="0" borderId="0" xfId="0" applyNumberFormat="1" applyFont="1" applyFill="1" applyBorder="1" applyAlignment="1">
      <alignment horizontal="center"/>
    </xf>
    <xf numFmtId="164" fontId="18" fillId="0" borderId="0" xfId="0" applyNumberFormat="1" applyFont="1" applyFill="1" applyBorder="1" applyAlignment="1"/>
    <xf numFmtId="0" fontId="18" fillId="0" borderId="0" xfId="0" applyFont="1" applyFill="1" applyBorder="1"/>
    <xf numFmtId="0" fontId="18" fillId="0" borderId="0" xfId="0" applyFont="1" applyFill="1" applyBorder="1" applyAlignment="1">
      <alignment horizontal="center"/>
    </xf>
    <xf numFmtId="166" fontId="18" fillId="0" borderId="0" xfId="10" applyNumberFormat="1" applyFont="1" applyFill="1" applyBorder="1" applyAlignment="1">
      <alignment horizontal="left"/>
    </xf>
    <xf numFmtId="164" fontId="19" fillId="0" borderId="0" xfId="10" applyNumberFormat="1" applyFont="1" applyFill="1" applyBorder="1" applyAlignment="1">
      <alignment horizontal="left"/>
    </xf>
    <xf numFmtId="170" fontId="18" fillId="0" borderId="0" xfId="10" applyNumberFormat="1" applyFont="1" applyFill="1" applyBorder="1" applyAlignment="1">
      <alignment horizontal="center"/>
    </xf>
    <xf numFmtId="0" fontId="19" fillId="0" borderId="5" xfId="13" applyFont="1" applyBorder="1" applyAlignment="1">
      <alignment wrapText="1"/>
    </xf>
    <xf numFmtId="0" fontId="19" fillId="3" borderId="0" xfId="0" applyFont="1" applyFill="1" applyBorder="1" applyAlignment="1">
      <alignment wrapText="1"/>
    </xf>
    <xf numFmtId="0" fontId="19" fillId="3" borderId="0" xfId="0" applyFont="1" applyFill="1" applyBorder="1" applyAlignment="1">
      <alignment horizontal="center"/>
    </xf>
    <xf numFmtId="0" fontId="18" fillId="0" borderId="0" xfId="0" applyFont="1" applyBorder="1" applyAlignment="1">
      <alignment wrapText="1"/>
    </xf>
    <xf numFmtId="0" fontId="19" fillId="0" borderId="0" xfId="0" applyFont="1" applyFill="1" applyBorder="1" applyAlignment="1">
      <alignment wrapText="1"/>
    </xf>
    <xf numFmtId="0" fontId="27" fillId="0" borderId="0" xfId="8" applyFont="1"/>
    <xf numFmtId="0" fontId="13" fillId="0" borderId="0" xfId="0" applyFont="1" applyAlignment="1">
      <alignment horizontal="left"/>
    </xf>
    <xf numFmtId="0" fontId="4" fillId="0" borderId="0" xfId="0" applyFont="1" applyFill="1" applyAlignment="1">
      <alignment wrapText="1"/>
    </xf>
    <xf numFmtId="0" fontId="18" fillId="0" borderId="0" xfId="2" applyFont="1"/>
    <xf numFmtId="0" fontId="18" fillId="0" borderId="0" xfId="2" applyFont="1" applyAlignment="1">
      <alignment horizontal="center"/>
    </xf>
    <xf numFmtId="0" fontId="19" fillId="0" borderId="0" xfId="2" applyFont="1"/>
    <xf numFmtId="0" fontId="19" fillId="0" borderId="0" xfId="0" applyFont="1" applyFill="1" applyBorder="1"/>
    <xf numFmtId="0" fontId="7" fillId="0" borderId="0" xfId="2" applyFont="1"/>
    <xf numFmtId="0" fontId="31" fillId="0" borderId="0" xfId="2" applyFont="1"/>
    <xf numFmtId="171" fontId="31" fillId="0" borderId="0" xfId="14" applyNumberFormat="1" applyFont="1"/>
    <xf numFmtId="0" fontId="32" fillId="0" borderId="0" xfId="2" applyFont="1"/>
    <xf numFmtId="0" fontId="32" fillId="0" borderId="0" xfId="2" applyFont="1" applyAlignment="1">
      <alignment horizontal="right"/>
    </xf>
    <xf numFmtId="43" fontId="31" fillId="0" borderId="0" xfId="2" applyNumberFormat="1" applyFont="1"/>
    <xf numFmtId="171" fontId="31" fillId="0" borderId="0" xfId="2" applyNumberFormat="1" applyFont="1"/>
    <xf numFmtId="0" fontId="4" fillId="0" borderId="0" xfId="0" applyFont="1" applyBorder="1"/>
    <xf numFmtId="0" fontId="4" fillId="0" borderId="0" xfId="0" applyFont="1" applyFill="1" applyAlignment="1">
      <alignment wrapText="1"/>
    </xf>
    <xf numFmtId="164" fontId="4" fillId="0" borderId="0" xfId="5" applyNumberFormat="1" applyFont="1" applyBorder="1"/>
    <xf numFmtId="164" fontId="4" fillId="0" borderId="0" xfId="5" applyNumberFormat="1" applyFont="1" applyFill="1" applyBorder="1"/>
    <xf numFmtId="164" fontId="4" fillId="0" borderId="0" xfId="0" applyNumberFormat="1" applyFont="1" applyFill="1" applyBorder="1"/>
    <xf numFmtId="164" fontId="4" fillId="0" borderId="0" xfId="0" applyNumberFormat="1" applyFont="1"/>
    <xf numFmtId="164" fontId="4" fillId="0" borderId="0" xfId="0" applyNumberFormat="1" applyFont="1" applyFill="1"/>
    <xf numFmtId="164" fontId="4" fillId="0" borderId="0" xfId="0" quotePrefix="1" applyNumberFormat="1" applyFont="1" applyFill="1" applyAlignment="1">
      <alignment horizontal="center"/>
    </xf>
    <xf numFmtId="0" fontId="18" fillId="0" borderId="0" xfId="2" applyFont="1" applyAlignment="1">
      <alignment horizontal="left"/>
    </xf>
    <xf numFmtId="0" fontId="7" fillId="0" borderId="0" xfId="0" applyFont="1" applyBorder="1" applyAlignment="1">
      <alignment vertical="top"/>
    </xf>
    <xf numFmtId="170" fontId="4" fillId="0" borderId="0" xfId="2" applyNumberFormat="1" applyFont="1"/>
    <xf numFmtId="0" fontId="7" fillId="0" borderId="0" xfId="2" applyFont="1" applyAlignment="1">
      <alignment vertical="top"/>
    </xf>
    <xf numFmtId="164" fontId="28" fillId="0" borderId="0" xfId="0" applyNumberFormat="1" applyFont="1" applyFill="1" applyAlignment="1"/>
    <xf numFmtId="164" fontId="28" fillId="0" borderId="0" xfId="0" applyNumberFormat="1" applyFont="1" applyFill="1"/>
    <xf numFmtId="171" fontId="33" fillId="4" borderId="0" xfId="14" applyNumberFormat="1" applyFont="1" applyFill="1"/>
    <xf numFmtId="173" fontId="18" fillId="0" borderId="0" xfId="0" applyNumberFormat="1" applyFont="1" applyFill="1" applyBorder="1" applyAlignment="1">
      <alignment horizontal="center" wrapText="1"/>
    </xf>
    <xf numFmtId="172" fontId="18" fillId="0" borderId="0" xfId="0" applyNumberFormat="1" applyFont="1" applyBorder="1" applyAlignment="1"/>
    <xf numFmtId="173" fontId="18" fillId="0" borderId="0" xfId="0" applyNumberFormat="1" applyFont="1" applyAlignment="1">
      <alignment horizontal="center"/>
    </xf>
    <xf numFmtId="172" fontId="18" fillId="0" borderId="0" xfId="0" applyNumberFormat="1" applyFont="1" applyFill="1" applyAlignment="1">
      <alignment wrapText="1"/>
    </xf>
    <xf numFmtId="171" fontId="33" fillId="5" borderId="0" xfId="14" applyNumberFormat="1" applyFont="1" applyFill="1"/>
    <xf numFmtId="171" fontId="33" fillId="8" borderId="0" xfId="14" applyNumberFormat="1" applyFont="1" applyFill="1"/>
    <xf numFmtId="171" fontId="33" fillId="9" borderId="0" xfId="14" applyNumberFormat="1" applyFont="1" applyFill="1"/>
    <xf numFmtId="171" fontId="33" fillId="10" borderId="0" xfId="14" applyNumberFormat="1" applyFont="1" applyFill="1"/>
    <xf numFmtId="0" fontId="4" fillId="0" borderId="0" xfId="0" applyFont="1" applyBorder="1"/>
    <xf numFmtId="174" fontId="31" fillId="0" borderId="0" xfId="16" applyNumberFormat="1" applyFont="1"/>
    <xf numFmtId="0" fontId="4" fillId="0" borderId="0" xfId="0" applyFont="1" applyBorder="1"/>
    <xf numFmtId="0" fontId="4" fillId="0" borderId="0" xfId="0" applyFont="1" applyBorder="1"/>
    <xf numFmtId="172" fontId="18" fillId="0" borderId="0" xfId="0" applyNumberFormat="1" applyFont="1" applyBorder="1" applyAlignment="1">
      <alignment wrapText="1"/>
    </xf>
    <xf numFmtId="0" fontId="18" fillId="0" borderId="0" xfId="0" applyFont="1" applyAlignment="1">
      <alignment wrapText="1"/>
    </xf>
    <xf numFmtId="172" fontId="18" fillId="0" borderId="0" xfId="0" applyNumberFormat="1" applyFont="1" applyAlignment="1">
      <alignment wrapText="1"/>
    </xf>
    <xf numFmtId="0" fontId="7" fillId="0" borderId="0" xfId="4" applyFont="1" applyFill="1" applyBorder="1" applyAlignment="1">
      <alignment horizontal="left" vertical="top"/>
    </xf>
    <xf numFmtId="0" fontId="4" fillId="0" borderId="0" xfId="0" applyFont="1" applyFill="1" applyAlignment="1">
      <alignment wrapText="1"/>
    </xf>
    <xf numFmtId="0" fontId="18" fillId="0" borderId="0" xfId="0" applyFont="1" applyFill="1" applyBorder="1"/>
    <xf numFmtId="0" fontId="19" fillId="0" borderId="1" xfId="13" applyFont="1" applyBorder="1" applyAlignment="1">
      <alignment wrapText="1"/>
    </xf>
    <xf numFmtId="0" fontId="18" fillId="0" borderId="0" xfId="0" applyFont="1" applyFill="1" applyBorder="1" applyAlignment="1">
      <alignment wrapText="1"/>
    </xf>
    <xf numFmtId="0" fontId="18" fillId="0" borderId="0" xfId="0" applyFont="1" applyFill="1" applyBorder="1" applyAlignment="1"/>
    <xf numFmtId="0" fontId="36" fillId="0" borderId="0" xfId="2" applyFont="1" applyFill="1"/>
    <xf numFmtId="171" fontId="31" fillId="0" borderId="0" xfId="14" applyNumberFormat="1" applyFont="1" applyFill="1"/>
    <xf numFmtId="171" fontId="18" fillId="0" borderId="0" xfId="14" applyNumberFormat="1" applyFont="1"/>
    <xf numFmtId="0" fontId="37" fillId="0" borderId="0" xfId="8" applyFont="1" applyAlignment="1">
      <alignment horizontal="right"/>
    </xf>
    <xf numFmtId="0" fontId="36" fillId="0" borderId="0" xfId="2" applyFont="1"/>
    <xf numFmtId="0" fontId="18" fillId="0" borderId="0" xfId="0" applyFont="1" applyAlignment="1">
      <alignment vertical="top" wrapText="1"/>
    </xf>
    <xf numFmtId="172" fontId="18" fillId="0" borderId="0" xfId="0" applyNumberFormat="1" applyFont="1" applyAlignment="1">
      <alignment vertical="top"/>
    </xf>
    <xf numFmtId="172" fontId="18" fillId="0" borderId="0" xfId="0" applyNumberFormat="1" applyFont="1" applyAlignment="1"/>
    <xf numFmtId="0" fontId="38" fillId="0" borderId="0" xfId="8" applyFont="1"/>
    <xf numFmtId="0" fontId="39" fillId="0" borderId="0" xfId="8" applyFont="1"/>
    <xf numFmtId="0" fontId="39" fillId="0" borderId="0" xfId="2" applyFont="1"/>
    <xf numFmtId="0" fontId="40" fillId="0" borderId="0" xfId="2" applyFont="1"/>
    <xf numFmtId="164" fontId="41" fillId="0" borderId="0" xfId="5" applyNumberFormat="1" applyFont="1" applyBorder="1"/>
    <xf numFmtId="0" fontId="7" fillId="0" borderId="0" xfId="2" applyFont="1" applyFill="1" applyBorder="1" applyAlignment="1">
      <alignment horizontal="left"/>
    </xf>
    <xf numFmtId="0" fontId="42" fillId="0" borderId="0" xfId="2" applyFont="1" applyFill="1" applyBorder="1" applyAlignment="1">
      <alignment horizontal="left"/>
    </xf>
    <xf numFmtId="0" fontId="3" fillId="0" borderId="0" xfId="2" applyFont="1" applyFill="1" applyAlignment="1"/>
    <xf numFmtId="0" fontId="4" fillId="0" borderId="0" xfId="0" applyFont="1" applyBorder="1" applyAlignment="1"/>
    <xf numFmtId="0" fontId="0" fillId="0" borderId="0" xfId="0" applyAlignment="1"/>
    <xf numFmtId="0" fontId="7" fillId="0" borderId="0" xfId="2" applyFont="1" applyFill="1"/>
    <xf numFmtId="164" fontId="42" fillId="0" borderId="0" xfId="5" applyNumberFormat="1" applyFont="1" applyBorder="1"/>
    <xf numFmtId="164" fontId="19" fillId="0" borderId="0" xfId="5" applyNumberFormat="1" applyFont="1" applyBorder="1" applyAlignment="1">
      <alignment horizontal="left"/>
    </xf>
    <xf numFmtId="164" fontId="4" fillId="0" borderId="0" xfId="3" applyNumberFormat="1" applyFont="1" applyFill="1" applyBorder="1"/>
    <xf numFmtId="170" fontId="4" fillId="0" borderId="0" xfId="2" applyNumberFormat="1" applyFont="1" applyBorder="1"/>
    <xf numFmtId="164" fontId="19" fillId="0" borderId="2" xfId="0" applyNumberFormat="1" applyFont="1" applyFill="1" applyBorder="1" applyAlignment="1"/>
    <xf numFmtId="0" fontId="18" fillId="0" borderId="0" xfId="3" applyFont="1" applyFill="1" applyBorder="1" applyAlignment="1">
      <alignment vertical="top"/>
    </xf>
    <xf numFmtId="0" fontId="18" fillId="0" borderId="0" xfId="3" applyFont="1" applyFill="1" applyBorder="1" applyAlignment="1">
      <alignment vertical="center"/>
    </xf>
    <xf numFmtId="0" fontId="19" fillId="0" borderId="8" xfId="13" applyFont="1" applyBorder="1" applyAlignment="1">
      <alignment wrapText="1"/>
    </xf>
    <xf numFmtId="0" fontId="31" fillId="0" borderId="0" xfId="2" quotePrefix="1" applyFont="1"/>
    <xf numFmtId="0" fontId="18" fillId="0" borderId="0" xfId="3" applyFont="1" applyFill="1" applyBorder="1" applyAlignment="1">
      <alignment horizontal="center"/>
    </xf>
    <xf numFmtId="6" fontId="18" fillId="0" borderId="0" xfId="8" applyNumberFormat="1" applyFont="1" applyFill="1" applyBorder="1" applyAlignment="1">
      <alignment horizontal="center"/>
    </xf>
    <xf numFmtId="0" fontId="12" fillId="0" borderId="2" xfId="8" applyBorder="1"/>
    <xf numFmtId="0" fontId="19" fillId="0" borderId="2" xfId="3" applyFont="1" applyFill="1" applyBorder="1" applyAlignment="1">
      <alignment horizontal="left"/>
    </xf>
    <xf numFmtId="164" fontId="18" fillId="0" borderId="0" xfId="8" applyNumberFormat="1" applyFont="1" applyFill="1" applyBorder="1" applyAlignment="1"/>
    <xf numFmtId="0" fontId="43" fillId="0" borderId="0" xfId="8" applyFont="1"/>
    <xf numFmtId="0" fontId="7" fillId="0" borderId="0" xfId="4" applyFont="1" applyFill="1" applyBorder="1" applyAlignment="1">
      <alignment horizontal="left" vertical="top"/>
    </xf>
    <xf numFmtId="0" fontId="4" fillId="0" borderId="0" xfId="0" applyFont="1" applyFill="1" applyAlignment="1">
      <alignment wrapText="1"/>
    </xf>
    <xf numFmtId="164" fontId="4" fillId="0" borderId="0" xfId="5" applyNumberFormat="1" applyFont="1"/>
    <xf numFmtId="0" fontId="3" fillId="0" borderId="0" xfId="0" applyFont="1"/>
    <xf numFmtId="0" fontId="13" fillId="0" borderId="0" xfId="0" applyFont="1"/>
    <xf numFmtId="6" fontId="13" fillId="0" borderId="0" xfId="0" applyNumberFormat="1" applyFont="1"/>
    <xf numFmtId="6" fontId="15" fillId="0" borderId="0" xfId="0" applyNumberFormat="1" applyFont="1"/>
    <xf numFmtId="6" fontId="14" fillId="0" borderId="0" xfId="0" applyNumberFormat="1" applyFont="1"/>
    <xf numFmtId="6" fontId="13" fillId="0" borderId="5" xfId="0" applyNumberFormat="1" applyFont="1" applyBorder="1"/>
    <xf numFmtId="6" fontId="14" fillId="0" borderId="5" xfId="0" applyNumberFormat="1" applyFont="1" applyBorder="1"/>
    <xf numFmtId="164" fontId="4" fillId="0" borderId="0" xfId="3" applyNumberFormat="1" applyFont="1"/>
    <xf numFmtId="6" fontId="18" fillId="0" borderId="0" xfId="0" applyNumberFormat="1" applyFont="1"/>
    <xf numFmtId="6" fontId="19" fillId="0" borderId="7" xfId="0" applyNumberFormat="1" applyFont="1" applyBorder="1"/>
    <xf numFmtId="0" fontId="12" fillId="0" borderId="0" xfId="8" applyAlignment="1">
      <alignment wrapText="1"/>
    </xf>
    <xf numFmtId="0" fontId="18" fillId="0" borderId="0" xfId="3" applyFont="1" applyFill="1" applyBorder="1" applyAlignment="1">
      <alignment vertical="top" wrapText="1"/>
    </xf>
    <xf numFmtId="164" fontId="18" fillId="0" borderId="0" xfId="13" applyNumberFormat="1" applyFont="1"/>
    <xf numFmtId="0" fontId="45" fillId="0" borderId="0" xfId="2" applyFont="1"/>
    <xf numFmtId="0" fontId="44" fillId="0" borderId="0" xfId="2" applyFont="1"/>
    <xf numFmtId="171" fontId="2" fillId="0" borderId="0" xfId="2" applyNumberFormat="1"/>
    <xf numFmtId="171" fontId="19" fillId="0" borderId="0" xfId="14" applyNumberFormat="1" applyFont="1"/>
    <xf numFmtId="167" fontId="4" fillId="0" borderId="0" xfId="5" applyNumberFormat="1" applyFont="1"/>
    <xf numFmtId="6" fontId="4" fillId="0" borderId="0" xfId="0" applyNumberFormat="1" applyFont="1"/>
    <xf numFmtId="0" fontId="18" fillId="0" borderId="0" xfId="0" applyFont="1"/>
    <xf numFmtId="0" fontId="27" fillId="0" borderId="0" xfId="8" applyFont="1"/>
    <xf numFmtId="0" fontId="18" fillId="0" borderId="0" xfId="0" applyFont="1" applyAlignment="1">
      <alignment horizontal="left"/>
    </xf>
    <xf numFmtId="170" fontId="18" fillId="0" borderId="0" xfId="2" applyNumberFormat="1" applyFont="1"/>
    <xf numFmtId="164" fontId="7" fillId="0" borderId="0" xfId="8" applyNumberFormat="1" applyFont="1" applyFill="1" applyBorder="1" applyAlignment="1"/>
    <xf numFmtId="165" fontId="28" fillId="0" borderId="0" xfId="1" applyNumberFormat="1" applyFont="1"/>
    <xf numFmtId="0" fontId="7" fillId="0" borderId="0" xfId="0" applyFont="1" applyBorder="1" applyAlignment="1"/>
    <xf numFmtId="0" fontId="19" fillId="0" borderId="0" xfId="0" applyFont="1" applyBorder="1" applyAlignment="1">
      <alignment wrapText="1"/>
    </xf>
    <xf numFmtId="0" fontId="7" fillId="12" borderId="0" xfId="12" applyFont="1" applyFill="1" applyBorder="1"/>
    <xf numFmtId="0" fontId="7" fillId="12" borderId="0" xfId="12" applyFont="1" applyFill="1" applyBorder="1" applyAlignment="1">
      <alignment horizontal="center"/>
    </xf>
    <xf numFmtId="164" fontId="19" fillId="12" borderId="0" xfId="8" applyNumberFormat="1" applyFont="1" applyFill="1" applyBorder="1" applyAlignment="1"/>
    <xf numFmtId="0" fontId="19" fillId="12" borderId="0" xfId="8" applyNumberFormat="1" applyFont="1" applyFill="1" applyBorder="1" applyAlignment="1">
      <alignment horizontal="center"/>
    </xf>
    <xf numFmtId="0" fontId="7" fillId="12" borderId="0" xfId="3" applyFont="1" applyFill="1" applyAlignment="1">
      <alignment horizontal="center"/>
    </xf>
    <xf numFmtId="0" fontId="7" fillId="12" borderId="0" xfId="3" applyFont="1" applyFill="1" applyBorder="1" applyAlignment="1">
      <alignment horizontal="center"/>
    </xf>
    <xf numFmtId="0" fontId="7" fillId="12" borderId="0" xfId="0" applyFont="1" applyFill="1" applyBorder="1" applyAlignment="1">
      <alignment horizontal="center"/>
    </xf>
    <xf numFmtId="0" fontId="7" fillId="12" borderId="0" xfId="2" applyFont="1" applyFill="1" applyBorder="1"/>
    <xf numFmtId="0" fontId="14" fillId="12" borderId="0" xfId="8" applyFont="1" applyFill="1" applyAlignment="1">
      <alignment wrapText="1"/>
    </xf>
    <xf numFmtId="0" fontId="14" fillId="12" borderId="0" xfId="8" applyFont="1" applyFill="1" applyAlignment="1">
      <alignment horizontal="center" wrapText="1"/>
    </xf>
    <xf numFmtId="0" fontId="16" fillId="12" borderId="0" xfId="8" applyFont="1" applyFill="1" applyAlignment="1">
      <alignment horizontal="center" wrapText="1"/>
    </xf>
    <xf numFmtId="0" fontId="7" fillId="12" borderId="0" xfId="0" applyFont="1" applyFill="1" applyBorder="1"/>
    <xf numFmtId="0" fontId="7" fillId="12" borderId="0" xfId="4" applyFont="1" applyFill="1" applyBorder="1" applyAlignment="1">
      <alignment horizontal="left" wrapText="1"/>
    </xf>
    <xf numFmtId="0" fontId="7" fillId="12" borderId="0" xfId="0" applyFont="1" applyFill="1" applyBorder="1" applyAlignment="1" applyProtection="1">
      <alignment horizontal="center"/>
      <protection locked="0"/>
    </xf>
    <xf numFmtId="0" fontId="7" fillId="0" borderId="0" xfId="4" applyFont="1" applyFill="1" applyBorder="1" applyAlignment="1">
      <alignment horizontal="left" vertical="top"/>
    </xf>
    <xf numFmtId="0" fontId="4" fillId="0" borderId="0" xfId="0" applyFont="1" applyAlignment="1">
      <alignment horizontal="left"/>
    </xf>
    <xf numFmtId="0" fontId="4" fillId="0" borderId="0" xfId="3" applyFont="1" applyAlignment="1">
      <alignment horizontal="left"/>
    </xf>
    <xf numFmtId="0" fontId="3" fillId="0" borderId="0" xfId="0" applyFont="1" applyAlignment="1"/>
    <xf numFmtId="0" fontId="4" fillId="0" borderId="0" xfId="3" applyFont="1" applyAlignment="1"/>
    <xf numFmtId="0" fontId="4" fillId="0" borderId="0" xfId="0" applyFont="1" applyAlignment="1"/>
    <xf numFmtId="0" fontId="13" fillId="0" borderId="0" xfId="0" applyFont="1" applyAlignment="1"/>
    <xf numFmtId="0" fontId="4" fillId="0" borderId="0" xfId="0" applyFont="1" applyAlignment="1">
      <alignment horizontal="left" vertical="top"/>
    </xf>
    <xf numFmtId="0" fontId="4" fillId="0" borderId="0" xfId="0" applyFont="1" applyAlignment="1">
      <alignment horizontal="left" vertical="center"/>
    </xf>
    <xf numFmtId="174" fontId="18" fillId="0" borderId="0" xfId="14" applyNumberFormat="1" applyFont="1" applyFill="1" applyBorder="1" applyAlignment="1">
      <alignment horizontal="right"/>
    </xf>
    <xf numFmtId="174" fontId="19" fillId="0" borderId="2" xfId="14" applyNumberFormat="1" applyFont="1" applyFill="1" applyBorder="1" applyAlignment="1">
      <alignment horizontal="right"/>
    </xf>
    <xf numFmtId="0" fontId="18" fillId="0" borderId="0" xfId="3" applyFont="1" applyAlignment="1">
      <alignment vertical="center"/>
    </xf>
    <xf numFmtId="0" fontId="18" fillId="0" borderId="0" xfId="0" applyFont="1" applyAlignment="1">
      <alignment vertical="top"/>
    </xf>
    <xf numFmtId="0" fontId="18" fillId="0" borderId="0" xfId="0" applyFont="1" applyFill="1" applyBorder="1" applyAlignment="1">
      <alignment wrapText="1"/>
    </xf>
    <xf numFmtId="0" fontId="18" fillId="0" borderId="0" xfId="13" applyFont="1" applyAlignment="1">
      <alignment wrapText="1"/>
    </xf>
    <xf numFmtId="0" fontId="19" fillId="0" borderId="2" xfId="13" applyFont="1" applyBorder="1" applyAlignment="1">
      <alignment wrapText="1"/>
    </xf>
    <xf numFmtId="0" fontId="18" fillId="0" borderId="0" xfId="13" applyFont="1"/>
    <xf numFmtId="0" fontId="19" fillId="3" borderId="0" xfId="13" applyFont="1" applyFill="1" applyAlignment="1">
      <alignment horizontal="center" wrapText="1"/>
    </xf>
    <xf numFmtId="0" fontId="19" fillId="3" borderId="0" xfId="13" applyFont="1" applyFill="1" applyAlignment="1">
      <alignment horizontal="center"/>
    </xf>
    <xf numFmtId="0" fontId="18" fillId="0" borderId="0" xfId="13" applyFont="1" applyAlignment="1">
      <alignment horizontal="center"/>
    </xf>
    <xf numFmtId="0" fontId="19" fillId="0" borderId="0" xfId="13" applyFont="1" applyAlignment="1">
      <alignment wrapText="1"/>
    </xf>
    <xf numFmtId="164" fontId="19" fillId="0" borderId="2" xfId="13" applyNumberFormat="1" applyFont="1" applyBorder="1"/>
    <xf numFmtId="0" fontId="19" fillId="0" borderId="0" xfId="13" applyFont="1" applyAlignment="1">
      <alignment horizontal="right" wrapText="1"/>
    </xf>
    <xf numFmtId="164" fontId="19" fillId="0" borderId="0" xfId="13" applyNumberFormat="1" applyFont="1"/>
    <xf numFmtId="164" fontId="18" fillId="0" borderId="0" xfId="13" applyNumberFormat="1" applyFont="1" applyAlignment="1">
      <alignment wrapText="1"/>
    </xf>
    <xf numFmtId="0" fontId="18" fillId="0" borderId="2" xfId="13" applyFont="1" applyBorder="1" applyAlignment="1">
      <alignment wrapText="1"/>
    </xf>
    <xf numFmtId="164" fontId="18" fillId="0" borderId="0" xfId="5" applyNumberFormat="1" applyFont="1"/>
    <xf numFmtId="164" fontId="18" fillId="0" borderId="8" xfId="13" applyNumberFormat="1" applyFont="1" applyBorder="1"/>
    <xf numFmtId="164" fontId="18" fillId="0" borderId="5" xfId="13" applyNumberFormat="1" applyFont="1" applyBorder="1"/>
    <xf numFmtId="0" fontId="18" fillId="0" borderId="0" xfId="13" applyFont="1" applyAlignment="1">
      <alignment horizontal="left" vertical="top" wrapText="1"/>
    </xf>
    <xf numFmtId="0" fontId="19" fillId="0" borderId="0" xfId="13" applyFont="1"/>
    <xf numFmtId="0" fontId="38" fillId="0" borderId="0" xfId="13" applyFont="1" applyAlignment="1">
      <alignment wrapText="1"/>
    </xf>
    <xf numFmtId="9" fontId="18" fillId="0" borderId="0" xfId="1" applyFont="1"/>
    <xf numFmtId="0" fontId="27" fillId="0" borderId="0" xfId="8" applyFont="1" applyAlignment="1">
      <alignment vertical="top"/>
    </xf>
    <xf numFmtId="0" fontId="19" fillId="0" borderId="0" xfId="13" applyFont="1" applyAlignment="1"/>
    <xf numFmtId="0" fontId="18" fillId="0" borderId="0" xfId="13" applyFont="1" applyAlignment="1">
      <alignment wrapText="1"/>
    </xf>
    <xf numFmtId="0" fontId="7" fillId="0" borderId="0" xfId="19" applyFont="1" applyAlignment="1">
      <alignment horizontal="left" vertical="top"/>
    </xf>
    <xf numFmtId="0" fontId="48" fillId="0" borderId="0" xfId="15" applyFont="1" applyAlignment="1">
      <alignment horizontal="left"/>
    </xf>
    <xf numFmtId="173" fontId="49" fillId="0" borderId="0" xfId="15" applyNumberFormat="1" applyFont="1" applyAlignment="1">
      <alignment horizontal="center"/>
    </xf>
    <xf numFmtId="173" fontId="49" fillId="0" borderId="0" xfId="15" applyNumberFormat="1" applyFont="1"/>
    <xf numFmtId="172" fontId="49" fillId="0" borderId="0" xfId="15" applyNumberFormat="1" applyFont="1"/>
    <xf numFmtId="172" fontId="50" fillId="0" borderId="0" xfId="15" applyNumberFormat="1" applyFont="1" applyAlignment="1">
      <alignment wrapText="1"/>
    </xf>
    <xf numFmtId="172" fontId="50" fillId="0" borderId="0" xfId="15" applyNumberFormat="1" applyFont="1"/>
    <xf numFmtId="175" fontId="6" fillId="0" borderId="10" xfId="15" applyNumberFormat="1" applyFont="1" applyBorder="1" applyAlignment="1">
      <alignment horizontal="center" wrapText="1"/>
    </xf>
    <xf numFmtId="175" fontId="56" fillId="0" borderId="11" xfId="15" quotePrefix="1" applyNumberFormat="1" applyFont="1" applyBorder="1" applyAlignment="1">
      <alignment horizontal="center" wrapText="1"/>
    </xf>
    <xf numFmtId="175" fontId="56" fillId="0" borderId="11" xfId="15" applyNumberFormat="1" applyFont="1" applyBorder="1" applyAlignment="1">
      <alignment horizontal="center" wrapText="1"/>
    </xf>
    <xf numFmtId="175" fontId="6" fillId="0" borderId="11" xfId="15" applyNumberFormat="1" applyFont="1" applyBorder="1" applyAlignment="1">
      <alignment horizontal="center" wrapText="1"/>
    </xf>
    <xf numFmtId="175" fontId="6" fillId="0" borderId="12" xfId="15" applyNumberFormat="1" applyFont="1" applyBorder="1" applyAlignment="1">
      <alignment horizontal="center" wrapText="1"/>
    </xf>
    <xf numFmtId="175" fontId="6" fillId="0" borderId="0" xfId="15" applyNumberFormat="1" applyFont="1" applyAlignment="1">
      <alignment horizontal="center" wrapText="1"/>
    </xf>
    <xf numFmtId="175" fontId="56" fillId="0" borderId="0" xfId="15" applyNumberFormat="1" applyFont="1" applyAlignment="1">
      <alignment horizontal="center" wrapText="1"/>
    </xf>
    <xf numFmtId="172" fontId="57" fillId="0" borderId="13" xfId="15" applyNumberFormat="1" applyFont="1" applyBorder="1" applyAlignment="1">
      <alignment horizontal="center"/>
    </xf>
    <xf numFmtId="172" fontId="56" fillId="0" borderId="14" xfId="15" quotePrefix="1" applyNumberFormat="1" applyFont="1" applyBorder="1" applyAlignment="1">
      <alignment horizontal="left"/>
    </xf>
    <xf numFmtId="172" fontId="59" fillId="0" borderId="14" xfId="15" applyNumberFormat="1" applyFont="1" applyBorder="1"/>
    <xf numFmtId="172" fontId="2" fillId="0" borderId="14" xfId="15" applyNumberFormat="1" applyFont="1" applyBorder="1"/>
    <xf numFmtId="172" fontId="2" fillId="0" borderId="15" xfId="15" applyNumberFormat="1" applyFont="1" applyBorder="1"/>
    <xf numFmtId="176" fontId="6" fillId="0" borderId="16" xfId="15" applyNumberFormat="1" applyFont="1" applyBorder="1" applyAlignment="1">
      <alignment horizontal="center" wrapText="1"/>
    </xf>
    <xf numFmtId="172" fontId="59" fillId="0" borderId="0" xfId="15" applyNumberFormat="1" applyFont="1"/>
    <xf numFmtId="172" fontId="2" fillId="0" borderId="17" xfId="15" applyNumberFormat="1" applyFont="1" applyBorder="1"/>
    <xf numFmtId="177" fontId="59" fillId="0" borderId="16" xfId="15" applyNumberFormat="1" applyFont="1" applyBorder="1"/>
    <xf numFmtId="177" fontId="59" fillId="0" borderId="16" xfId="15" applyNumberFormat="1" applyFont="1" applyBorder="1" applyAlignment="1">
      <alignment horizontal="right"/>
    </xf>
    <xf numFmtId="177" fontId="2" fillId="0" borderId="16" xfId="15" applyNumberFormat="1" applyFont="1" applyBorder="1"/>
    <xf numFmtId="172" fontId="2" fillId="0" borderId="1" xfId="15" applyNumberFormat="1" applyFont="1" applyBorder="1"/>
    <xf numFmtId="172" fontId="2" fillId="0" borderId="16" xfId="15" applyNumberFormat="1" applyFont="1" applyBorder="1"/>
    <xf numFmtId="172" fontId="60" fillId="0" borderId="16" xfId="15" applyNumberFormat="1" applyFont="1" applyBorder="1" applyProtection="1">
      <protection locked="0"/>
    </xf>
    <xf numFmtId="172" fontId="61" fillId="0" borderId="16" xfId="15" applyNumberFormat="1" applyFont="1" applyBorder="1" applyProtection="1">
      <protection locked="0"/>
    </xf>
    <xf numFmtId="172" fontId="2" fillId="0" borderId="18" xfId="15" applyNumberFormat="1" applyFont="1" applyBorder="1"/>
    <xf numFmtId="177" fontId="2" fillId="0" borderId="19" xfId="15" applyNumberFormat="1" applyFont="1" applyBorder="1"/>
    <xf numFmtId="177" fontId="59" fillId="0" borderId="19" xfId="15" applyNumberFormat="1" applyFont="1" applyBorder="1"/>
    <xf numFmtId="172" fontId="2" fillId="0" borderId="20" xfId="15" applyNumberFormat="1" applyFont="1" applyBorder="1"/>
    <xf numFmtId="172" fontId="2" fillId="0" borderId="21" xfId="15" applyNumberFormat="1" applyFont="1" applyBorder="1"/>
    <xf numFmtId="172" fontId="60" fillId="0" borderId="21" xfId="15" applyNumberFormat="1" applyFont="1" applyBorder="1" applyProtection="1">
      <protection locked="0"/>
    </xf>
    <xf numFmtId="172" fontId="61" fillId="0" borderId="21" xfId="15" applyNumberFormat="1" applyFont="1" applyBorder="1" applyProtection="1">
      <protection locked="0"/>
    </xf>
    <xf numFmtId="172" fontId="6" fillId="0" borderId="10" xfId="15" applyNumberFormat="1" applyFont="1" applyBorder="1" applyAlignment="1">
      <alignment horizontal="right"/>
    </xf>
    <xf numFmtId="177" fontId="6" fillId="0" borderId="11" xfId="15" applyNumberFormat="1" applyFont="1" applyBorder="1"/>
    <xf numFmtId="177" fontId="6" fillId="0" borderId="12" xfId="15" applyNumberFormat="1" applyFont="1" applyBorder="1"/>
    <xf numFmtId="177" fontId="62" fillId="0" borderId="12" xfId="15" applyNumberFormat="1" applyFont="1" applyBorder="1"/>
    <xf numFmtId="172" fontId="56" fillId="0" borderId="0" xfId="15" applyNumberFormat="1" applyFont="1"/>
    <xf numFmtId="177" fontId="59" fillId="0" borderId="14" xfId="15" applyNumberFormat="1" applyFont="1" applyBorder="1"/>
    <xf numFmtId="177" fontId="2" fillId="0" borderId="14" xfId="15" applyNumberFormat="1" applyFont="1" applyBorder="1"/>
    <xf numFmtId="172" fontId="2" fillId="0" borderId="22" xfId="15" applyNumberFormat="1" applyFont="1" applyBorder="1"/>
    <xf numFmtId="176" fontId="6" fillId="0" borderId="23" xfId="15" applyNumberFormat="1" applyFont="1" applyBorder="1" applyAlignment="1">
      <alignment horizontal="center" wrapText="1"/>
    </xf>
    <xf numFmtId="176" fontId="62" fillId="0" borderId="23" xfId="15" applyNumberFormat="1" applyFont="1" applyBorder="1" applyAlignment="1">
      <alignment horizontal="center" wrapText="1"/>
    </xf>
    <xf numFmtId="172" fontId="6" fillId="0" borderId="17" xfId="15" applyNumberFormat="1" applyFont="1" applyBorder="1"/>
    <xf numFmtId="176" fontId="62" fillId="0" borderId="16" xfId="15" applyNumberFormat="1" applyFont="1" applyBorder="1" applyAlignment="1">
      <alignment horizontal="center" wrapText="1"/>
    </xf>
    <xf numFmtId="176" fontId="64" fillId="0" borderId="16" xfId="15" applyNumberFormat="1" applyFont="1" applyBorder="1" applyAlignment="1">
      <alignment horizontal="center" wrapText="1"/>
    </xf>
    <xf numFmtId="172" fontId="2" fillId="0" borderId="24" xfId="15" applyNumberFormat="1" applyFont="1" applyBorder="1"/>
    <xf numFmtId="172" fontId="60" fillId="0" borderId="24" xfId="15" applyNumberFormat="1" applyFont="1" applyBorder="1" applyProtection="1">
      <protection locked="0"/>
    </xf>
    <xf numFmtId="172" fontId="65" fillId="0" borderId="24" xfId="15" applyNumberFormat="1" applyFont="1" applyBorder="1" applyProtection="1">
      <protection locked="0"/>
    </xf>
    <xf numFmtId="176" fontId="65" fillId="0" borderId="24" xfId="15" applyNumberFormat="1" applyFont="1" applyBorder="1" applyProtection="1">
      <protection locked="0"/>
    </xf>
    <xf numFmtId="172" fontId="2" fillId="0" borderId="18" xfId="15" applyNumberFormat="1" applyFont="1" applyBorder="1" applyAlignment="1">
      <alignment horizontal="right"/>
    </xf>
    <xf numFmtId="177" fontId="59" fillId="0" borderId="25" xfId="15" applyNumberFormat="1" applyFont="1" applyBorder="1"/>
    <xf numFmtId="177" fontId="2" fillId="0" borderId="25" xfId="15" applyNumberFormat="1" applyFont="1" applyBorder="1"/>
    <xf numFmtId="177" fontId="2" fillId="0" borderId="26" xfId="15" applyNumberFormat="1" applyFont="1" applyBorder="1"/>
    <xf numFmtId="177" fontId="60" fillId="0" borderId="26" xfId="15" applyNumberFormat="1" applyFont="1" applyBorder="1"/>
    <xf numFmtId="43" fontId="6" fillId="0" borderId="12" xfId="15" applyNumberFormat="1" applyFont="1" applyBorder="1"/>
    <xf numFmtId="172" fontId="56" fillId="0" borderId="27" xfId="15" applyNumberFormat="1" applyFont="1" applyBorder="1"/>
    <xf numFmtId="172" fontId="6" fillId="0" borderId="13" xfId="15" applyNumberFormat="1" applyFont="1" applyBorder="1"/>
    <xf numFmtId="172" fontId="2" fillId="0" borderId="17" xfId="15" quotePrefix="1" applyNumberFormat="1" applyFont="1" applyBorder="1" applyAlignment="1">
      <alignment horizontal="left"/>
    </xf>
    <xf numFmtId="172" fontId="2" fillId="0" borderId="18" xfId="15" quotePrefix="1" applyNumberFormat="1" applyFont="1" applyBorder="1" applyAlignment="1">
      <alignment horizontal="left"/>
    </xf>
    <xf numFmtId="172" fontId="6" fillId="0" borderId="28" xfId="15" applyNumberFormat="1" applyFont="1" applyBorder="1" applyAlignment="1">
      <alignment horizontal="right"/>
    </xf>
    <xf numFmtId="177" fontId="6" fillId="0" borderId="21" xfId="15" applyNumberFormat="1" applyFont="1" applyBorder="1"/>
    <xf numFmtId="177" fontId="6" fillId="0" borderId="29" xfId="15" applyNumberFormat="1" applyFont="1" applyBorder="1"/>
    <xf numFmtId="177" fontId="62" fillId="0" borderId="29" xfId="15" applyNumberFormat="1" applyFont="1" applyBorder="1"/>
    <xf numFmtId="177" fontId="56" fillId="0" borderId="14" xfId="15" applyNumberFormat="1" applyFont="1" applyBorder="1"/>
    <xf numFmtId="177" fontId="6" fillId="0" borderId="14" xfId="15" applyNumberFormat="1" applyFont="1" applyBorder="1"/>
    <xf numFmtId="172" fontId="6" fillId="0" borderId="22" xfId="15" applyNumberFormat="1" applyFont="1" applyBorder="1"/>
    <xf numFmtId="177" fontId="2" fillId="0" borderId="19" xfId="15" quotePrefix="1" applyNumberFormat="1" applyFont="1" applyBorder="1" applyAlignment="1">
      <alignment horizontal="right"/>
    </xf>
    <xf numFmtId="172" fontId="61" fillId="0" borderId="24" xfId="15" applyNumberFormat="1" applyFont="1" applyBorder="1" applyProtection="1">
      <protection locked="0"/>
    </xf>
    <xf numFmtId="172" fontId="6" fillId="13" borderId="28" xfId="15" applyNumberFormat="1" applyFont="1" applyFill="1" applyBorder="1" applyAlignment="1">
      <alignment horizontal="right"/>
    </xf>
    <xf numFmtId="177" fontId="6" fillId="13" borderId="30" xfId="15" applyNumberFormat="1" applyFont="1" applyFill="1" applyBorder="1"/>
    <xf numFmtId="177" fontId="6" fillId="13" borderId="31" xfId="15" applyNumberFormat="1" applyFont="1" applyFill="1" applyBorder="1"/>
    <xf numFmtId="177" fontId="62" fillId="13" borderId="31" xfId="15" applyNumberFormat="1" applyFont="1" applyFill="1" applyBorder="1"/>
    <xf numFmtId="172" fontId="6" fillId="14" borderId="10" xfId="15" applyNumberFormat="1" applyFont="1" applyFill="1" applyBorder="1" applyAlignment="1">
      <alignment horizontal="right"/>
    </xf>
    <xf numFmtId="177" fontId="6" fillId="14" borderId="11" xfId="15" applyNumberFormat="1" applyFont="1" applyFill="1" applyBorder="1"/>
    <xf numFmtId="177" fontId="6" fillId="14" borderId="12" xfId="15" applyNumberFormat="1" applyFont="1" applyFill="1" applyBorder="1"/>
    <xf numFmtId="176" fontId="6" fillId="14" borderId="32" xfId="15" applyNumberFormat="1" applyFont="1" applyFill="1" applyBorder="1" applyAlignment="1">
      <alignment horizontal="right"/>
    </xf>
    <xf numFmtId="176" fontId="62" fillId="14" borderId="32" xfId="15" applyNumberFormat="1" applyFont="1" applyFill="1" applyBorder="1" applyAlignment="1">
      <alignment horizontal="right"/>
    </xf>
    <xf numFmtId="176" fontId="62" fillId="15" borderId="32" xfId="15" applyNumberFormat="1" applyFont="1" applyFill="1" applyBorder="1" applyAlignment="1">
      <alignment horizontal="right"/>
    </xf>
    <xf numFmtId="172" fontId="57" fillId="0" borderId="33" xfId="15" applyNumberFormat="1" applyFont="1" applyBorder="1" applyAlignment="1">
      <alignment horizontal="center"/>
    </xf>
    <xf numFmtId="177" fontId="56" fillId="0" borderId="23" xfId="15" applyNumberFormat="1" applyFont="1" applyBorder="1"/>
    <xf numFmtId="177" fontId="6" fillId="0" borderId="23" xfId="15" applyNumberFormat="1" applyFont="1" applyBorder="1"/>
    <xf numFmtId="173" fontId="6" fillId="0" borderId="16" xfId="15" applyNumberFormat="1" applyFont="1" applyBorder="1" applyAlignment="1">
      <alignment horizontal="center" wrapText="1"/>
    </xf>
    <xf numFmtId="173" fontId="62" fillId="0" borderId="16" xfId="15" applyNumberFormat="1" applyFont="1" applyBorder="1" applyAlignment="1">
      <alignment horizontal="center" wrapText="1"/>
    </xf>
    <xf numFmtId="172" fontId="60" fillId="0" borderId="16" xfId="15" applyNumberFormat="1" applyFont="1" applyBorder="1"/>
    <xf numFmtId="177" fontId="2" fillId="0" borderId="20" xfId="15" applyNumberFormat="1" applyFont="1" applyBorder="1"/>
    <xf numFmtId="177" fontId="60" fillId="0" borderId="20" xfId="15" applyNumberFormat="1" applyFont="1" applyBorder="1"/>
    <xf numFmtId="172" fontId="6" fillId="0" borderId="34" xfId="15" applyNumberFormat="1" applyFont="1" applyBorder="1" applyAlignment="1">
      <alignment horizontal="right"/>
    </xf>
    <xf numFmtId="177" fontId="6" fillId="0" borderId="35" xfId="15" applyNumberFormat="1" applyFont="1" applyBorder="1"/>
    <xf numFmtId="177" fontId="6" fillId="0" borderId="35" xfId="15" applyNumberFormat="1" applyFont="1" applyBorder="1" applyAlignment="1">
      <alignment horizontal="center"/>
    </xf>
    <xf numFmtId="0" fontId="2" fillId="0" borderId="0" xfId="0" applyFont="1"/>
    <xf numFmtId="0" fontId="4" fillId="0" borderId="0" xfId="0" applyFont="1" applyAlignment="1">
      <alignment vertical="top"/>
    </xf>
    <xf numFmtId="0" fontId="18" fillId="0" borderId="0" xfId="3" applyFont="1" applyAlignment="1"/>
    <xf numFmtId="0" fontId="18" fillId="0" borderId="0" xfId="0" applyFont="1" applyAlignment="1"/>
    <xf numFmtId="0" fontId="18" fillId="0" borderId="0" xfId="3" applyFont="1" applyAlignment="1">
      <alignment vertical="top"/>
    </xf>
    <xf numFmtId="0" fontId="18" fillId="0" borderId="0" xfId="13" applyFont="1" applyAlignment="1"/>
    <xf numFmtId="0" fontId="18" fillId="0" borderId="0" xfId="3" applyFont="1" applyFill="1" applyBorder="1" applyAlignment="1"/>
    <xf numFmtId="0" fontId="7" fillId="0" borderId="0" xfId="4" applyFont="1" applyFill="1" applyBorder="1" applyAlignment="1">
      <alignment horizontal="left" vertical="top"/>
    </xf>
    <xf numFmtId="6" fontId="15" fillId="0" borderId="5" xfId="0" applyNumberFormat="1" applyFont="1" applyBorder="1"/>
    <xf numFmtId="0" fontId="18" fillId="0" borderId="0" xfId="3" applyFont="1" applyAlignment="1">
      <alignment horizontal="left"/>
    </xf>
    <xf numFmtId="164" fontId="18" fillId="0" borderId="0" xfId="0" applyNumberFormat="1" applyFont="1" applyAlignment="1"/>
    <xf numFmtId="0" fontId="67" fillId="0" borderId="0" xfId="8" applyFont="1"/>
    <xf numFmtId="0" fontId="38" fillId="0" borderId="0" xfId="0" applyFont="1" applyBorder="1" applyAlignment="1">
      <alignment wrapText="1"/>
    </xf>
    <xf numFmtId="164" fontId="19" fillId="0" borderId="0" xfId="0" applyNumberFormat="1" applyFont="1" applyFill="1" applyBorder="1" applyAlignment="1"/>
    <xf numFmtId="164" fontId="18" fillId="0" borderId="0" xfId="0" applyNumberFormat="1" applyFont="1" applyBorder="1"/>
    <xf numFmtId="0" fontId="0" fillId="0" borderId="0" xfId="0" applyBorder="1"/>
    <xf numFmtId="0" fontId="18" fillId="0" borderId="0" xfId="0" applyFont="1" applyBorder="1" applyAlignment="1"/>
    <xf numFmtId="0" fontId="19" fillId="0" borderId="0" xfId="13" applyFont="1" applyBorder="1" applyAlignment="1">
      <alignment wrapText="1"/>
    </xf>
    <xf numFmtId="164" fontId="18" fillId="0" borderId="0" xfId="5" applyNumberFormat="1" applyFont="1" applyFill="1" applyBorder="1"/>
    <xf numFmtId="164" fontId="19" fillId="0" borderId="2" xfId="5" applyNumberFormat="1" applyFont="1" applyFill="1" applyBorder="1"/>
    <xf numFmtId="0" fontId="68" fillId="0" borderId="0" xfId="10" applyFont="1" applyFill="1" applyBorder="1"/>
    <xf numFmtId="174" fontId="18" fillId="0" borderId="0" xfId="14" applyNumberFormat="1" applyFont="1" applyFill="1" applyBorder="1" applyAlignment="1">
      <alignment horizontal="center"/>
    </xf>
    <xf numFmtId="0" fontId="13" fillId="0" borderId="0" xfId="8" applyFont="1" applyAlignment="1">
      <alignment vertical="center"/>
    </xf>
    <xf numFmtId="164" fontId="0" fillId="0" borderId="0" xfId="0" applyNumberFormat="1"/>
    <xf numFmtId="0" fontId="17" fillId="11" borderId="0" xfId="8" applyFont="1" applyFill="1" applyAlignment="1">
      <alignment horizontal="center" vertical="center"/>
    </xf>
    <xf numFmtId="0" fontId="13" fillId="0" borderId="0" xfId="8" applyFont="1" applyAlignment="1">
      <alignment horizontal="left" vertical="top" wrapText="1"/>
    </xf>
    <xf numFmtId="0" fontId="12" fillId="6" borderId="0" xfId="8" applyFill="1" applyBorder="1" applyAlignment="1">
      <alignment horizontal="center" vertical="center" wrapText="1"/>
    </xf>
    <xf numFmtId="171" fontId="12" fillId="6" borderId="0" xfId="8" applyNumberFormat="1" applyFill="1" applyAlignment="1">
      <alignment horizontal="center" vertical="center"/>
    </xf>
    <xf numFmtId="0" fontId="12" fillId="7" borderId="0" xfId="8" applyFill="1" applyAlignment="1">
      <alignment horizontal="center" vertical="center" wrapText="1"/>
    </xf>
    <xf numFmtId="0" fontId="34" fillId="6" borderId="0" xfId="8" applyFont="1" applyFill="1" applyBorder="1" applyAlignment="1">
      <alignment horizontal="center" vertical="center"/>
    </xf>
    <xf numFmtId="0" fontId="12" fillId="6" borderId="0" xfId="8" applyFill="1" applyBorder="1" applyAlignment="1">
      <alignment horizontal="center" vertical="center"/>
    </xf>
    <xf numFmtId="0" fontId="34" fillId="7" borderId="0" xfId="8" applyFont="1" applyFill="1" applyAlignment="1">
      <alignment horizontal="center" vertical="center"/>
    </xf>
    <xf numFmtId="0" fontId="12" fillId="7" borderId="0" xfId="8" applyFill="1" applyAlignment="1">
      <alignment horizontal="center" vertical="center"/>
    </xf>
    <xf numFmtId="171" fontId="12" fillId="7" borderId="0" xfId="8" applyNumberFormat="1" applyFill="1" applyAlignment="1">
      <alignment horizontal="center" vertical="center"/>
    </xf>
    <xf numFmtId="0" fontId="4" fillId="0" borderId="0" xfId="3" applyFont="1" applyFill="1" applyBorder="1" applyAlignment="1">
      <alignment horizontal="left" vertical="top" wrapText="1"/>
    </xf>
    <xf numFmtId="0" fontId="22" fillId="0" borderId="0" xfId="3" applyFont="1" applyFill="1" applyBorder="1" applyAlignment="1">
      <alignment horizontal="left" wrapText="1"/>
    </xf>
    <xf numFmtId="0" fontId="22" fillId="0" borderId="0" xfId="0" applyFont="1" applyBorder="1" applyAlignment="1">
      <alignment horizontal="left" wrapText="1"/>
    </xf>
    <xf numFmtId="0" fontId="7" fillId="0" borderId="0" xfId="4" applyFont="1" applyFill="1" applyBorder="1" applyAlignment="1">
      <alignment horizontal="left" vertical="top"/>
    </xf>
    <xf numFmtId="0" fontId="4" fillId="0" borderId="0" xfId="3" applyFont="1" applyFill="1" applyBorder="1" applyAlignment="1">
      <alignment horizontal="left" wrapText="1"/>
    </xf>
    <xf numFmtId="0" fontId="4" fillId="0" borderId="0" xfId="2" applyFont="1" applyBorder="1" applyAlignment="1">
      <alignment horizontal="left" wrapText="1"/>
    </xf>
    <xf numFmtId="0" fontId="17" fillId="0" borderId="0" xfId="8" applyFont="1" applyAlignment="1">
      <alignment vertical="top"/>
    </xf>
    <xf numFmtId="0" fontId="7" fillId="0" borderId="0" xfId="2" applyFont="1"/>
    <xf numFmtId="0" fontId="7" fillId="0" borderId="0" xfId="3" applyFont="1" applyFill="1" applyBorder="1" applyAlignment="1">
      <alignment vertical="top"/>
    </xf>
    <xf numFmtId="0" fontId="4" fillId="0" borderId="0" xfId="3" applyFont="1" applyAlignment="1">
      <alignment horizontal="left" vertical="top" wrapText="1"/>
    </xf>
    <xf numFmtId="0" fontId="4" fillId="0" borderId="0" xfId="0" applyFont="1" applyAlignment="1">
      <alignment horizontal="left" vertical="top" wrapText="1"/>
    </xf>
    <xf numFmtId="0" fontId="27" fillId="0" borderId="0" xfId="8" applyFont="1"/>
    <xf numFmtId="0" fontId="19" fillId="0" borderId="2" xfId="13" applyFont="1" applyBorder="1" applyAlignment="1">
      <alignment wrapText="1"/>
    </xf>
    <xf numFmtId="0" fontId="19" fillId="0" borderId="2" xfId="13" applyFont="1" applyBorder="1" applyAlignment="1">
      <alignment horizontal="left" wrapText="1"/>
    </xf>
    <xf numFmtId="172" fontId="50" fillId="0" borderId="0" xfId="15" applyNumberFormat="1" applyFont="1" applyAlignment="1">
      <alignment horizontal="left" wrapText="1"/>
    </xf>
    <xf numFmtId="172" fontId="51" fillId="0" borderId="9" xfId="15" applyNumberFormat="1" applyFont="1" applyBorder="1" applyAlignment="1">
      <alignment horizontal="center"/>
    </xf>
    <xf numFmtId="0" fontId="66" fillId="0" borderId="9" xfId="15" applyFont="1" applyBorder="1" applyAlignment="1">
      <alignment horizontal="center"/>
    </xf>
    <xf numFmtId="172" fontId="6" fillId="0" borderId="0" xfId="15" applyNumberFormat="1" applyFont="1" applyAlignment="1">
      <alignment horizontal="left" vertical="top" wrapText="1"/>
    </xf>
    <xf numFmtId="172" fontId="2" fillId="0" borderId="0" xfId="15" applyNumberFormat="1" applyFont="1" applyAlignment="1">
      <alignment horizontal="left" wrapText="1"/>
    </xf>
    <xf numFmtId="172" fontId="2" fillId="0" borderId="0" xfId="15" applyNumberFormat="1" applyFont="1" applyAlignment="1">
      <alignment horizontal="left"/>
    </xf>
  </cellXfs>
  <cellStyles count="20">
    <cellStyle name="Comma" xfId="14" builtinId="3"/>
    <cellStyle name="Comma 2" xfId="16" xr:uid="{00000000-0005-0000-0000-000001000000}"/>
    <cellStyle name="Currency 2" xfId="5" xr:uid="{00000000-0005-0000-0000-000002000000}"/>
    <cellStyle name="Currency 3" xfId="11" xr:uid="{00000000-0005-0000-0000-000003000000}"/>
    <cellStyle name="Normal" xfId="0" builtinId="0"/>
    <cellStyle name="Normal 2" xfId="2" xr:uid="{00000000-0005-0000-0000-000005000000}"/>
    <cellStyle name="Normal 2 2" xfId="10" xr:uid="{00000000-0005-0000-0000-000006000000}"/>
    <cellStyle name="Normal 2 3" xfId="15" xr:uid="{00000000-0005-0000-0000-000007000000}"/>
    <cellStyle name="Normal 3" xfId="6" xr:uid="{00000000-0005-0000-0000-000008000000}"/>
    <cellStyle name="Normal 3 2" xfId="19" xr:uid="{C2A21F54-D977-41FD-99DA-96E2997C462D}"/>
    <cellStyle name="Normal 4" xfId="7" xr:uid="{00000000-0005-0000-0000-000009000000}"/>
    <cellStyle name="Normal 5" xfId="8" xr:uid="{00000000-0005-0000-0000-00000A000000}"/>
    <cellStyle name="Normal 5 2" xfId="12" xr:uid="{00000000-0005-0000-0000-00000B000000}"/>
    <cellStyle name="Normal 6" xfId="17" xr:uid="{00000000-0005-0000-0000-00000C000000}"/>
    <cellStyle name="Normal 7" xfId="18" xr:uid="{00000000-0005-0000-0000-00000D000000}"/>
    <cellStyle name="Normal_78 - 04 FW spending report Spring 05Revised" xfId="13" xr:uid="{00000000-0005-0000-0000-00000E000000}"/>
    <cellStyle name="Normal_Gov Report File" xfId="3" xr:uid="{00000000-0005-0000-0000-00000F000000}"/>
    <cellStyle name="Normal_Sheet1" xfId="4" xr:uid="{00000000-0005-0000-0000-000010000000}"/>
    <cellStyle name="Note 2" xfId="9" xr:uid="{00000000-0005-0000-0000-000011000000}"/>
    <cellStyle name="Percent" xfId="1" builtinId="5"/>
  </cellStyles>
  <dxfs count="0"/>
  <tableStyles count="0" defaultTableStyle="TableStyleMedium9" defaultPivotStyle="PivotStyleLight16"/>
  <colors>
    <mruColors>
      <color rgb="FF8064A2"/>
      <color rgb="FFC0504D"/>
      <color rgb="FFF68B32"/>
      <color rgb="FFC3D69B"/>
      <color rgb="FF9AB9D2"/>
      <color rgb="FFFFFF66"/>
      <color rgb="FFFFFFFF"/>
      <color rgb="FF856BA5"/>
      <color rgb="FF9BBB59"/>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powerPivotData" Target="model/item.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0052726358132"/>
          <c:y val="2.6451465647437679E-3"/>
          <c:w val="0.73793696685066634"/>
          <c:h val="0.99113884874045965"/>
        </c:manualLayout>
      </c:layout>
      <c:pieChart>
        <c:varyColors val="1"/>
        <c:ser>
          <c:idx val="0"/>
          <c:order val="0"/>
          <c:spPr>
            <a:ln>
              <a:noFill/>
            </a:ln>
            <a:effectLst>
              <a:outerShdw blurRad="50800" dist="38100" dir="2700000" algn="tl" rotWithShape="0">
                <a:prstClr val="black">
                  <a:alpha val="40000"/>
                </a:prstClr>
              </a:outerShdw>
            </a:effectLst>
          </c:spPr>
          <c:dPt>
            <c:idx val="0"/>
            <c:bubble3D val="0"/>
            <c:spPr>
              <a:solidFill>
                <a:schemeClr val="accent1"/>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E64C-4B75-ACC6-D985A14E3F5E}"/>
              </c:ext>
            </c:extLst>
          </c:dPt>
          <c:dPt>
            <c:idx val="1"/>
            <c:bubble3D val="0"/>
            <c:spPr>
              <a:solidFill>
                <a:schemeClr val="accent2">
                  <a:lumMod val="40000"/>
                  <a:lumOff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E64C-4B75-ACC6-D985A14E3F5E}"/>
              </c:ext>
            </c:extLst>
          </c:dPt>
          <c:dPt>
            <c:idx val="2"/>
            <c:bubble3D val="0"/>
            <c:spPr>
              <a:solidFill>
                <a:schemeClr val="accent3">
                  <a:lumMod val="75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5-E64C-4B75-ACC6-D985A14E3F5E}"/>
              </c:ext>
            </c:extLst>
          </c:dPt>
          <c:dPt>
            <c:idx val="3"/>
            <c:bubble3D val="0"/>
            <c:spPr>
              <a:solidFill>
                <a:srgbClr val="9BBB59"/>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7-E64C-4B75-ACC6-D985A14E3F5E}"/>
              </c:ext>
            </c:extLst>
          </c:dPt>
          <c:dPt>
            <c:idx val="4"/>
            <c:bubble3D val="0"/>
            <c:spPr>
              <a:solidFill>
                <a:schemeClr val="accent3">
                  <a:lumMod val="60000"/>
                  <a:lumOff val="4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9-E64C-4B75-ACC6-D985A14E3F5E}"/>
              </c:ext>
            </c:extLst>
          </c:dPt>
          <c:dPt>
            <c:idx val="5"/>
            <c:bubble3D val="0"/>
            <c:spPr>
              <a:solidFill>
                <a:schemeClr val="accent3">
                  <a:lumMod val="40000"/>
                  <a:lumOff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B-E64C-4B75-ACC6-D985A14E3F5E}"/>
              </c:ext>
            </c:extLst>
          </c:dPt>
          <c:dPt>
            <c:idx val="6"/>
            <c:bubble3D val="0"/>
            <c:spPr>
              <a:solidFill>
                <a:srgbClr val="856BA5"/>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D-E64C-4B75-ACC6-D985A14E3F5E}"/>
              </c:ext>
            </c:extLst>
          </c:dPt>
          <c:dPt>
            <c:idx val="7"/>
            <c:bubble3D val="0"/>
            <c:spPr>
              <a:solidFill>
                <a:schemeClr val="accent4">
                  <a:lumMod val="40000"/>
                  <a:lumOff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F-E64C-4B75-ACC6-D985A14E3F5E}"/>
              </c:ext>
            </c:extLst>
          </c:dPt>
          <c:dPt>
            <c:idx val="8"/>
            <c:bubble3D val="0"/>
            <c:spPr>
              <a:solidFill>
                <a:srgbClr val="F68B32"/>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1-E64C-4B75-ACC6-D985A14E3F5E}"/>
              </c:ext>
            </c:extLst>
          </c:dPt>
          <c:dPt>
            <c:idx val="9"/>
            <c:bubble3D val="0"/>
            <c:spPr>
              <a:solidFill>
                <a:schemeClr val="bg1">
                  <a:lumMod val="75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3-E64C-4B75-ACC6-D985A14E3F5E}"/>
              </c:ext>
            </c:extLst>
          </c:dPt>
          <c:dPt>
            <c:idx val="10"/>
            <c:bubble3D val="0"/>
            <c:spPr>
              <a:solidFill>
                <a:schemeClr val="accent5">
                  <a:lumMod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5-E64C-4B75-ACC6-D985A14E3F5E}"/>
              </c:ext>
            </c:extLst>
          </c:dPt>
          <c:dPt>
            <c:idx val="11"/>
            <c:bubble3D val="0"/>
            <c:spPr>
              <a:solidFill>
                <a:schemeClr val="accent6">
                  <a:lumMod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7-E64C-4B75-ACC6-D985A14E3F5E}"/>
              </c:ext>
            </c:extLst>
          </c:dPt>
          <c:dLbls>
            <c:dLbl>
              <c:idx val="0"/>
              <c:layout>
                <c:manualLayout>
                  <c:x val="-0.11611162526770286"/>
                  <c:y val="-9.8017297631284972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7579959810594903"/>
                      <c:h val="8.0803100193813898E-2"/>
                    </c:manualLayout>
                  </c15:layout>
                </c:ext>
                <c:ext xmlns:c16="http://schemas.microsoft.com/office/drawing/2014/chart" uri="{C3380CC4-5D6E-409C-BE32-E72D297353CC}">
                  <c16:uniqueId val="{00000001-E64C-4B75-ACC6-D985A14E3F5E}"/>
                </c:ext>
              </c:extLst>
            </c:dLbl>
            <c:dLbl>
              <c:idx val="1"/>
              <c:layout>
                <c:manualLayout>
                  <c:x val="0.16610889140856752"/>
                  <c:y val="-0.23966226289178322"/>
                </c:manualLayout>
              </c:layout>
              <c:numFmt formatCode="&quot;$&quot;#0.0\ &quot;million&quot;" sourceLinked="0"/>
              <c:spPr>
                <a:solidFill>
                  <a:srgbClr val="FFFFFF">
                    <a:alpha val="85098"/>
                  </a:srgbClr>
                </a:solid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8750070193232246"/>
                      <c:h val="7.9188156944722116E-2"/>
                    </c:manualLayout>
                  </c15:layout>
                </c:ext>
                <c:ext xmlns:c16="http://schemas.microsoft.com/office/drawing/2014/chart" uri="{C3380CC4-5D6E-409C-BE32-E72D297353CC}">
                  <c16:uniqueId val="{00000003-E64C-4B75-ACC6-D985A14E3F5E}"/>
                </c:ext>
              </c:extLst>
            </c:dLbl>
            <c:dLbl>
              <c:idx val="2"/>
              <c:layout>
                <c:manualLayout>
                  <c:x val="-2.2604031958960265E-2"/>
                  <c:y val="-8.8180741783086963E-3"/>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8175828422566989"/>
                      <c:h val="6.5293258528394738E-2"/>
                    </c:manualLayout>
                  </c15:layout>
                </c:ext>
                <c:ext xmlns:c16="http://schemas.microsoft.com/office/drawing/2014/chart" uri="{C3380CC4-5D6E-409C-BE32-E72D297353CC}">
                  <c16:uniqueId val="{00000005-E64C-4B75-ACC6-D985A14E3F5E}"/>
                </c:ext>
              </c:extLst>
            </c:dLbl>
            <c:dLbl>
              <c:idx val="3"/>
              <c:layout>
                <c:manualLayout>
                  <c:x val="-1.6995995314115796E-2"/>
                  <c:y val="3.0758764356058212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4260657530773885"/>
                      <c:h val="6.3220119827416918E-2"/>
                    </c:manualLayout>
                  </c15:layout>
                </c:ext>
                <c:ext xmlns:c16="http://schemas.microsoft.com/office/drawing/2014/chart" uri="{C3380CC4-5D6E-409C-BE32-E72D297353CC}">
                  <c16:uniqueId val="{00000007-E64C-4B75-ACC6-D985A14E3F5E}"/>
                </c:ext>
              </c:extLst>
            </c:dLbl>
            <c:dLbl>
              <c:idx val="4"/>
              <c:layout>
                <c:manualLayout>
                  <c:x val="-1.6171548803950518E-2"/>
                  <c:y val="2.1135833059687293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941719747148859"/>
                      <c:h val="8.6036559110824751E-2"/>
                    </c:manualLayout>
                  </c15:layout>
                </c:ext>
                <c:ext xmlns:c16="http://schemas.microsoft.com/office/drawing/2014/chart" uri="{C3380CC4-5D6E-409C-BE32-E72D297353CC}">
                  <c16:uniqueId val="{00000009-E64C-4B75-ACC6-D985A14E3F5E}"/>
                </c:ext>
              </c:extLst>
            </c:dLbl>
            <c:dLbl>
              <c:idx val="5"/>
              <c:layout>
                <c:manualLayout>
                  <c:x val="-9.7362852063544898E-3"/>
                  <c:y val="-3.9085930480471653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8361139408643079"/>
                      <c:h val="7.4856506737379633E-2"/>
                    </c:manualLayout>
                  </c15:layout>
                </c:ext>
                <c:ext xmlns:c16="http://schemas.microsoft.com/office/drawing/2014/chart" uri="{C3380CC4-5D6E-409C-BE32-E72D297353CC}">
                  <c16:uniqueId val="{0000000B-E64C-4B75-ACC6-D985A14E3F5E}"/>
                </c:ext>
              </c:extLst>
            </c:dLbl>
            <c:dLbl>
              <c:idx val="6"/>
              <c:layout>
                <c:manualLayout>
                  <c:x val="-1.7152418309896677E-2"/>
                  <c:y val="-3.2155209314856506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6456441735705338"/>
                      <c:h val="7.563968979968419E-2"/>
                    </c:manualLayout>
                  </c15:layout>
                </c:ext>
                <c:ext xmlns:c16="http://schemas.microsoft.com/office/drawing/2014/chart" uri="{C3380CC4-5D6E-409C-BE32-E72D297353CC}">
                  <c16:uniqueId val="{0000000D-E64C-4B75-ACC6-D985A14E3F5E}"/>
                </c:ext>
              </c:extLst>
            </c:dLbl>
            <c:dLbl>
              <c:idx val="7"/>
              <c:layout>
                <c:manualLayout>
                  <c:x val="8.5346640954846911E-2"/>
                  <c:y val="2.7037099989131345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t" anchorCtr="0">
                  <a:noAutofit/>
                </a:bodyPr>
                <a:lstStyle/>
                <a:p>
                  <a:pPr algn="ct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9386824489466831"/>
                      <c:h val="6.6385891230944488E-2"/>
                    </c:manualLayout>
                  </c15:layout>
                </c:ext>
                <c:ext xmlns:c16="http://schemas.microsoft.com/office/drawing/2014/chart" uri="{C3380CC4-5D6E-409C-BE32-E72D297353CC}">
                  <c16:uniqueId val="{0000000F-E64C-4B75-ACC6-D985A14E3F5E}"/>
                </c:ext>
              </c:extLst>
            </c:dLbl>
            <c:dLbl>
              <c:idx val="8"/>
              <c:layout>
                <c:manualLayout>
                  <c:x val="-0.10473028154831748"/>
                  <c:y val="0.11588121827651787"/>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6216249577561959"/>
                      <c:h val="9.6416106206558327E-2"/>
                    </c:manualLayout>
                  </c15:layout>
                </c:ext>
                <c:ext xmlns:c16="http://schemas.microsoft.com/office/drawing/2014/chart" uri="{C3380CC4-5D6E-409C-BE32-E72D297353CC}">
                  <c16:uniqueId val="{00000011-E64C-4B75-ACC6-D985A14E3F5E}"/>
                </c:ext>
              </c:extLst>
            </c:dLbl>
            <c:dLbl>
              <c:idx val="9"/>
              <c:layout>
                <c:manualLayout>
                  <c:x val="0.20177349454630092"/>
                  <c:y val="-0.21521909189385488"/>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64C-4B75-ACC6-D985A14E3F5E}"/>
                </c:ext>
              </c:extLst>
            </c:dLbl>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spAutoFit/>
              </a:bodyPr>
              <a:lstStyle/>
              <a:p>
                <a:pPr algn="ct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'1A_ByArea'!$A$7:$A$15</c:f>
              <c:strCache>
                <c:ptCount val="9"/>
                <c:pt idx="0">
                  <c:v>Direct F&amp;W Program</c:v>
                </c:pt>
                <c:pt idx="1">
                  <c:v>Forgone Revenue (est.)</c:v>
                </c:pt>
                <c:pt idx="2">
                  <c:v>Corps of Engineers O&amp;M (est.)</c:v>
                </c:pt>
                <c:pt idx="3">
                  <c:v>Lower Snake Comp Plan</c:v>
                </c:pt>
                <c:pt idx="4">
                  <c:v>Bureau of Reclamation O&amp;M (est.)</c:v>
                </c:pt>
                <c:pt idx="5">
                  <c:v>NW Power &amp; Conservation Council</c:v>
                </c:pt>
                <c:pt idx="6">
                  <c:v>Interest Expense (est.)</c:v>
                </c:pt>
                <c:pt idx="7">
                  <c:v>Amortization/Depreciation (est.)</c:v>
                </c:pt>
                <c:pt idx="8">
                  <c:v>Power Purchases for Fish Enhancement (est.)</c:v>
                </c:pt>
              </c:strCache>
            </c:strRef>
          </c:cat>
          <c:val>
            <c:numRef>
              <c:f>'1A_ByArea'!$B$7:$B$15</c:f>
              <c:numCache>
                <c:formatCode>_(* #,##0.0_);_(* \(#,##0.0\);_(* "-"??_);_(@_)</c:formatCode>
                <c:ptCount val="9"/>
                <c:pt idx="0">
                  <c:v>253.6</c:v>
                </c:pt>
                <c:pt idx="1">
                  <c:v>190.6</c:v>
                </c:pt>
                <c:pt idx="2">
                  <c:v>48.3</c:v>
                </c:pt>
                <c:pt idx="3">
                  <c:v>30.7</c:v>
                </c:pt>
                <c:pt idx="4">
                  <c:v>6.5</c:v>
                </c:pt>
                <c:pt idx="5">
                  <c:v>5.5</c:v>
                </c:pt>
                <c:pt idx="6">
                  <c:v>29.3</c:v>
                </c:pt>
                <c:pt idx="7">
                  <c:v>69.400000000000006</c:v>
                </c:pt>
                <c:pt idx="8">
                  <c:v>110.6</c:v>
                </c:pt>
              </c:numCache>
            </c:numRef>
          </c:val>
          <c:extLst>
            <c:ext xmlns:c16="http://schemas.microsoft.com/office/drawing/2014/chart" uri="{C3380CC4-5D6E-409C-BE32-E72D297353CC}">
              <c16:uniqueId val="{00000018-E64C-4B75-ACC6-D985A14E3F5E}"/>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A-E64C-4B75-ACC6-D985A14E3F5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C-E64C-4B75-ACC6-D985A14E3F5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E-E64C-4B75-ACC6-D985A14E3F5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0-E64C-4B75-ACC6-D985A14E3F5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2-E64C-4B75-ACC6-D985A14E3F5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4-E64C-4B75-ACC6-D985A14E3F5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6-E64C-4B75-ACC6-D985A14E3F5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8-E64C-4B75-ACC6-D985A14E3F5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A-E64C-4B75-ACC6-D985A14E3F5E}"/>
              </c:ext>
            </c:extLst>
          </c:dPt>
          <c:cat>
            <c:strRef>
              <c:f>'1A_ByArea'!$A$7:$A$15</c:f>
              <c:strCache>
                <c:ptCount val="9"/>
                <c:pt idx="0">
                  <c:v>Direct F&amp;W Program</c:v>
                </c:pt>
                <c:pt idx="1">
                  <c:v>Forgone Revenue (est.)</c:v>
                </c:pt>
                <c:pt idx="2">
                  <c:v>Corps of Engineers O&amp;M (est.)</c:v>
                </c:pt>
                <c:pt idx="3">
                  <c:v>Lower Snake Comp Plan</c:v>
                </c:pt>
                <c:pt idx="4">
                  <c:v>Bureau of Reclamation O&amp;M (est.)</c:v>
                </c:pt>
                <c:pt idx="5">
                  <c:v>NW Power &amp; Conservation Council</c:v>
                </c:pt>
                <c:pt idx="6">
                  <c:v>Interest Expense (est.)</c:v>
                </c:pt>
                <c:pt idx="7">
                  <c:v>Amortization/Depreciation (est.)</c:v>
                </c:pt>
                <c:pt idx="8">
                  <c:v>Power Purchases for Fish Enhancement (est.)</c:v>
                </c:pt>
              </c:strCache>
            </c:strRef>
          </c:cat>
          <c:val>
            <c:numRef>
              <c:f>'1A_ByArea'!$B$7:$B$15</c:f>
              <c:numCache>
                <c:formatCode>_(* #,##0.0_);_(* \(#,##0.0\);_(* "-"??_);_(@_)</c:formatCode>
                <c:ptCount val="9"/>
                <c:pt idx="0">
                  <c:v>253.6</c:v>
                </c:pt>
                <c:pt idx="1">
                  <c:v>190.6</c:v>
                </c:pt>
                <c:pt idx="2">
                  <c:v>48.3</c:v>
                </c:pt>
                <c:pt idx="3">
                  <c:v>30.7</c:v>
                </c:pt>
                <c:pt idx="4">
                  <c:v>6.5</c:v>
                </c:pt>
                <c:pt idx="5">
                  <c:v>5.5</c:v>
                </c:pt>
                <c:pt idx="6">
                  <c:v>29.3</c:v>
                </c:pt>
                <c:pt idx="7">
                  <c:v>69.400000000000006</c:v>
                </c:pt>
                <c:pt idx="8">
                  <c:v>110.6</c:v>
                </c:pt>
              </c:numCache>
            </c:numRef>
          </c:val>
          <c:extLst>
            <c:ext xmlns:c16="http://schemas.microsoft.com/office/drawing/2014/chart" uri="{C3380CC4-5D6E-409C-BE32-E72D297353CC}">
              <c16:uniqueId val="{0000002B-E64C-4B75-ACC6-D985A14E3F5E}"/>
            </c:ext>
          </c:extLst>
        </c:ser>
        <c:dLbls>
          <c:showLegendKey val="0"/>
          <c:showVal val="0"/>
          <c:showCatName val="0"/>
          <c:showSerName val="0"/>
          <c:showPercent val="0"/>
          <c:showBubbleSize val="0"/>
          <c:showLeaderLines val="1"/>
        </c:dLbls>
        <c:firstSliceAng val="45"/>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12482746382844E-2"/>
          <c:y val="2.3363703774675903E-2"/>
          <c:w val="0.88057596159620866"/>
          <c:h val="0.9647995412931254"/>
        </c:manualLayout>
      </c:layout>
      <c:barChart>
        <c:barDir val="bar"/>
        <c:grouping val="clustered"/>
        <c:varyColors val="0"/>
        <c:ser>
          <c:idx val="0"/>
          <c:order val="0"/>
          <c:spPr>
            <a:solidFill>
              <a:schemeClr val="accent3">
                <a:lumMod val="75000"/>
              </a:schemeClr>
            </a:solidFill>
            <a:effectLst>
              <a:outerShdw blurRad="50800" dist="38100" dir="2700000" algn="tl" rotWithShape="0">
                <a:prstClr val="black">
                  <a:alpha val="40000"/>
                </a:prstClr>
              </a:outerShdw>
            </a:effectLst>
          </c:spPr>
          <c:invertIfNegative val="0"/>
          <c:dPt>
            <c:idx val="0"/>
            <c:invertIfNegative val="0"/>
            <c:bubble3D val="0"/>
            <c:spPr>
              <a:solidFill>
                <a:schemeClr val="accent3">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7FEE-4D26-A36B-86FFF3A5B10A}"/>
              </c:ext>
            </c:extLst>
          </c:dPt>
          <c:dPt>
            <c:idx val="1"/>
            <c:invertIfNegative val="0"/>
            <c:bubble3D val="0"/>
            <c:spPr>
              <a:solidFill>
                <a:schemeClr val="accent3">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7FEE-4D26-A36B-86FFF3A5B10A}"/>
              </c:ext>
            </c:extLst>
          </c:dPt>
          <c:cat>
            <c:strRef>
              <c:f>'7A_Province'!$H$29:$H$41</c:f>
              <c:strCache>
                <c:ptCount val="13"/>
                <c:pt idx="0">
                  <c:v>Program Support</c:v>
                </c:pt>
                <c:pt idx="1">
                  <c:v>Other</c:v>
                </c:pt>
                <c:pt idx="2">
                  <c:v>Middle Snake</c:v>
                </c:pt>
                <c:pt idx="3">
                  <c:v>Columbia Gorge</c:v>
                </c:pt>
                <c:pt idx="4">
                  <c:v>Columbia Estuary</c:v>
                </c:pt>
                <c:pt idx="5">
                  <c:v>Upper Snake</c:v>
                </c:pt>
                <c:pt idx="6">
                  <c:v>Blue Mountain</c:v>
                </c:pt>
                <c:pt idx="7">
                  <c:v>Intermountain</c:v>
                </c:pt>
                <c:pt idx="8">
                  <c:v>Columbia Cascade</c:v>
                </c:pt>
                <c:pt idx="9">
                  <c:v>Mountain Columbia</c:v>
                </c:pt>
                <c:pt idx="10">
                  <c:v>Mountain Snake</c:v>
                </c:pt>
                <c:pt idx="11">
                  <c:v>Lower Columbia</c:v>
                </c:pt>
                <c:pt idx="12">
                  <c:v>Columbia Plateau</c:v>
                </c:pt>
              </c:strCache>
            </c:strRef>
          </c:cat>
          <c:val>
            <c:numRef>
              <c:f>'7A_Province'!$I$29:$I$41</c:f>
              <c:numCache>
                <c:formatCode>_(* #,##0_);_(* \(#,##0\);_(* "-"??_);_(@_)</c:formatCode>
                <c:ptCount val="13"/>
                <c:pt idx="0">
                  <c:v>25569582</c:v>
                </c:pt>
                <c:pt idx="1">
                  <c:v>4911421</c:v>
                </c:pt>
                <c:pt idx="2">
                  <c:v>4194736</c:v>
                </c:pt>
                <c:pt idx="3">
                  <c:v>8473674</c:v>
                </c:pt>
                <c:pt idx="4">
                  <c:v>8523017</c:v>
                </c:pt>
                <c:pt idx="5">
                  <c:v>14927618</c:v>
                </c:pt>
                <c:pt idx="6">
                  <c:v>16159299</c:v>
                </c:pt>
                <c:pt idx="7">
                  <c:v>18159996</c:v>
                </c:pt>
                <c:pt idx="8">
                  <c:v>21214325</c:v>
                </c:pt>
                <c:pt idx="9">
                  <c:v>24062705</c:v>
                </c:pt>
                <c:pt idx="10">
                  <c:v>27685383</c:v>
                </c:pt>
                <c:pt idx="11">
                  <c:v>36056424</c:v>
                </c:pt>
                <c:pt idx="12">
                  <c:v>73068145</c:v>
                </c:pt>
              </c:numCache>
            </c:numRef>
          </c:val>
          <c:extLst>
            <c:ext xmlns:c16="http://schemas.microsoft.com/office/drawing/2014/chart" uri="{C3380CC4-5D6E-409C-BE32-E72D297353CC}">
              <c16:uniqueId val="{0000000C-7FEE-4D26-A36B-86FFF3A5B10A}"/>
            </c:ext>
          </c:extLst>
        </c:ser>
        <c:dLbls>
          <c:showLegendKey val="0"/>
          <c:showVal val="0"/>
          <c:showCatName val="0"/>
          <c:showSerName val="0"/>
          <c:showPercent val="0"/>
          <c:showBubbleSize val="0"/>
        </c:dLbls>
        <c:gapWidth val="100"/>
        <c:axId val="246305327"/>
        <c:axId val="246304911"/>
      </c:barChart>
      <c:valAx>
        <c:axId val="246304911"/>
        <c:scaling>
          <c:orientation val="minMax"/>
        </c:scaling>
        <c:delete val="0"/>
        <c:axPos val="b"/>
        <c:majorGridlines>
          <c:spPr>
            <a:ln>
              <a:solidFill>
                <a:schemeClr val="bg1">
                  <a:lumMod val="85000"/>
                </a:schemeClr>
              </a:solidFill>
            </a:ln>
          </c:spPr>
        </c:majorGridlines>
        <c:numFmt formatCode="&quot;$&quot;#0,,\ &quot;mil&quot;" sourceLinked="0"/>
        <c:majorTickMark val="out"/>
        <c:minorTickMark val="none"/>
        <c:tickLblPos val="nextTo"/>
        <c:spPr>
          <a:ln>
            <a:solidFill>
              <a:schemeClr val="bg1">
                <a:lumMod val="85000"/>
              </a:schemeClr>
            </a:solidFill>
          </a:ln>
        </c:spPr>
        <c:txPr>
          <a:bodyPr/>
          <a:lstStyle/>
          <a:p>
            <a:pPr>
              <a:defRPr sz="900">
                <a:solidFill>
                  <a:schemeClr val="tx1">
                    <a:lumMod val="65000"/>
                    <a:lumOff val="35000"/>
                  </a:schemeClr>
                </a:solidFill>
                <a:latin typeface="Century Gothic" panose="020B0502020202020204" pitchFamily="34" charset="0"/>
              </a:defRPr>
            </a:pPr>
            <a:endParaRPr lang="en-US"/>
          </a:p>
        </c:txPr>
        <c:crossAx val="246305327"/>
        <c:crosses val="autoZero"/>
        <c:crossBetween val="between"/>
      </c:valAx>
      <c:catAx>
        <c:axId val="246305327"/>
        <c:scaling>
          <c:orientation val="minMax"/>
        </c:scaling>
        <c:delete val="0"/>
        <c:axPos val="l"/>
        <c:numFmt formatCode="General" sourceLinked="1"/>
        <c:majorTickMark val="out"/>
        <c:minorTickMark val="none"/>
        <c:tickLblPos val="nextTo"/>
        <c:spPr>
          <a:ln>
            <a:solidFill>
              <a:schemeClr val="bg1">
                <a:lumMod val="85000"/>
              </a:schemeClr>
            </a:solidFill>
          </a:ln>
        </c:spPr>
        <c:txPr>
          <a:bodyPr/>
          <a:lstStyle/>
          <a:p>
            <a:pPr>
              <a:defRPr sz="900">
                <a:solidFill>
                  <a:schemeClr val="tx1">
                    <a:lumMod val="65000"/>
                    <a:lumOff val="35000"/>
                  </a:schemeClr>
                </a:solidFill>
                <a:latin typeface="Century Gothic" panose="020B0502020202020204" pitchFamily="34" charset="0"/>
              </a:defRPr>
            </a:pPr>
            <a:endParaRPr lang="en-US"/>
          </a:p>
        </c:txPr>
        <c:crossAx val="246304911"/>
        <c:crosses val="autoZero"/>
        <c:auto val="1"/>
        <c:lblAlgn val="ctr"/>
        <c:lblOffset val="100"/>
        <c:noMultiLvlLbl val="0"/>
      </c:catAx>
    </c:plotArea>
    <c:plotVisOnly val="1"/>
    <c:dispBlanksAs val="gap"/>
    <c:showDLblsOverMax val="0"/>
  </c:chart>
  <c:spPr>
    <a:ln>
      <a:noFill/>
    </a:ln>
    <a:effectLst/>
  </c:spPr>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'7B_Subbasin'!$B$27:$B$63</c:f>
              <c:strCache>
                <c:ptCount val="37"/>
                <c:pt idx="0">
                  <c:v>Imnaha</c:v>
                </c:pt>
                <c:pt idx="1">
                  <c:v>Entiat</c:v>
                </c:pt>
                <c:pt idx="2">
                  <c:v>Owyhee</c:v>
                </c:pt>
                <c:pt idx="3">
                  <c:v>Grays</c:v>
                </c:pt>
                <c:pt idx="4">
                  <c:v>Sanpoil</c:v>
                </c:pt>
                <c:pt idx="5">
                  <c:v>Elochoman</c:v>
                </c:pt>
                <c:pt idx="6">
                  <c:v>Snake Hells Canyon</c:v>
                </c:pt>
                <c:pt idx="7">
                  <c:v>Klickitat</c:v>
                </c:pt>
                <c:pt idx="8">
                  <c:v>Boise</c:v>
                </c:pt>
                <c:pt idx="9">
                  <c:v>Coeur D'Alene</c:v>
                </c:pt>
                <c:pt idx="10">
                  <c:v>Columbia Gorge</c:v>
                </c:pt>
                <c:pt idx="11">
                  <c:v>Hood</c:v>
                </c:pt>
                <c:pt idx="12">
                  <c:v>Tucannon</c:v>
                </c:pt>
                <c:pt idx="13">
                  <c:v>Spokane</c:v>
                </c:pt>
                <c:pt idx="14">
                  <c:v>Wenatchee</c:v>
                </c:pt>
                <c:pt idx="15">
                  <c:v>Okanogan</c:v>
                </c:pt>
                <c:pt idx="16">
                  <c:v>Other</c:v>
                </c:pt>
                <c:pt idx="17">
                  <c:v>Pend Oreille</c:v>
                </c:pt>
                <c:pt idx="18">
                  <c:v>Methow</c:v>
                </c:pt>
                <c:pt idx="19">
                  <c:v>Columbia Lower Middle</c:v>
                </c:pt>
                <c:pt idx="20">
                  <c:v>Snake Lower</c:v>
                </c:pt>
                <c:pt idx="21">
                  <c:v>Columbia Estuary</c:v>
                </c:pt>
                <c:pt idx="22">
                  <c:v>Deschutes</c:v>
                </c:pt>
                <c:pt idx="23">
                  <c:v>Columbia Upper</c:v>
                </c:pt>
                <c:pt idx="24">
                  <c:v>Columbia Upper Middle</c:v>
                </c:pt>
                <c:pt idx="25">
                  <c:v>John Day</c:v>
                </c:pt>
                <c:pt idx="26">
                  <c:v>Umatilla</c:v>
                </c:pt>
                <c:pt idx="27">
                  <c:v>Kootenai</c:v>
                </c:pt>
                <c:pt idx="28">
                  <c:v>Grande Ronde</c:v>
                </c:pt>
                <c:pt idx="29">
                  <c:v>Clearwater</c:v>
                </c:pt>
                <c:pt idx="30">
                  <c:v>Flathead</c:v>
                </c:pt>
                <c:pt idx="31">
                  <c:v>Salmon</c:v>
                </c:pt>
                <c:pt idx="32">
                  <c:v>Snake Upper</c:v>
                </c:pt>
                <c:pt idx="33">
                  <c:v>Walla Walla</c:v>
                </c:pt>
                <c:pt idx="34">
                  <c:v>Columbia Lower</c:v>
                </c:pt>
                <c:pt idx="35">
                  <c:v>Willamette</c:v>
                </c:pt>
                <c:pt idx="36">
                  <c:v>Yakima</c:v>
                </c:pt>
              </c:strCache>
            </c:strRef>
          </c:cat>
          <c:val>
            <c:numRef>
              <c:f>'7B_Subbasin'!$E$27:$E$63</c:f>
              <c:numCache>
                <c:formatCode>_(* #,##0_);_(* \(#,##0\);_(* "-"??_);_(@_)</c:formatCode>
                <c:ptCount val="37"/>
                <c:pt idx="0">
                  <c:v>1005211</c:v>
                </c:pt>
                <c:pt idx="1">
                  <c:v>1031908</c:v>
                </c:pt>
                <c:pt idx="2">
                  <c:v>1071241</c:v>
                </c:pt>
                <c:pt idx="3">
                  <c:v>1149467</c:v>
                </c:pt>
                <c:pt idx="4">
                  <c:v>1395903</c:v>
                </c:pt>
                <c:pt idx="5">
                  <c:v>1662018</c:v>
                </c:pt>
                <c:pt idx="6">
                  <c:v>1740550</c:v>
                </c:pt>
                <c:pt idx="7">
                  <c:v>1873494</c:v>
                </c:pt>
                <c:pt idx="8">
                  <c:v>1913479</c:v>
                </c:pt>
                <c:pt idx="9">
                  <c:v>2037737</c:v>
                </c:pt>
                <c:pt idx="10">
                  <c:v>2492464</c:v>
                </c:pt>
                <c:pt idx="11">
                  <c:v>2548483</c:v>
                </c:pt>
                <c:pt idx="12">
                  <c:v>3397606</c:v>
                </c:pt>
                <c:pt idx="13">
                  <c:v>3716621</c:v>
                </c:pt>
                <c:pt idx="14">
                  <c:v>3852114</c:v>
                </c:pt>
                <c:pt idx="15">
                  <c:v>4659063</c:v>
                </c:pt>
                <c:pt idx="16">
                  <c:v>4911421</c:v>
                </c:pt>
                <c:pt idx="17">
                  <c:v>5009376</c:v>
                </c:pt>
                <c:pt idx="18">
                  <c:v>5039328</c:v>
                </c:pt>
                <c:pt idx="19">
                  <c:v>5192557</c:v>
                </c:pt>
                <c:pt idx="20">
                  <c:v>5331360</c:v>
                </c:pt>
                <c:pt idx="21">
                  <c:v>5581433</c:v>
                </c:pt>
                <c:pt idx="22">
                  <c:v>5710500</c:v>
                </c:pt>
                <c:pt idx="23">
                  <c:v>6000359</c:v>
                </c:pt>
                <c:pt idx="24">
                  <c:v>6169855</c:v>
                </c:pt>
                <c:pt idx="25">
                  <c:v>8408978</c:v>
                </c:pt>
                <c:pt idx="26">
                  <c:v>9193512</c:v>
                </c:pt>
                <c:pt idx="27">
                  <c:v>10319617</c:v>
                </c:pt>
                <c:pt idx="28">
                  <c:v>12709844</c:v>
                </c:pt>
                <c:pt idx="29">
                  <c:v>13051782</c:v>
                </c:pt>
                <c:pt idx="30">
                  <c:v>13056230</c:v>
                </c:pt>
                <c:pt idx="31">
                  <c:v>14633601</c:v>
                </c:pt>
                <c:pt idx="32">
                  <c:v>14689312</c:v>
                </c:pt>
                <c:pt idx="33">
                  <c:v>14853092</c:v>
                </c:pt>
                <c:pt idx="34">
                  <c:v>16049035</c:v>
                </c:pt>
                <c:pt idx="35">
                  <c:v>19305375</c:v>
                </c:pt>
                <c:pt idx="36">
                  <c:v>20407286</c:v>
                </c:pt>
              </c:numCache>
            </c:numRef>
          </c:val>
          <c:extLst>
            <c:ext xmlns:c16="http://schemas.microsoft.com/office/drawing/2014/chart" uri="{C3380CC4-5D6E-409C-BE32-E72D297353CC}">
              <c16:uniqueId val="{00000000-3C35-469A-9BA5-CF3170D51A4C}"/>
            </c:ext>
          </c:extLst>
        </c:ser>
        <c:dLbls>
          <c:showLegendKey val="0"/>
          <c:showVal val="0"/>
          <c:showCatName val="0"/>
          <c:showSerName val="0"/>
          <c:showPercent val="0"/>
          <c:showBubbleSize val="0"/>
        </c:dLbls>
        <c:gapWidth val="182"/>
        <c:axId val="661650936"/>
        <c:axId val="661651264"/>
      </c:barChart>
      <c:catAx>
        <c:axId val="6616509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61651264"/>
        <c:crosses val="autoZero"/>
        <c:auto val="1"/>
        <c:lblAlgn val="ctr"/>
        <c:lblOffset val="100"/>
        <c:noMultiLvlLbl val="0"/>
      </c:catAx>
      <c:valAx>
        <c:axId val="661651264"/>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quot;mil&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616509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'9_Contractor'!$B$83:$B$115</c:f>
              <c:strCache>
                <c:ptCount val="33"/>
                <c:pt idx="0">
                  <c:v>Federal: BPA Overhead (&amp; Non-Contracted Project expenses)</c:v>
                </c:pt>
                <c:pt idx="1">
                  <c:v>Federal: National Marine Fisheries</c:v>
                </c:pt>
                <c:pt idx="2">
                  <c:v>Federal: US Army Corps of Engineers</c:v>
                </c:pt>
                <c:pt idx="3">
                  <c:v>Federal: US Forest Service</c:v>
                </c:pt>
                <c:pt idx="4">
                  <c:v>Federal: US Geological Survey</c:v>
                </c:pt>
                <c:pt idx="5">
                  <c:v>Federal: US Bureau of Reclamation</c:v>
                </c:pt>
                <c:pt idx="6">
                  <c:v>Federal: Other</c:v>
                </c:pt>
                <c:pt idx="7">
                  <c:v>State: Oregon Department of Fish &amp; Wildlife</c:v>
                </c:pt>
                <c:pt idx="8">
                  <c:v>State: Idaho Department of Fish &amp; Wildlife</c:v>
                </c:pt>
                <c:pt idx="9">
                  <c:v>State: Washington Department of Fish &amp; Wildlife</c:v>
                </c:pt>
                <c:pt idx="10">
                  <c:v>State: Idaho State Office of Species Conservation</c:v>
                </c:pt>
                <c:pt idx="11">
                  <c:v>State: Montana Fish, Wildlife And Parks</c:v>
                </c:pt>
                <c:pt idx="12">
                  <c:v>Tribe: Yakama Confederated Tribes</c:v>
                </c:pt>
                <c:pt idx="13">
                  <c:v>Tribe: Umatilla Confederated Tribes</c:v>
                </c:pt>
                <c:pt idx="14">
                  <c:v>Tribe: Nez Perce Tribe</c:v>
                </c:pt>
                <c:pt idx="15">
                  <c:v>Tribe: Colville Confederated Tribes</c:v>
                </c:pt>
                <c:pt idx="16">
                  <c:v>Tribe: Kootenai Tribe</c:v>
                </c:pt>
                <c:pt idx="17">
                  <c:v>Tribe: Columbia River Intertribal Fish Commission</c:v>
                </c:pt>
                <c:pt idx="18">
                  <c:v>Tribe: Confederated Tribes of Warm Springs</c:v>
                </c:pt>
                <c:pt idx="19">
                  <c:v>Tribe: Shoshone-Bannock Tribes</c:v>
                </c:pt>
                <c:pt idx="20">
                  <c:v>Tribe: Spokane Tribe of Indians</c:v>
                </c:pt>
                <c:pt idx="21">
                  <c:v>Tribe: Kalispel Tribe of Indians</c:v>
                </c:pt>
                <c:pt idx="22">
                  <c:v>Tribe: Coeur D'Alene Tribe of Idaho</c:v>
                </c:pt>
                <c:pt idx="23">
                  <c:v>Tribe: Salish-Kootenai Tribes</c:v>
                </c:pt>
                <c:pt idx="24">
                  <c:v>Tribe: Shoshone-Paiute Tribes</c:v>
                </c:pt>
                <c:pt idx="25">
                  <c:v>Tribe: Other</c:v>
                </c:pt>
                <c:pt idx="26">
                  <c:v>Interstate: Pacific States Marine Fisheries Commission</c:v>
                </c:pt>
                <c:pt idx="27">
                  <c:v>University</c:v>
                </c:pt>
                <c:pt idx="28">
                  <c:v>Other: Private/Non-Profit/Other</c:v>
                </c:pt>
                <c:pt idx="29">
                  <c:v>Other: Land Acquisitions</c:v>
                </c:pt>
                <c:pt idx="30">
                  <c:v>Other: Local/Semi Government</c:v>
                </c:pt>
                <c:pt idx="31">
                  <c:v>Other: National Fish &amp; Wildlife Foundation</c:v>
                </c:pt>
                <c:pt idx="32">
                  <c:v>Other: Utility</c:v>
                </c:pt>
              </c:strCache>
            </c:strRef>
          </c:cat>
          <c:val>
            <c:numRef>
              <c:f>'10_Contractor'!#REF!</c:f>
              <c:numCache>
                <c:formatCode>General</c:formatCode>
                <c:ptCount val="1"/>
                <c:pt idx="0">
                  <c:v>1</c:v>
                </c:pt>
              </c:numCache>
            </c:numRef>
          </c:val>
          <c:extLst>
            <c:ext xmlns:c16="http://schemas.microsoft.com/office/drawing/2014/chart" uri="{C3380CC4-5D6E-409C-BE32-E72D297353CC}">
              <c16:uniqueId val="{00000000-ABC7-4D9D-AA9B-3B928F48D1DC}"/>
            </c:ext>
          </c:extLst>
        </c:ser>
        <c:ser>
          <c:idx val="1"/>
          <c:order val="1"/>
          <c:spPr>
            <a:solidFill>
              <a:schemeClr val="accent2"/>
            </a:solidFill>
            <a:ln>
              <a:noFill/>
            </a:ln>
            <a:effectLst/>
          </c:spPr>
          <c:invertIfNegative val="0"/>
          <c:dPt>
            <c:idx val="6"/>
            <c:invertIfNegative val="0"/>
            <c:bubble3D val="0"/>
            <c:spPr>
              <a:solidFill>
                <a:srgbClr val="C0504D"/>
              </a:solidFill>
              <a:ln>
                <a:noFill/>
              </a:ln>
              <a:effectLst/>
            </c:spPr>
            <c:extLst>
              <c:ext xmlns:c16="http://schemas.microsoft.com/office/drawing/2014/chart" uri="{C3380CC4-5D6E-409C-BE32-E72D297353CC}">
                <c16:uniqueId val="{00000002-ABC7-4D9D-AA9B-3B928F48D1DC}"/>
              </c:ext>
            </c:extLst>
          </c:dPt>
          <c:dPt>
            <c:idx val="7"/>
            <c:invertIfNegative val="0"/>
            <c:bubble3D val="0"/>
            <c:spPr>
              <a:solidFill>
                <a:srgbClr val="9AB9D2"/>
              </a:solidFill>
              <a:ln>
                <a:noFill/>
              </a:ln>
              <a:effectLst/>
            </c:spPr>
            <c:extLst>
              <c:ext xmlns:c16="http://schemas.microsoft.com/office/drawing/2014/chart" uri="{C3380CC4-5D6E-409C-BE32-E72D297353CC}">
                <c16:uniqueId val="{00000004-ABC7-4D9D-AA9B-3B928F48D1DC}"/>
              </c:ext>
            </c:extLst>
          </c:dPt>
          <c:dPt>
            <c:idx val="8"/>
            <c:invertIfNegative val="0"/>
            <c:bubble3D val="0"/>
            <c:spPr>
              <a:solidFill>
                <a:srgbClr val="9AB9D2"/>
              </a:solidFill>
              <a:ln>
                <a:noFill/>
              </a:ln>
              <a:effectLst/>
            </c:spPr>
            <c:extLst>
              <c:ext xmlns:c16="http://schemas.microsoft.com/office/drawing/2014/chart" uri="{C3380CC4-5D6E-409C-BE32-E72D297353CC}">
                <c16:uniqueId val="{00000006-ABC7-4D9D-AA9B-3B928F48D1DC}"/>
              </c:ext>
            </c:extLst>
          </c:dPt>
          <c:dPt>
            <c:idx val="9"/>
            <c:invertIfNegative val="0"/>
            <c:bubble3D val="0"/>
            <c:spPr>
              <a:solidFill>
                <a:srgbClr val="9AB9D2"/>
              </a:solidFill>
              <a:ln>
                <a:noFill/>
              </a:ln>
              <a:effectLst/>
            </c:spPr>
            <c:extLst>
              <c:ext xmlns:c16="http://schemas.microsoft.com/office/drawing/2014/chart" uri="{C3380CC4-5D6E-409C-BE32-E72D297353CC}">
                <c16:uniqueId val="{00000008-ABC7-4D9D-AA9B-3B928F48D1DC}"/>
              </c:ext>
            </c:extLst>
          </c:dPt>
          <c:dPt>
            <c:idx val="10"/>
            <c:invertIfNegative val="0"/>
            <c:bubble3D val="0"/>
            <c:spPr>
              <a:solidFill>
                <a:srgbClr val="9AB9D2"/>
              </a:solidFill>
              <a:ln>
                <a:noFill/>
              </a:ln>
              <a:effectLst/>
            </c:spPr>
            <c:extLst>
              <c:ext xmlns:c16="http://schemas.microsoft.com/office/drawing/2014/chart" uri="{C3380CC4-5D6E-409C-BE32-E72D297353CC}">
                <c16:uniqueId val="{0000000A-ABC7-4D9D-AA9B-3B928F48D1DC}"/>
              </c:ext>
            </c:extLst>
          </c:dPt>
          <c:dPt>
            <c:idx val="11"/>
            <c:invertIfNegative val="0"/>
            <c:bubble3D val="0"/>
            <c:spPr>
              <a:solidFill>
                <a:srgbClr val="9AB9D2"/>
              </a:solidFill>
              <a:ln>
                <a:noFill/>
              </a:ln>
              <a:effectLst/>
            </c:spPr>
            <c:extLst>
              <c:ext xmlns:c16="http://schemas.microsoft.com/office/drawing/2014/chart" uri="{C3380CC4-5D6E-409C-BE32-E72D297353CC}">
                <c16:uniqueId val="{0000000C-ABC7-4D9D-AA9B-3B928F48D1DC}"/>
              </c:ext>
            </c:extLst>
          </c:dPt>
          <c:dPt>
            <c:idx val="12"/>
            <c:invertIfNegative val="0"/>
            <c:bubble3D val="0"/>
            <c:spPr>
              <a:solidFill>
                <a:srgbClr val="C3D69B"/>
              </a:solidFill>
              <a:ln>
                <a:noFill/>
              </a:ln>
              <a:effectLst/>
            </c:spPr>
            <c:extLst>
              <c:ext xmlns:c16="http://schemas.microsoft.com/office/drawing/2014/chart" uri="{C3380CC4-5D6E-409C-BE32-E72D297353CC}">
                <c16:uniqueId val="{0000000E-ABC7-4D9D-AA9B-3B928F48D1DC}"/>
              </c:ext>
            </c:extLst>
          </c:dPt>
          <c:dPt>
            <c:idx val="1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0-ABC7-4D9D-AA9B-3B928F48D1DC}"/>
              </c:ext>
            </c:extLst>
          </c:dPt>
          <c:dPt>
            <c:idx val="14"/>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2-ABC7-4D9D-AA9B-3B928F48D1DC}"/>
              </c:ext>
            </c:extLst>
          </c:dPt>
          <c:dPt>
            <c:idx val="15"/>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4-ABC7-4D9D-AA9B-3B928F48D1DC}"/>
              </c:ext>
            </c:extLst>
          </c:dPt>
          <c:dPt>
            <c:idx val="16"/>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6-ABC7-4D9D-AA9B-3B928F48D1DC}"/>
              </c:ext>
            </c:extLst>
          </c:dPt>
          <c:dPt>
            <c:idx val="17"/>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8-ABC7-4D9D-AA9B-3B928F48D1DC}"/>
              </c:ext>
            </c:extLst>
          </c:dPt>
          <c:dPt>
            <c:idx val="18"/>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A-ABC7-4D9D-AA9B-3B928F48D1DC}"/>
              </c:ext>
            </c:extLst>
          </c:dPt>
          <c:dPt>
            <c:idx val="19"/>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C-ABC7-4D9D-AA9B-3B928F48D1DC}"/>
              </c:ext>
            </c:extLst>
          </c:dPt>
          <c:dPt>
            <c:idx val="20"/>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E-ABC7-4D9D-AA9B-3B928F48D1DC}"/>
              </c:ext>
            </c:extLst>
          </c:dPt>
          <c:dPt>
            <c:idx val="2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20-ABC7-4D9D-AA9B-3B928F48D1DC}"/>
              </c:ext>
            </c:extLst>
          </c:dPt>
          <c:dPt>
            <c:idx val="2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22-ABC7-4D9D-AA9B-3B928F48D1DC}"/>
              </c:ext>
            </c:extLst>
          </c:dPt>
          <c:dPt>
            <c:idx val="2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24-ABC7-4D9D-AA9B-3B928F48D1DC}"/>
              </c:ext>
            </c:extLst>
          </c:dPt>
          <c:dPt>
            <c:idx val="24"/>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26-ABC7-4D9D-AA9B-3B928F48D1DC}"/>
              </c:ext>
            </c:extLst>
          </c:dPt>
          <c:dPt>
            <c:idx val="25"/>
            <c:invertIfNegative val="0"/>
            <c:bubble3D val="0"/>
            <c:spPr>
              <a:solidFill>
                <a:srgbClr val="C3D69B"/>
              </a:solidFill>
              <a:ln>
                <a:noFill/>
              </a:ln>
              <a:effectLst/>
            </c:spPr>
            <c:extLst>
              <c:ext xmlns:c16="http://schemas.microsoft.com/office/drawing/2014/chart" uri="{C3380CC4-5D6E-409C-BE32-E72D297353CC}">
                <c16:uniqueId val="{00000028-ABC7-4D9D-AA9B-3B928F48D1DC}"/>
              </c:ext>
            </c:extLst>
          </c:dPt>
          <c:dPt>
            <c:idx val="26"/>
            <c:invertIfNegative val="0"/>
            <c:bubble3D val="0"/>
            <c:spPr>
              <a:solidFill>
                <a:srgbClr val="8064A2"/>
              </a:solidFill>
              <a:ln>
                <a:noFill/>
              </a:ln>
              <a:effectLst/>
            </c:spPr>
            <c:extLst>
              <c:ext xmlns:c16="http://schemas.microsoft.com/office/drawing/2014/chart" uri="{C3380CC4-5D6E-409C-BE32-E72D297353CC}">
                <c16:uniqueId val="{0000002A-ABC7-4D9D-AA9B-3B928F48D1DC}"/>
              </c:ext>
            </c:extLst>
          </c:dPt>
          <c:dPt>
            <c:idx val="27"/>
            <c:invertIfNegative val="0"/>
            <c:bubble3D val="0"/>
            <c:spPr>
              <a:solidFill>
                <a:srgbClr val="FFC000"/>
              </a:solidFill>
              <a:ln>
                <a:noFill/>
              </a:ln>
              <a:effectLst/>
            </c:spPr>
            <c:extLst>
              <c:ext xmlns:c16="http://schemas.microsoft.com/office/drawing/2014/chart" uri="{C3380CC4-5D6E-409C-BE32-E72D297353CC}">
                <c16:uniqueId val="{0000002C-ABC7-4D9D-AA9B-3B928F48D1DC}"/>
              </c:ext>
            </c:extLst>
          </c:dPt>
          <c:dPt>
            <c:idx val="28"/>
            <c:invertIfNegative val="0"/>
            <c:bubble3D val="0"/>
            <c:spPr>
              <a:solidFill>
                <a:schemeClr val="bg1">
                  <a:lumMod val="65000"/>
                </a:schemeClr>
              </a:solidFill>
              <a:ln>
                <a:noFill/>
              </a:ln>
              <a:effectLst/>
            </c:spPr>
            <c:extLst>
              <c:ext xmlns:c16="http://schemas.microsoft.com/office/drawing/2014/chart" uri="{C3380CC4-5D6E-409C-BE32-E72D297353CC}">
                <c16:uniqueId val="{0000002E-ABC7-4D9D-AA9B-3B928F48D1DC}"/>
              </c:ext>
            </c:extLst>
          </c:dPt>
          <c:dPt>
            <c:idx val="29"/>
            <c:invertIfNegative val="0"/>
            <c:bubble3D val="0"/>
            <c:spPr>
              <a:solidFill>
                <a:schemeClr val="bg1">
                  <a:lumMod val="65000"/>
                </a:schemeClr>
              </a:solidFill>
              <a:ln>
                <a:noFill/>
              </a:ln>
              <a:effectLst/>
            </c:spPr>
            <c:extLst>
              <c:ext xmlns:c16="http://schemas.microsoft.com/office/drawing/2014/chart" uri="{C3380CC4-5D6E-409C-BE32-E72D297353CC}">
                <c16:uniqueId val="{00000030-ABC7-4D9D-AA9B-3B928F48D1DC}"/>
              </c:ext>
            </c:extLst>
          </c:dPt>
          <c:dPt>
            <c:idx val="30"/>
            <c:invertIfNegative val="0"/>
            <c:bubble3D val="0"/>
            <c:spPr>
              <a:solidFill>
                <a:schemeClr val="bg1">
                  <a:lumMod val="65000"/>
                </a:schemeClr>
              </a:solidFill>
              <a:ln>
                <a:noFill/>
              </a:ln>
              <a:effectLst/>
            </c:spPr>
            <c:extLst>
              <c:ext xmlns:c16="http://schemas.microsoft.com/office/drawing/2014/chart" uri="{C3380CC4-5D6E-409C-BE32-E72D297353CC}">
                <c16:uniqueId val="{00000032-ABC7-4D9D-AA9B-3B928F48D1DC}"/>
              </c:ext>
            </c:extLst>
          </c:dPt>
          <c:dPt>
            <c:idx val="31"/>
            <c:invertIfNegative val="0"/>
            <c:bubble3D val="0"/>
            <c:spPr>
              <a:solidFill>
                <a:schemeClr val="bg1">
                  <a:lumMod val="65000"/>
                </a:schemeClr>
              </a:solidFill>
              <a:ln>
                <a:noFill/>
              </a:ln>
              <a:effectLst/>
            </c:spPr>
            <c:extLst>
              <c:ext xmlns:c16="http://schemas.microsoft.com/office/drawing/2014/chart" uri="{C3380CC4-5D6E-409C-BE32-E72D297353CC}">
                <c16:uniqueId val="{00000034-ABC7-4D9D-AA9B-3B928F48D1DC}"/>
              </c:ext>
            </c:extLst>
          </c:dPt>
          <c:dPt>
            <c:idx val="32"/>
            <c:invertIfNegative val="0"/>
            <c:bubble3D val="0"/>
            <c:spPr>
              <a:solidFill>
                <a:schemeClr val="bg1">
                  <a:lumMod val="65000"/>
                </a:schemeClr>
              </a:solidFill>
              <a:ln>
                <a:noFill/>
              </a:ln>
              <a:effectLst/>
            </c:spPr>
            <c:extLst>
              <c:ext xmlns:c16="http://schemas.microsoft.com/office/drawing/2014/chart" uri="{C3380CC4-5D6E-409C-BE32-E72D297353CC}">
                <c16:uniqueId val="{00000036-ABC7-4D9D-AA9B-3B928F48D1DC}"/>
              </c:ext>
            </c:extLst>
          </c:dPt>
          <c:cat>
            <c:strRef>
              <c:f>'9_Contractor'!$B$83:$B$115</c:f>
              <c:strCache>
                <c:ptCount val="33"/>
                <c:pt idx="0">
                  <c:v>Federal: BPA Overhead (&amp; Non-Contracted Project expenses)</c:v>
                </c:pt>
                <c:pt idx="1">
                  <c:v>Federal: National Marine Fisheries</c:v>
                </c:pt>
                <c:pt idx="2">
                  <c:v>Federal: US Army Corps of Engineers</c:v>
                </c:pt>
                <c:pt idx="3">
                  <c:v>Federal: US Forest Service</c:v>
                </c:pt>
                <c:pt idx="4">
                  <c:v>Federal: US Geological Survey</c:v>
                </c:pt>
                <c:pt idx="5">
                  <c:v>Federal: US Bureau of Reclamation</c:v>
                </c:pt>
                <c:pt idx="6">
                  <c:v>Federal: Other</c:v>
                </c:pt>
                <c:pt idx="7">
                  <c:v>State: Oregon Department of Fish &amp; Wildlife</c:v>
                </c:pt>
                <c:pt idx="8">
                  <c:v>State: Idaho Department of Fish &amp; Wildlife</c:v>
                </c:pt>
                <c:pt idx="9">
                  <c:v>State: Washington Department of Fish &amp; Wildlife</c:v>
                </c:pt>
                <c:pt idx="10">
                  <c:v>State: Idaho State Office of Species Conservation</c:v>
                </c:pt>
                <c:pt idx="11">
                  <c:v>State: Montana Fish, Wildlife And Parks</c:v>
                </c:pt>
                <c:pt idx="12">
                  <c:v>Tribe: Yakama Confederated Tribes</c:v>
                </c:pt>
                <c:pt idx="13">
                  <c:v>Tribe: Umatilla Confederated Tribes</c:v>
                </c:pt>
                <c:pt idx="14">
                  <c:v>Tribe: Nez Perce Tribe</c:v>
                </c:pt>
                <c:pt idx="15">
                  <c:v>Tribe: Colville Confederated Tribes</c:v>
                </c:pt>
                <c:pt idx="16">
                  <c:v>Tribe: Kootenai Tribe</c:v>
                </c:pt>
                <c:pt idx="17">
                  <c:v>Tribe: Columbia River Intertribal Fish Commission</c:v>
                </c:pt>
                <c:pt idx="18">
                  <c:v>Tribe: Confederated Tribes of Warm Springs</c:v>
                </c:pt>
                <c:pt idx="19">
                  <c:v>Tribe: Shoshone-Bannock Tribes</c:v>
                </c:pt>
                <c:pt idx="20">
                  <c:v>Tribe: Spokane Tribe of Indians</c:v>
                </c:pt>
                <c:pt idx="21">
                  <c:v>Tribe: Kalispel Tribe of Indians</c:v>
                </c:pt>
                <c:pt idx="22">
                  <c:v>Tribe: Coeur D'Alene Tribe of Idaho</c:v>
                </c:pt>
                <c:pt idx="23">
                  <c:v>Tribe: Salish-Kootenai Tribes</c:v>
                </c:pt>
                <c:pt idx="24">
                  <c:v>Tribe: Shoshone-Paiute Tribes</c:v>
                </c:pt>
                <c:pt idx="25">
                  <c:v>Tribe: Other</c:v>
                </c:pt>
                <c:pt idx="26">
                  <c:v>Interstate: Pacific States Marine Fisheries Commission</c:v>
                </c:pt>
                <c:pt idx="27">
                  <c:v>University</c:v>
                </c:pt>
                <c:pt idx="28">
                  <c:v>Other: Private/Non-Profit/Other</c:v>
                </c:pt>
                <c:pt idx="29">
                  <c:v>Other: Land Acquisitions</c:v>
                </c:pt>
                <c:pt idx="30">
                  <c:v>Other: Local/Semi Government</c:v>
                </c:pt>
                <c:pt idx="31">
                  <c:v>Other: National Fish &amp; Wildlife Foundation</c:v>
                </c:pt>
                <c:pt idx="32">
                  <c:v>Other: Utility</c:v>
                </c:pt>
              </c:strCache>
            </c:strRef>
          </c:cat>
          <c:val>
            <c:numRef>
              <c:f>'9_Contractor'!$C$83:$C$115</c:f>
              <c:numCache>
                <c:formatCode>"$"#,##0</c:formatCode>
                <c:ptCount val="33"/>
                <c:pt idx="0">
                  <c:v>16332918.360000001</c:v>
                </c:pt>
                <c:pt idx="1">
                  <c:v>6918081.5200000014</c:v>
                </c:pt>
                <c:pt idx="2">
                  <c:v>2322393.5100000007</c:v>
                </c:pt>
                <c:pt idx="3">
                  <c:v>1972918.5199999996</c:v>
                </c:pt>
                <c:pt idx="4">
                  <c:v>1013255.5699999998</c:v>
                </c:pt>
                <c:pt idx="5">
                  <c:v>661454.89000000013</c:v>
                </c:pt>
                <c:pt idx="6">
                  <c:v>307567</c:v>
                </c:pt>
                <c:pt idx="7">
                  <c:v>13020713</c:v>
                </c:pt>
                <c:pt idx="8">
                  <c:v>12697808</c:v>
                </c:pt>
                <c:pt idx="9">
                  <c:v>12161212</c:v>
                </c:pt>
                <c:pt idx="10">
                  <c:v>3309193</c:v>
                </c:pt>
                <c:pt idx="11">
                  <c:v>2402503</c:v>
                </c:pt>
                <c:pt idx="12">
                  <c:v>25502528.089999992</c:v>
                </c:pt>
                <c:pt idx="13">
                  <c:v>19209106.000000004</c:v>
                </c:pt>
                <c:pt idx="14">
                  <c:v>15683579.810000001</c:v>
                </c:pt>
                <c:pt idx="15">
                  <c:v>13837756.299999995</c:v>
                </c:pt>
                <c:pt idx="16">
                  <c:v>9936263.2300000004</c:v>
                </c:pt>
                <c:pt idx="17">
                  <c:v>9239916</c:v>
                </c:pt>
                <c:pt idx="18">
                  <c:v>6178473.4800000004</c:v>
                </c:pt>
                <c:pt idx="19">
                  <c:v>6080797.4800000004</c:v>
                </c:pt>
                <c:pt idx="20">
                  <c:v>4535506.05</c:v>
                </c:pt>
                <c:pt idx="21">
                  <c:v>3834949.34</c:v>
                </c:pt>
                <c:pt idx="22">
                  <c:v>2810591</c:v>
                </c:pt>
                <c:pt idx="23">
                  <c:v>1223514.2299999997</c:v>
                </c:pt>
                <c:pt idx="24">
                  <c:v>1083954.03</c:v>
                </c:pt>
                <c:pt idx="25">
                  <c:v>2122648</c:v>
                </c:pt>
                <c:pt idx="26">
                  <c:v>14429786</c:v>
                </c:pt>
                <c:pt idx="27">
                  <c:v>2985133</c:v>
                </c:pt>
                <c:pt idx="28">
                  <c:v>38993432</c:v>
                </c:pt>
                <c:pt idx="29">
                  <c:v>21559373</c:v>
                </c:pt>
                <c:pt idx="30">
                  <c:v>5186211</c:v>
                </c:pt>
                <c:pt idx="31">
                  <c:v>3976707</c:v>
                </c:pt>
                <c:pt idx="32">
                  <c:v>2866184</c:v>
                </c:pt>
              </c:numCache>
            </c:numRef>
          </c:val>
          <c:extLst>
            <c:ext xmlns:c16="http://schemas.microsoft.com/office/drawing/2014/chart" uri="{C3380CC4-5D6E-409C-BE32-E72D297353CC}">
              <c16:uniqueId val="{00000037-ABC7-4D9D-AA9B-3B928F48D1DC}"/>
            </c:ext>
          </c:extLst>
        </c:ser>
        <c:dLbls>
          <c:showLegendKey val="0"/>
          <c:showVal val="0"/>
          <c:showCatName val="0"/>
          <c:showSerName val="0"/>
          <c:showPercent val="0"/>
          <c:showBubbleSize val="0"/>
        </c:dLbls>
        <c:gapWidth val="0"/>
        <c:overlap val="32"/>
        <c:axId val="483680552"/>
        <c:axId val="483680944"/>
      </c:barChart>
      <c:catAx>
        <c:axId val="4836805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0944"/>
        <c:crosses val="autoZero"/>
        <c:auto val="1"/>
        <c:lblAlgn val="ctr"/>
        <c:lblOffset val="100"/>
        <c:noMultiLvlLbl val="0"/>
      </c:catAx>
      <c:valAx>
        <c:axId val="483680944"/>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quot;mil&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05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775091735066594"/>
          <c:y val="1.1144733600781059E-2"/>
          <c:w val="0.59880164245374745"/>
          <c:h val="0.94507048763721402"/>
        </c:manualLayout>
      </c:layout>
      <c:barChart>
        <c:barDir val="bar"/>
        <c:grouping val="stacked"/>
        <c:varyColors val="0"/>
        <c:ser>
          <c:idx val="0"/>
          <c:order val="0"/>
          <c:spPr>
            <a:effectLst>
              <a:outerShdw blurRad="50800" dist="38100" dir="5400000" algn="t" rotWithShape="0">
                <a:prstClr val="black">
                  <a:alpha val="40000"/>
                </a:prstClr>
              </a:outerShdw>
            </a:effectLst>
          </c:spPr>
          <c:invertIfNegative val="0"/>
          <c:cat>
            <c:strRef>
              <c:f>'10_LandPurchases'!$A$33:$A$38</c:f>
              <c:strCache>
                <c:ptCount val="6"/>
                <c:pt idx="0">
                  <c:v>Salish and Kootenai Confederated Tribes</c:v>
                </c:pt>
                <c:pt idx="1">
                  <c:v>Idaho Department of Fish and Game (IDFG)</c:v>
                </c:pt>
                <c:pt idx="2">
                  <c:v>Oregon Department Of Fish and Wildlife (ODFW)</c:v>
                </c:pt>
                <c:pt idx="3">
                  <c:v>Confederated Tribes of the Warm Springs</c:v>
                </c:pt>
                <c:pt idx="4">
                  <c:v>Colville Confederated Tribes</c:v>
                </c:pt>
                <c:pt idx="5">
                  <c:v>Columbia Land Trust</c:v>
                </c:pt>
              </c:strCache>
            </c:strRef>
          </c:cat>
          <c:val>
            <c:numRef>
              <c:f>'10_LandPurchases'!$B$33:$B$38</c:f>
              <c:numCache>
                <c:formatCode>"$"#,##0</c:formatCode>
                <c:ptCount val="6"/>
                <c:pt idx="0">
                  <c:v>10320000</c:v>
                </c:pt>
                <c:pt idx="1">
                  <c:v>8533771.6500000004</c:v>
                </c:pt>
                <c:pt idx="2">
                  <c:v>2173554</c:v>
                </c:pt>
                <c:pt idx="3">
                  <c:v>227790</c:v>
                </c:pt>
                <c:pt idx="4">
                  <c:v>212725</c:v>
                </c:pt>
                <c:pt idx="5">
                  <c:v>84663.38</c:v>
                </c:pt>
              </c:numCache>
            </c:numRef>
          </c:val>
          <c:extLst>
            <c:ext xmlns:c16="http://schemas.microsoft.com/office/drawing/2014/chart" uri="{C3380CC4-5D6E-409C-BE32-E72D297353CC}">
              <c16:uniqueId val="{00000000-F94D-4F3D-9B49-91469C917D6C}"/>
            </c:ext>
          </c:extLst>
        </c:ser>
        <c:dLbls>
          <c:showLegendKey val="0"/>
          <c:showVal val="0"/>
          <c:showCatName val="0"/>
          <c:showSerName val="0"/>
          <c:showPercent val="0"/>
          <c:showBubbleSize val="0"/>
        </c:dLbls>
        <c:gapWidth val="76"/>
        <c:overlap val="100"/>
        <c:axId val="483681728"/>
        <c:axId val="483682120"/>
      </c:barChart>
      <c:catAx>
        <c:axId val="483681728"/>
        <c:scaling>
          <c:orientation val="maxMin"/>
        </c:scaling>
        <c:delete val="0"/>
        <c:axPos val="l"/>
        <c:numFmt formatCode="General" sourceLinked="0"/>
        <c:majorTickMark val="out"/>
        <c:minorTickMark val="none"/>
        <c:tickLblPos val="nextTo"/>
        <c:txPr>
          <a:bodyPr rot="0" vert="horz" anchor="ctr" anchorCtr="1"/>
          <a:lstStyle/>
          <a:p>
            <a:pPr>
              <a:defRPr sz="1050">
                <a:solidFill>
                  <a:schemeClr val="bg1">
                    <a:lumMod val="50000"/>
                  </a:schemeClr>
                </a:solidFill>
                <a:latin typeface="Century Gothic" pitchFamily="34" charset="0"/>
              </a:defRPr>
            </a:pPr>
            <a:endParaRPr lang="en-US"/>
          </a:p>
        </c:txPr>
        <c:crossAx val="483682120"/>
        <c:crosses val="autoZero"/>
        <c:auto val="1"/>
        <c:lblAlgn val="ctr"/>
        <c:lblOffset val="100"/>
        <c:noMultiLvlLbl val="0"/>
      </c:catAx>
      <c:valAx>
        <c:axId val="483682120"/>
        <c:scaling>
          <c:orientation val="minMax"/>
        </c:scaling>
        <c:delete val="0"/>
        <c:axPos val="t"/>
        <c:majorGridlines>
          <c:spPr>
            <a:ln>
              <a:solidFill>
                <a:schemeClr val="bg1">
                  <a:lumMod val="65000"/>
                </a:schemeClr>
              </a:solidFill>
            </a:ln>
          </c:spPr>
        </c:majorGridlines>
        <c:numFmt formatCode="&quot;$&quot;#0,,\ &quot;mil&quot;" sourceLinked="0"/>
        <c:majorTickMark val="out"/>
        <c:minorTickMark val="none"/>
        <c:tickLblPos val="nextTo"/>
        <c:spPr>
          <a:ln>
            <a:solidFill>
              <a:schemeClr val="bg1">
                <a:lumMod val="65000"/>
              </a:schemeClr>
            </a:solidFill>
          </a:ln>
        </c:spPr>
        <c:txPr>
          <a:bodyPr/>
          <a:lstStyle/>
          <a:p>
            <a:pPr>
              <a:defRPr sz="1050">
                <a:solidFill>
                  <a:schemeClr val="bg1">
                    <a:lumMod val="50000"/>
                  </a:schemeClr>
                </a:solidFill>
                <a:latin typeface="Century Gothic" pitchFamily="34" charset="0"/>
              </a:defRPr>
            </a:pPr>
            <a:endParaRPr lang="en-US"/>
          </a:p>
        </c:txPr>
        <c:crossAx val="483681728"/>
        <c:crosses val="autoZero"/>
        <c:crossBetween val="between"/>
      </c:valAx>
      <c:spPr>
        <a:ln>
          <a:solidFill>
            <a:sysClr val="window" lastClr="FFFFFF">
              <a:lumMod val="65000"/>
            </a:sysClr>
          </a:solidFill>
        </a:ln>
      </c:spPr>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78567379319038"/>
          <c:y val="3.5859820700896494E-2"/>
          <c:w val="0.7065669533049459"/>
          <c:h val="0.86161656411805998"/>
        </c:manualLayout>
      </c:layout>
      <c:areaChart>
        <c:grouping val="stacked"/>
        <c:varyColors val="0"/>
        <c:ser>
          <c:idx val="0"/>
          <c:order val="0"/>
          <c:tx>
            <c:strRef>
              <c:f>NA_Cumulative!$A$6</c:f>
              <c:strCache>
                <c:ptCount val="1"/>
                <c:pt idx="0">
                  <c:v>Power Purchases</c:v>
                </c:pt>
              </c:strCache>
            </c:strRef>
          </c:tx>
          <c:spPr>
            <a:solidFill>
              <a:srgbClr val="4F81BD"/>
            </a:solidFill>
            <a:ln>
              <a:noFill/>
            </a:ln>
            <a:effectLst/>
          </c:spPr>
          <c:cat>
            <c:numRef>
              <c:f>NA_Cumulative!$C$5:$AN$5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NA_Cumulative!$C$6:$AN$6</c:f>
              <c:numCache>
                <c:formatCode>_(* #,##0.0_);_(* \(#,##0.0\);_(* "-"??_);_(@_)</c:formatCode>
                <c:ptCount val="38"/>
                <c:pt idx="0">
                  <c:v>0</c:v>
                </c:pt>
                <c:pt idx="1">
                  <c:v>0</c:v>
                </c:pt>
                <c:pt idx="2">
                  <c:v>0</c:v>
                </c:pt>
                <c:pt idx="3">
                  <c:v>12</c:v>
                </c:pt>
                <c:pt idx="4">
                  <c:v>29</c:v>
                </c:pt>
                <c:pt idx="5">
                  <c:v>103</c:v>
                </c:pt>
                <c:pt idx="6">
                  <c:v>114</c:v>
                </c:pt>
                <c:pt idx="7">
                  <c:v>154</c:v>
                </c:pt>
                <c:pt idx="8">
                  <c:v>194</c:v>
                </c:pt>
                <c:pt idx="9">
                  <c:v>234</c:v>
                </c:pt>
                <c:pt idx="10">
                  <c:v>274</c:v>
                </c:pt>
                <c:pt idx="11">
                  <c:v>333</c:v>
                </c:pt>
                <c:pt idx="12">
                  <c:v>437</c:v>
                </c:pt>
                <c:pt idx="13">
                  <c:v>548.70000000000005</c:v>
                </c:pt>
                <c:pt idx="14">
                  <c:v>612.20000000000005</c:v>
                </c:pt>
                <c:pt idx="15">
                  <c:v>612.20000000000005</c:v>
                </c:pt>
                <c:pt idx="16">
                  <c:v>612.20000000000005</c:v>
                </c:pt>
                <c:pt idx="17">
                  <c:v>617.6</c:v>
                </c:pt>
                <c:pt idx="18">
                  <c:v>665.2</c:v>
                </c:pt>
                <c:pt idx="19">
                  <c:v>730</c:v>
                </c:pt>
                <c:pt idx="20">
                  <c:v>2119.6</c:v>
                </c:pt>
                <c:pt idx="21">
                  <c:v>2267.4</c:v>
                </c:pt>
                <c:pt idx="22">
                  <c:v>2438.5</c:v>
                </c:pt>
                <c:pt idx="23">
                  <c:v>2629.5</c:v>
                </c:pt>
                <c:pt idx="24">
                  <c:v>2740.3</c:v>
                </c:pt>
                <c:pt idx="25">
                  <c:v>2908.4776403128003</c:v>
                </c:pt>
                <c:pt idx="26">
                  <c:v>3029.1676403128004</c:v>
                </c:pt>
                <c:pt idx="27">
                  <c:v>3304.1151715013721</c:v>
                </c:pt>
                <c:pt idx="28">
                  <c:v>3544.4265926055655</c:v>
                </c:pt>
                <c:pt idx="29">
                  <c:v>3854.4929987687915</c:v>
                </c:pt>
                <c:pt idx="30">
                  <c:v>3925.1834749287914</c:v>
                </c:pt>
                <c:pt idx="31">
                  <c:v>3963.6334749287912</c:v>
                </c:pt>
                <c:pt idx="32">
                  <c:v>4049.4374749287913</c:v>
                </c:pt>
                <c:pt idx="33">
                  <c:v>4245.589253548791</c:v>
                </c:pt>
                <c:pt idx="34">
                  <c:v>4313.070576635243</c:v>
                </c:pt>
                <c:pt idx="35">
                  <c:v>4363.3616128404046</c:v>
                </c:pt>
                <c:pt idx="36">
                  <c:v>4342.8256128404046</c:v>
                </c:pt>
                <c:pt idx="37">
                  <c:v>4367.086273836534</c:v>
                </c:pt>
              </c:numCache>
            </c:numRef>
          </c:val>
          <c:extLst>
            <c:ext xmlns:c16="http://schemas.microsoft.com/office/drawing/2014/chart" uri="{C3380CC4-5D6E-409C-BE32-E72D297353CC}">
              <c16:uniqueId val="{00000000-575D-460B-AEE9-BAF0696656B2}"/>
            </c:ext>
          </c:extLst>
        </c:ser>
        <c:ser>
          <c:idx val="1"/>
          <c:order val="1"/>
          <c:tx>
            <c:strRef>
              <c:f>NA_Cumulative!$A$7</c:f>
              <c:strCache>
                <c:ptCount val="1"/>
                <c:pt idx="0">
                  <c:v>Forgone Revenues</c:v>
                </c:pt>
              </c:strCache>
            </c:strRef>
          </c:tx>
          <c:spPr>
            <a:solidFill>
              <a:srgbClr val="C0504D"/>
            </a:solidFill>
            <a:ln>
              <a:noFill/>
            </a:ln>
            <a:effectLst/>
          </c:spPr>
          <c:cat>
            <c:numRef>
              <c:f>NA_Cumulative!$C$5:$AN$5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NA_Cumulative!$C$7:$AN$7</c:f>
              <c:numCache>
                <c:formatCode>_(* #,##0.0_);_(* \(#,##0.0\);_(* "-"??_);_(@_)</c:formatCode>
                <c:ptCount val="38"/>
                <c:pt idx="0">
                  <c:v>3</c:v>
                </c:pt>
                <c:pt idx="1">
                  <c:v>17</c:v>
                </c:pt>
                <c:pt idx="2">
                  <c:v>18</c:v>
                </c:pt>
                <c:pt idx="3">
                  <c:v>26</c:v>
                </c:pt>
                <c:pt idx="4">
                  <c:v>53</c:v>
                </c:pt>
                <c:pt idx="5">
                  <c:v>72</c:v>
                </c:pt>
                <c:pt idx="6">
                  <c:v>81</c:v>
                </c:pt>
                <c:pt idx="7">
                  <c:v>91</c:v>
                </c:pt>
                <c:pt idx="8">
                  <c:v>106</c:v>
                </c:pt>
                <c:pt idx="9">
                  <c:v>121</c:v>
                </c:pt>
                <c:pt idx="10">
                  <c:v>136</c:v>
                </c:pt>
                <c:pt idx="11">
                  <c:v>159</c:v>
                </c:pt>
                <c:pt idx="12">
                  <c:v>204</c:v>
                </c:pt>
                <c:pt idx="13">
                  <c:v>266</c:v>
                </c:pt>
                <c:pt idx="14">
                  <c:v>273.10000000000002</c:v>
                </c:pt>
                <c:pt idx="15">
                  <c:v>354.8</c:v>
                </c:pt>
                <c:pt idx="16">
                  <c:v>462.6</c:v>
                </c:pt>
                <c:pt idx="17">
                  <c:v>579.1</c:v>
                </c:pt>
                <c:pt idx="18">
                  <c:v>776.90000000000009</c:v>
                </c:pt>
                <c:pt idx="19">
                  <c:v>970.00000000000011</c:v>
                </c:pt>
                <c:pt idx="20">
                  <c:v>1085.9000000000001</c:v>
                </c:pt>
                <c:pt idx="21">
                  <c:v>1098.5</c:v>
                </c:pt>
                <c:pt idx="22">
                  <c:v>1177.7</c:v>
                </c:pt>
                <c:pt idx="23">
                  <c:v>1199.4000000000001</c:v>
                </c:pt>
                <c:pt idx="24">
                  <c:v>1381.5</c:v>
                </c:pt>
                <c:pt idx="25">
                  <c:v>1778.9380996800001</c:v>
                </c:pt>
                <c:pt idx="26">
                  <c:v>2061.5630996800001</c:v>
                </c:pt>
                <c:pt idx="27">
                  <c:v>2335.0825265371427</c:v>
                </c:pt>
                <c:pt idx="28">
                  <c:v>2477.8965265371426</c:v>
                </c:pt>
                <c:pt idx="29">
                  <c:v>2577.3274901139166</c:v>
                </c:pt>
                <c:pt idx="30">
                  <c:v>2734.0094936139167</c:v>
                </c:pt>
                <c:pt idx="31">
                  <c:v>2886.2094936139165</c:v>
                </c:pt>
                <c:pt idx="32">
                  <c:v>3021.7174936139163</c:v>
                </c:pt>
                <c:pt idx="33">
                  <c:v>3144.4618380929487</c:v>
                </c:pt>
                <c:pt idx="34">
                  <c:v>3340.2572852013359</c:v>
                </c:pt>
                <c:pt idx="35">
                  <c:v>3416.8991706426264</c:v>
                </c:pt>
                <c:pt idx="36">
                  <c:v>3426.4991706426263</c:v>
                </c:pt>
                <c:pt idx="37">
                  <c:v>3429.3991706426264</c:v>
                </c:pt>
              </c:numCache>
            </c:numRef>
          </c:val>
          <c:extLst>
            <c:ext xmlns:c16="http://schemas.microsoft.com/office/drawing/2014/chart" uri="{C3380CC4-5D6E-409C-BE32-E72D297353CC}">
              <c16:uniqueId val="{00000001-575D-460B-AEE9-BAF0696656B2}"/>
            </c:ext>
          </c:extLst>
        </c:ser>
        <c:ser>
          <c:idx val="2"/>
          <c:order val="2"/>
          <c:tx>
            <c:strRef>
              <c:f>NA_Cumulative!$A$8</c:f>
              <c:strCache>
                <c:ptCount val="1"/>
                <c:pt idx="0">
                  <c:v>Reimbursable Expenses</c:v>
                </c:pt>
              </c:strCache>
            </c:strRef>
          </c:tx>
          <c:spPr>
            <a:solidFill>
              <a:srgbClr val="9BBB59"/>
            </a:solidFill>
            <a:ln>
              <a:noFill/>
            </a:ln>
            <a:effectLst/>
          </c:spPr>
          <c:cat>
            <c:numRef>
              <c:f>NA_Cumulative!$C$5:$AN$5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NA_Cumulative!$C$8:$AN$8</c:f>
              <c:numCache>
                <c:formatCode>_(* #,##0.0_);_(* \(#,##0.0\);_(* "-"??_);_(@_)</c:formatCode>
                <c:ptCount val="38"/>
                <c:pt idx="0">
                  <c:v>21.1</c:v>
                </c:pt>
                <c:pt idx="1">
                  <c:v>32.6</c:v>
                </c:pt>
                <c:pt idx="2">
                  <c:v>46.8</c:v>
                </c:pt>
                <c:pt idx="3">
                  <c:v>62.8</c:v>
                </c:pt>
                <c:pt idx="4">
                  <c:v>82.699999999999989</c:v>
                </c:pt>
                <c:pt idx="5">
                  <c:v>106.39999999999999</c:v>
                </c:pt>
                <c:pt idx="6">
                  <c:v>136.1</c:v>
                </c:pt>
                <c:pt idx="7">
                  <c:v>155.1</c:v>
                </c:pt>
                <c:pt idx="8">
                  <c:v>178.7</c:v>
                </c:pt>
                <c:pt idx="9">
                  <c:v>202.1</c:v>
                </c:pt>
                <c:pt idx="10">
                  <c:v>226.4</c:v>
                </c:pt>
                <c:pt idx="11">
                  <c:v>254.8</c:v>
                </c:pt>
                <c:pt idx="12">
                  <c:v>285.3</c:v>
                </c:pt>
                <c:pt idx="13">
                  <c:v>320.2</c:v>
                </c:pt>
                <c:pt idx="14">
                  <c:v>356.3</c:v>
                </c:pt>
                <c:pt idx="15">
                  <c:v>391.7</c:v>
                </c:pt>
                <c:pt idx="16">
                  <c:v>427.6</c:v>
                </c:pt>
                <c:pt idx="17">
                  <c:v>463.98</c:v>
                </c:pt>
                <c:pt idx="18">
                  <c:v>502.88</c:v>
                </c:pt>
                <c:pt idx="19">
                  <c:v>540.48</c:v>
                </c:pt>
                <c:pt idx="20">
                  <c:v>582.98</c:v>
                </c:pt>
                <c:pt idx="21">
                  <c:v>633.89</c:v>
                </c:pt>
                <c:pt idx="22">
                  <c:v>686.44499999999994</c:v>
                </c:pt>
                <c:pt idx="23">
                  <c:v>743.64499999999998</c:v>
                </c:pt>
                <c:pt idx="24">
                  <c:v>801.56499999999994</c:v>
                </c:pt>
                <c:pt idx="25">
                  <c:v>862.21499999999992</c:v>
                </c:pt>
                <c:pt idx="26">
                  <c:v>922.4799999999999</c:v>
                </c:pt>
                <c:pt idx="27">
                  <c:v>984.70249999999987</c:v>
                </c:pt>
                <c:pt idx="28">
                  <c:v>1048.9724999999999</c:v>
                </c:pt>
                <c:pt idx="29">
                  <c:v>1118.6734873599999</c:v>
                </c:pt>
                <c:pt idx="30">
                  <c:v>1192.9385881399999</c:v>
                </c:pt>
                <c:pt idx="31">
                  <c:v>1265.9485881399999</c:v>
                </c:pt>
                <c:pt idx="32">
                  <c:v>1344.4485881399999</c:v>
                </c:pt>
                <c:pt idx="33">
                  <c:v>1434.7485881399998</c:v>
                </c:pt>
                <c:pt idx="34">
                  <c:v>1519.6140736399998</c:v>
                </c:pt>
                <c:pt idx="35">
                  <c:v>1607.7994219599998</c:v>
                </c:pt>
                <c:pt idx="36">
                  <c:v>1693.0222221549998</c:v>
                </c:pt>
                <c:pt idx="37">
                  <c:v>1782.8988112399998</c:v>
                </c:pt>
              </c:numCache>
            </c:numRef>
          </c:val>
          <c:extLst>
            <c:ext xmlns:c16="http://schemas.microsoft.com/office/drawing/2014/chart" uri="{C3380CC4-5D6E-409C-BE32-E72D297353CC}">
              <c16:uniqueId val="{00000002-575D-460B-AEE9-BAF0696656B2}"/>
            </c:ext>
          </c:extLst>
        </c:ser>
        <c:ser>
          <c:idx val="3"/>
          <c:order val="3"/>
          <c:tx>
            <c:strRef>
              <c:f>NA_Cumulative!$A$9</c:f>
              <c:strCache>
                <c:ptCount val="1"/>
                <c:pt idx="0">
                  <c:v>Direct Program</c:v>
                </c:pt>
              </c:strCache>
            </c:strRef>
          </c:tx>
          <c:spPr>
            <a:solidFill>
              <a:srgbClr val="8064A2"/>
            </a:solidFill>
            <a:ln>
              <a:noFill/>
            </a:ln>
            <a:effectLst/>
          </c:spPr>
          <c:cat>
            <c:numRef>
              <c:f>NA_Cumulative!$C$5:$AN$5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NA_Cumulative!$C$9:$AN$9</c:f>
              <c:numCache>
                <c:formatCode>_(* #,##0.0_);_(* \(#,##0.0\);_(* "-"??_);_(@_)</c:formatCode>
                <c:ptCount val="38"/>
                <c:pt idx="0">
                  <c:v>4.5999999999999996</c:v>
                </c:pt>
                <c:pt idx="1">
                  <c:v>9.1999999999999993</c:v>
                </c:pt>
                <c:pt idx="2">
                  <c:v>18.299999999999997</c:v>
                </c:pt>
                <c:pt idx="3">
                  <c:v>37.9</c:v>
                </c:pt>
                <c:pt idx="4">
                  <c:v>53.8</c:v>
                </c:pt>
                <c:pt idx="5">
                  <c:v>73.400000000000006</c:v>
                </c:pt>
                <c:pt idx="6">
                  <c:v>95.600000000000009</c:v>
                </c:pt>
                <c:pt idx="7">
                  <c:v>114.4</c:v>
                </c:pt>
                <c:pt idx="8">
                  <c:v>137.4</c:v>
                </c:pt>
                <c:pt idx="9">
                  <c:v>170.2</c:v>
                </c:pt>
                <c:pt idx="10">
                  <c:v>203.2</c:v>
                </c:pt>
                <c:pt idx="11">
                  <c:v>270.2</c:v>
                </c:pt>
                <c:pt idx="12">
                  <c:v>319.8</c:v>
                </c:pt>
                <c:pt idx="13">
                  <c:v>375.7</c:v>
                </c:pt>
                <c:pt idx="14">
                  <c:v>447.1</c:v>
                </c:pt>
                <c:pt idx="15">
                  <c:v>515.6</c:v>
                </c:pt>
                <c:pt idx="16">
                  <c:v>597.80000000000007</c:v>
                </c:pt>
                <c:pt idx="17">
                  <c:v>702.7</c:v>
                </c:pt>
                <c:pt idx="18">
                  <c:v>810.90000000000009</c:v>
                </c:pt>
                <c:pt idx="19">
                  <c:v>919.10000000000014</c:v>
                </c:pt>
                <c:pt idx="20">
                  <c:v>1020.2000000000002</c:v>
                </c:pt>
                <c:pt idx="21">
                  <c:v>1157.3000000000002</c:v>
                </c:pt>
                <c:pt idx="22">
                  <c:v>1298.0000000000002</c:v>
                </c:pt>
                <c:pt idx="23">
                  <c:v>1435.9000000000003</c:v>
                </c:pt>
                <c:pt idx="24">
                  <c:v>1571.7000000000003</c:v>
                </c:pt>
                <c:pt idx="25">
                  <c:v>1709.6000000000004</c:v>
                </c:pt>
                <c:pt idx="26">
                  <c:v>1849.0820000000003</c:v>
                </c:pt>
                <c:pt idx="27">
                  <c:v>1997.9794339400003</c:v>
                </c:pt>
                <c:pt idx="28">
                  <c:v>2175.8388767700003</c:v>
                </c:pt>
                <c:pt idx="29">
                  <c:v>2375.4210898000001</c:v>
                </c:pt>
                <c:pt idx="30">
                  <c:v>2596.47471404</c:v>
                </c:pt>
                <c:pt idx="31">
                  <c:v>2845.4047140399998</c:v>
                </c:pt>
                <c:pt idx="32">
                  <c:v>3084.4047140399998</c:v>
                </c:pt>
                <c:pt idx="33">
                  <c:v>3316.2061960399997</c:v>
                </c:pt>
                <c:pt idx="34">
                  <c:v>3574.3834078699997</c:v>
                </c:pt>
                <c:pt idx="35">
                  <c:v>3832.5255977999996</c:v>
                </c:pt>
                <c:pt idx="36">
                  <c:v>4087.2298052899996</c:v>
                </c:pt>
                <c:pt idx="37">
                  <c:v>4345.9344566299997</c:v>
                </c:pt>
              </c:numCache>
            </c:numRef>
          </c:val>
          <c:extLst>
            <c:ext xmlns:c16="http://schemas.microsoft.com/office/drawing/2014/chart" uri="{C3380CC4-5D6E-409C-BE32-E72D297353CC}">
              <c16:uniqueId val="{00000003-575D-460B-AEE9-BAF0696656B2}"/>
            </c:ext>
          </c:extLst>
        </c:ser>
        <c:ser>
          <c:idx val="4"/>
          <c:order val="4"/>
          <c:tx>
            <c:strRef>
              <c:f>NA_Cumulative!$A$10</c:f>
              <c:strCache>
                <c:ptCount val="1"/>
                <c:pt idx="0">
                  <c:v>Fixed Expenses</c:v>
                </c:pt>
              </c:strCache>
            </c:strRef>
          </c:tx>
          <c:spPr>
            <a:solidFill>
              <a:srgbClr val="4BACC6"/>
            </a:solidFill>
            <a:ln>
              <a:noFill/>
            </a:ln>
            <a:effectLst/>
          </c:spPr>
          <c:cat>
            <c:numRef>
              <c:f>NA_Cumulative!$C$5:$AN$5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NA_Cumulative!$C$10:$AN$10</c:f>
              <c:numCache>
                <c:formatCode>_(* #,##0.0_);_(* \(#,##0.0\);_(* "-"??_);_(@_)</c:formatCode>
                <c:ptCount val="38"/>
                <c:pt idx="0">
                  <c:v>32.799999999999997</c:v>
                </c:pt>
                <c:pt idx="1">
                  <c:v>45.199999999999996</c:v>
                </c:pt>
                <c:pt idx="2">
                  <c:v>61.099999999999994</c:v>
                </c:pt>
                <c:pt idx="3">
                  <c:v>77.699999999999989</c:v>
                </c:pt>
                <c:pt idx="4">
                  <c:v>97.399999999999991</c:v>
                </c:pt>
                <c:pt idx="5">
                  <c:v>119.5</c:v>
                </c:pt>
                <c:pt idx="6">
                  <c:v>148</c:v>
                </c:pt>
                <c:pt idx="7">
                  <c:v>179</c:v>
                </c:pt>
                <c:pt idx="8">
                  <c:v>210.9</c:v>
                </c:pt>
                <c:pt idx="9">
                  <c:v>245.2</c:v>
                </c:pt>
                <c:pt idx="10">
                  <c:v>283.39999999999998</c:v>
                </c:pt>
                <c:pt idx="11">
                  <c:v>325.29999999999995</c:v>
                </c:pt>
                <c:pt idx="12">
                  <c:v>378.9</c:v>
                </c:pt>
                <c:pt idx="13">
                  <c:v>440.2</c:v>
                </c:pt>
                <c:pt idx="14">
                  <c:v>503.79999999999995</c:v>
                </c:pt>
                <c:pt idx="15">
                  <c:v>576.9</c:v>
                </c:pt>
                <c:pt idx="16">
                  <c:v>653.19999999999993</c:v>
                </c:pt>
                <c:pt idx="17">
                  <c:v>727.3</c:v>
                </c:pt>
                <c:pt idx="18">
                  <c:v>803.4</c:v>
                </c:pt>
                <c:pt idx="19">
                  <c:v>879.69999999999993</c:v>
                </c:pt>
                <c:pt idx="20">
                  <c:v>957.9</c:v>
                </c:pt>
                <c:pt idx="21">
                  <c:v>1036.0999999999999</c:v>
                </c:pt>
                <c:pt idx="22">
                  <c:v>1116.5999999999999</c:v>
                </c:pt>
                <c:pt idx="23">
                  <c:v>1202</c:v>
                </c:pt>
                <c:pt idx="24">
                  <c:v>1291.7</c:v>
                </c:pt>
                <c:pt idx="25">
                  <c:v>1379.2</c:v>
                </c:pt>
                <c:pt idx="26">
                  <c:v>1492.1100000000001</c:v>
                </c:pt>
                <c:pt idx="27">
                  <c:v>1608.3100000000002</c:v>
                </c:pt>
                <c:pt idx="28">
                  <c:v>1728.3100000000002</c:v>
                </c:pt>
                <c:pt idx="29">
                  <c:v>1851.8261102145098</c:v>
                </c:pt>
                <c:pt idx="30">
                  <c:v>1978.9986920591759</c:v>
                </c:pt>
                <c:pt idx="31">
                  <c:v>2110.4986920591759</c:v>
                </c:pt>
                <c:pt idx="32">
                  <c:v>2253.898692059176</c:v>
                </c:pt>
                <c:pt idx="33">
                  <c:v>2395.1986920591762</c:v>
                </c:pt>
                <c:pt idx="34">
                  <c:v>2545.7774713522472</c:v>
                </c:pt>
                <c:pt idx="35">
                  <c:v>2693.99445848705</c:v>
                </c:pt>
                <c:pt idx="36">
                  <c:v>2815.371941085838</c:v>
                </c:pt>
                <c:pt idx="37">
                  <c:v>2920.4450397831351</c:v>
                </c:pt>
              </c:numCache>
            </c:numRef>
          </c:val>
          <c:extLst>
            <c:ext xmlns:c16="http://schemas.microsoft.com/office/drawing/2014/chart" uri="{C3380CC4-5D6E-409C-BE32-E72D297353CC}">
              <c16:uniqueId val="{00000004-575D-460B-AEE9-BAF0696656B2}"/>
            </c:ext>
          </c:extLst>
        </c:ser>
        <c:dLbls>
          <c:showLegendKey val="0"/>
          <c:showVal val="0"/>
          <c:showCatName val="0"/>
          <c:showSerName val="0"/>
          <c:showPercent val="0"/>
          <c:showBubbleSize val="0"/>
        </c:dLbls>
        <c:axId val="483682904"/>
        <c:axId val="483683296"/>
      </c:areaChart>
      <c:catAx>
        <c:axId val="483682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3296"/>
        <c:crosses val="autoZero"/>
        <c:auto val="1"/>
        <c:lblAlgn val="ctr"/>
        <c:lblOffset val="100"/>
        <c:noMultiLvlLbl val="0"/>
      </c:catAx>
      <c:valAx>
        <c:axId val="483683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(Billions)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2904"/>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78559850561086"/>
          <c:y val="3.8974061187221104E-2"/>
          <c:w val="0.87779334245867058"/>
          <c:h val="0.86161656411805998"/>
        </c:manualLayout>
      </c:layout>
      <c:barChart>
        <c:barDir val="col"/>
        <c:grouping val="clustered"/>
        <c:varyColors val="0"/>
        <c:ser>
          <c:idx val="0"/>
          <c:order val="0"/>
          <c:spPr>
            <a:solidFill>
              <a:schemeClr val="accent1"/>
            </a:solidFill>
            <a:ln w="25400">
              <a:noFill/>
            </a:ln>
            <a:effectLst/>
          </c:spPr>
          <c:invertIfNegative val="0"/>
          <c:cat>
            <c:numRef>
              <c:f>NA_Cumulative!$C$5:$AN$5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NA_Cumulative!$C$21:$AN$21</c:f>
              <c:numCache>
                <c:formatCode>_(* #,##0.0_);_(* \(#,##0.0\);_(* "-"??_);_(@_)</c:formatCode>
                <c:ptCount val="38"/>
                <c:pt idx="0">
                  <c:v>2.2999999999999998</c:v>
                </c:pt>
                <c:pt idx="1">
                  <c:v>4.5999999999999996</c:v>
                </c:pt>
                <c:pt idx="2">
                  <c:v>9.1</c:v>
                </c:pt>
                <c:pt idx="3">
                  <c:v>19.600000000000001</c:v>
                </c:pt>
                <c:pt idx="4">
                  <c:v>15.9</c:v>
                </c:pt>
                <c:pt idx="5">
                  <c:v>19.600000000000001</c:v>
                </c:pt>
                <c:pt idx="6">
                  <c:v>22.2</c:v>
                </c:pt>
                <c:pt idx="7">
                  <c:v>18.8</c:v>
                </c:pt>
                <c:pt idx="8">
                  <c:v>23</c:v>
                </c:pt>
                <c:pt idx="9">
                  <c:v>32.799999999999997</c:v>
                </c:pt>
                <c:pt idx="10">
                  <c:v>33</c:v>
                </c:pt>
                <c:pt idx="11">
                  <c:v>67</c:v>
                </c:pt>
                <c:pt idx="12">
                  <c:v>49.6</c:v>
                </c:pt>
                <c:pt idx="13">
                  <c:v>55.9</c:v>
                </c:pt>
                <c:pt idx="14">
                  <c:v>71.400000000000006</c:v>
                </c:pt>
                <c:pt idx="15">
                  <c:v>68.5</c:v>
                </c:pt>
                <c:pt idx="16">
                  <c:v>82.2</c:v>
                </c:pt>
                <c:pt idx="17">
                  <c:v>104.9</c:v>
                </c:pt>
                <c:pt idx="18">
                  <c:v>108.2</c:v>
                </c:pt>
                <c:pt idx="19">
                  <c:v>108.2</c:v>
                </c:pt>
                <c:pt idx="20">
                  <c:v>101.1</c:v>
                </c:pt>
                <c:pt idx="21">
                  <c:v>137.1</c:v>
                </c:pt>
                <c:pt idx="22">
                  <c:v>140.69999999999999</c:v>
                </c:pt>
                <c:pt idx="23">
                  <c:v>137.9</c:v>
                </c:pt>
                <c:pt idx="24">
                  <c:v>135.80000000000001</c:v>
                </c:pt>
                <c:pt idx="25">
                  <c:v>137.9</c:v>
                </c:pt>
                <c:pt idx="26">
                  <c:v>139.482</c:v>
                </c:pt>
                <c:pt idx="27">
                  <c:v>148.89743393999996</c:v>
                </c:pt>
                <c:pt idx="28">
                  <c:v>177.85944282999998</c:v>
                </c:pt>
                <c:pt idx="29">
                  <c:v>199.58221303000002</c:v>
                </c:pt>
                <c:pt idx="30">
                  <c:v>221.05362423999992</c:v>
                </c:pt>
                <c:pt idx="31">
                  <c:v>248.93</c:v>
                </c:pt>
                <c:pt idx="32">
                  <c:v>239</c:v>
                </c:pt>
                <c:pt idx="33">
                  <c:v>231.80148199999996</c:v>
                </c:pt>
                <c:pt idx="34">
                  <c:v>258.17721182999998</c:v>
                </c:pt>
                <c:pt idx="35">
                  <c:v>258.14218992999997</c:v>
                </c:pt>
                <c:pt idx="36">
                  <c:v>254.70420748999999</c:v>
                </c:pt>
                <c:pt idx="37">
                  <c:v>258.70465134000005</c:v>
                </c:pt>
              </c:numCache>
            </c:numRef>
          </c:val>
          <c:extLst>
            <c:ext xmlns:c16="http://schemas.microsoft.com/office/drawing/2014/chart" uri="{C3380CC4-5D6E-409C-BE32-E72D297353CC}">
              <c16:uniqueId val="{00000000-B77B-454B-B89A-1057F3AE6292}"/>
            </c:ext>
          </c:extLst>
        </c:ser>
        <c:dLbls>
          <c:showLegendKey val="0"/>
          <c:showVal val="0"/>
          <c:showCatName val="0"/>
          <c:showSerName val="0"/>
          <c:showPercent val="0"/>
          <c:showBubbleSize val="0"/>
        </c:dLbls>
        <c:gapWidth val="150"/>
        <c:axId val="625337248"/>
        <c:axId val="625337640"/>
      </c:barChart>
      <c:catAx>
        <c:axId val="6253372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25337640"/>
        <c:crosses val="autoZero"/>
        <c:auto val="1"/>
        <c:lblAlgn val="ctr"/>
        <c:lblOffset val="100"/>
        <c:noMultiLvlLbl val="0"/>
      </c:catAx>
      <c:valAx>
        <c:axId val="6253376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(millions)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25337248"/>
        <c:crosses val="autoZero"/>
        <c:crossBetween val="between"/>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500571358669541"/>
          <c:y val="3.0141054194506311E-2"/>
          <c:w val="0.85738805398361129"/>
          <c:h val="0.88462877552332686"/>
        </c:manualLayout>
      </c:layout>
      <c:barChart>
        <c:barDir val="col"/>
        <c:grouping val="clustered"/>
        <c:varyColors val="0"/>
        <c:ser>
          <c:idx val="0"/>
          <c:order val="0"/>
          <c:tx>
            <c:v>Expense</c:v>
          </c:tx>
          <c:spPr>
            <a:effectLst>
              <a:outerShdw blurRad="50800" dist="12700" algn="l" rotWithShape="0">
                <a:prstClr val="black">
                  <a:alpha val="40000"/>
                </a:prstClr>
              </a:outerShdw>
            </a:effectLst>
          </c:spPr>
          <c:invertIfNegative val="0"/>
          <c:dLbls>
            <c:numFmt formatCode="#,##0" sourceLinked="0"/>
            <c:spPr>
              <a:noFill/>
              <a:ln>
                <a:noFill/>
              </a:ln>
              <a:effectLst/>
            </c:spPr>
            <c:txPr>
              <a:bodyPr wrap="square" lIns="38100" tIns="19050" rIns="38100" bIns="19050" anchor="ctr">
                <a:spAutoFit/>
              </a:bodyPr>
              <a:lstStyle/>
              <a:p>
                <a:pPr>
                  <a:defRPr>
                    <a:solidFill>
                      <a:schemeClr val="bg1">
                        <a:lumMod val="50000"/>
                      </a:schemeClr>
                    </a:solidFill>
                    <a:latin typeface="Century Gothic" panose="020B0502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'BPA Costs Table'!$AC$2:$AQ$2</c:f>
              <c:numCache>
                <c:formatCode>0_);\(0\)</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'BPA Costs Table'!$AC$9:$AQ$9</c:f>
              <c:numCache>
                <c:formatCode>0.0_);\(0.0\)</c:formatCode>
                <c:ptCount val="15"/>
                <c:pt idx="0">
                  <c:v>139.482</c:v>
                </c:pt>
                <c:pt idx="1">
                  <c:v>148.89743393999996</c:v>
                </c:pt>
                <c:pt idx="2">
                  <c:v>177.85944282999998</c:v>
                </c:pt>
                <c:pt idx="3">
                  <c:v>199.58221303000002</c:v>
                </c:pt>
                <c:pt idx="4">
                  <c:v>221.05362423999992</c:v>
                </c:pt>
                <c:pt idx="5">
                  <c:v>248.93</c:v>
                </c:pt>
                <c:pt idx="6">
                  <c:v>239</c:v>
                </c:pt>
                <c:pt idx="7">
                  <c:v>231.80148199999996</c:v>
                </c:pt>
                <c:pt idx="8">
                  <c:v>258.17721182999998</c:v>
                </c:pt>
                <c:pt idx="9">
                  <c:v>258.14218992999997</c:v>
                </c:pt>
                <c:pt idx="10">
                  <c:v>254.7</c:v>
                </c:pt>
                <c:pt idx="11">
                  <c:v>258.70465134000005</c:v>
                </c:pt>
                <c:pt idx="12">
                  <c:v>240.38390317</c:v>
                </c:pt>
                <c:pt idx="13">
                  <c:v>238.07312463000002</c:v>
                </c:pt>
                <c:pt idx="14">
                  <c:v>253.6</c:v>
                </c:pt>
              </c:numCache>
            </c:numRef>
          </c:val>
          <c:extLst>
            <c:ext xmlns:c16="http://schemas.microsoft.com/office/drawing/2014/chart" uri="{C3380CC4-5D6E-409C-BE32-E72D297353CC}">
              <c16:uniqueId val="{00000000-5C01-4D1C-9853-5F4AC0F181B4}"/>
            </c:ext>
          </c:extLst>
        </c:ser>
        <c:ser>
          <c:idx val="1"/>
          <c:order val="1"/>
          <c:tx>
            <c:v>Capital</c:v>
          </c:tx>
          <c:spPr>
            <a:effectLst>
              <a:outerShdw blurRad="50800" dist="12700" algn="l" rotWithShape="0">
                <a:prstClr val="black">
                  <a:alpha val="40000"/>
                </a:prstClr>
              </a:outerShdw>
            </a:effectLst>
          </c:spPr>
          <c:invertIfNegative val="0"/>
          <c:dLbls>
            <c:numFmt formatCode="\ #,##0" sourceLinked="0"/>
            <c:spPr>
              <a:noFill/>
              <a:ln>
                <a:noFill/>
              </a:ln>
              <a:effectLst/>
            </c:spPr>
            <c:txPr>
              <a:bodyPr wrap="square" lIns="38100" tIns="19050" rIns="38100" bIns="19050" anchor="ctr">
                <a:spAutoFit/>
              </a:bodyPr>
              <a:lstStyle/>
              <a:p>
                <a:pPr>
                  <a:defRPr>
                    <a:solidFill>
                      <a:schemeClr val="bg1">
                        <a:lumMod val="50000"/>
                      </a:schemeClr>
                    </a:solidFill>
                    <a:latin typeface="Century Gothic" panose="020B0502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'BPA Costs Table'!$AC$2:$AQ$2</c:f>
              <c:numCache>
                <c:formatCode>0_);\(0\)</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'BPA Costs Table'!$AC$7:$AQ$7</c:f>
              <c:numCache>
                <c:formatCode>_(* #,##0.0_);_(* \(#,##0.0\);_(* "-"?_);_(@_)</c:formatCode>
                <c:ptCount val="15"/>
                <c:pt idx="0">
                  <c:v>96.605999999999995</c:v>
                </c:pt>
                <c:pt idx="1">
                  <c:v>64.171313069999997</c:v>
                </c:pt>
                <c:pt idx="2">
                  <c:v>163.71146123</c:v>
                </c:pt>
                <c:pt idx="3">
                  <c:v>97.616092509999987</c:v>
                </c:pt>
                <c:pt idx="4">
                  <c:v>193.93786518999997</c:v>
                </c:pt>
                <c:pt idx="5">
                  <c:v>172.330297</c:v>
                </c:pt>
                <c:pt idx="6">
                  <c:v>155.69</c:v>
                </c:pt>
                <c:pt idx="7">
                  <c:v>139.15334831999999</c:v>
                </c:pt>
                <c:pt idx="8">
                  <c:v>104.12590900000001</c:v>
                </c:pt>
                <c:pt idx="9">
                  <c:v>51.372593500000008</c:v>
                </c:pt>
                <c:pt idx="10">
                  <c:v>65.7</c:v>
                </c:pt>
                <c:pt idx="11">
                  <c:v>83.216698000000008</c:v>
                </c:pt>
                <c:pt idx="12">
                  <c:v>77.871587230000003</c:v>
                </c:pt>
                <c:pt idx="13">
                  <c:v>146.73921922</c:v>
                </c:pt>
                <c:pt idx="14">
                  <c:v>108.6</c:v>
                </c:pt>
              </c:numCache>
            </c:numRef>
          </c:val>
          <c:extLst>
            <c:ext xmlns:c16="http://schemas.microsoft.com/office/drawing/2014/chart" uri="{C3380CC4-5D6E-409C-BE32-E72D297353CC}">
              <c16:uniqueId val="{00000001-5C01-4D1C-9853-5F4AC0F181B4}"/>
            </c:ext>
          </c:extLst>
        </c:ser>
        <c:dLbls>
          <c:showLegendKey val="0"/>
          <c:showVal val="0"/>
          <c:showCatName val="0"/>
          <c:showSerName val="0"/>
          <c:showPercent val="0"/>
          <c:showBubbleSize val="0"/>
        </c:dLbls>
        <c:gapWidth val="76"/>
        <c:axId val="483676240"/>
        <c:axId val="483676632"/>
      </c:barChart>
      <c:catAx>
        <c:axId val="483676240"/>
        <c:scaling>
          <c:orientation val="minMax"/>
        </c:scaling>
        <c:delete val="0"/>
        <c:axPos val="b"/>
        <c:numFmt formatCode="0_);\(0\)" sourceLinked="1"/>
        <c:majorTickMark val="out"/>
        <c:minorTickMark val="none"/>
        <c:tickLblPos val="nextTo"/>
        <c:txPr>
          <a:bodyPr/>
          <a:lstStyle/>
          <a:p>
            <a:pPr>
              <a:defRPr sz="1200">
                <a:solidFill>
                  <a:schemeClr val="bg1">
                    <a:lumMod val="50000"/>
                  </a:schemeClr>
                </a:solidFill>
                <a:latin typeface="Century Gothic" pitchFamily="34" charset="0"/>
              </a:defRPr>
            </a:pPr>
            <a:endParaRPr lang="en-US"/>
          </a:p>
        </c:txPr>
        <c:crossAx val="483676632"/>
        <c:crosses val="autoZero"/>
        <c:auto val="1"/>
        <c:lblAlgn val="ctr"/>
        <c:lblOffset val="100"/>
        <c:tickLblSkip val="2"/>
        <c:tickMarkSkip val="1"/>
        <c:noMultiLvlLbl val="0"/>
      </c:catAx>
      <c:valAx>
        <c:axId val="483676632"/>
        <c:scaling>
          <c:orientation val="minMax"/>
          <c:min val="0"/>
        </c:scaling>
        <c:delete val="0"/>
        <c:axPos val="l"/>
        <c:majorGridlines>
          <c:spPr>
            <a:ln>
              <a:solidFill>
                <a:schemeClr val="bg1">
                  <a:lumMod val="65000"/>
                </a:schemeClr>
              </a:solidFill>
            </a:ln>
          </c:spPr>
        </c:majorGridlines>
        <c:title>
          <c:tx>
            <c:rich>
              <a:bodyPr rot="-5400000" vert="horz"/>
              <a:lstStyle/>
              <a:p>
                <a:pPr>
                  <a:defRPr/>
                </a:pPr>
                <a:r>
                  <a:rPr lang="en-US" sz="1200" b="0">
                    <a:solidFill>
                      <a:schemeClr val="bg1">
                        <a:lumMod val="50000"/>
                      </a:schemeClr>
                    </a:solidFill>
                    <a:latin typeface="Century Gothic" pitchFamily="34" charset="0"/>
                  </a:rPr>
                  <a:t>(Millions)</a:t>
                </a:r>
              </a:p>
            </c:rich>
          </c:tx>
          <c:overlay val="0"/>
        </c:title>
        <c:numFmt formatCode="&quot;$&quot;#,##0" sourceLinked="0"/>
        <c:majorTickMark val="out"/>
        <c:minorTickMark val="none"/>
        <c:tickLblPos val="nextTo"/>
        <c:spPr>
          <a:ln>
            <a:solidFill>
              <a:schemeClr val="bg1">
                <a:lumMod val="65000"/>
              </a:schemeClr>
            </a:solidFill>
          </a:ln>
        </c:spPr>
        <c:txPr>
          <a:bodyPr/>
          <a:lstStyle/>
          <a:p>
            <a:pPr>
              <a:defRPr sz="1200">
                <a:solidFill>
                  <a:schemeClr val="bg1">
                    <a:lumMod val="50000"/>
                  </a:schemeClr>
                </a:solidFill>
                <a:latin typeface="Century Gothic" pitchFamily="34" charset="0"/>
              </a:defRPr>
            </a:pPr>
            <a:endParaRPr lang="en-US"/>
          </a:p>
        </c:txPr>
        <c:crossAx val="483676240"/>
        <c:crosses val="autoZero"/>
        <c:crossBetween val="between"/>
      </c:valAx>
      <c:spPr>
        <a:ln>
          <a:solidFill>
            <a:sysClr val="window" lastClr="FFFFFF">
              <a:lumMod val="65000"/>
            </a:sysClr>
          </a:solidFill>
        </a:ln>
      </c:spPr>
    </c:plotArea>
    <c:legend>
      <c:legendPos val="l"/>
      <c:layout>
        <c:manualLayout>
          <c:xMode val="edge"/>
          <c:yMode val="edge"/>
          <c:x val="0.14975960186741386"/>
          <c:y val="0.11814390684460656"/>
          <c:w val="0.13954995680692875"/>
          <c:h val="0.1197145011661961"/>
        </c:manualLayout>
      </c:layout>
      <c:overlay val="0"/>
      <c:txPr>
        <a:bodyPr/>
        <a:lstStyle/>
        <a:p>
          <a:pPr>
            <a:defRPr sz="1200">
              <a:solidFill>
                <a:schemeClr val="bg1">
                  <a:lumMod val="50000"/>
                </a:schemeClr>
              </a:solidFill>
              <a:latin typeface="Century Gothic"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0776840145977771E-2"/>
          <c:y val="6.2909136535324742E-3"/>
          <c:w val="0.97355961978856231"/>
          <c:h val="0.95909422710705128"/>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57AC-4531-B5AE-729C85665BAF}"/>
              </c:ext>
            </c:extLst>
          </c:dPt>
          <c:dPt>
            <c:idx val="1"/>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57AC-4531-B5AE-729C85665BAF}"/>
              </c:ext>
            </c:extLst>
          </c:dPt>
          <c:dPt>
            <c:idx val="2"/>
            <c:bubble3D val="0"/>
            <c:extLst>
              <c:ext xmlns:c16="http://schemas.microsoft.com/office/drawing/2014/chart" uri="{C3380CC4-5D6E-409C-BE32-E72D297353CC}">
                <c16:uniqueId val="{00000004-57AC-4531-B5AE-729C85665BAF}"/>
              </c:ext>
            </c:extLst>
          </c:dPt>
          <c:dPt>
            <c:idx val="3"/>
            <c:bubble3D val="0"/>
            <c:spPr>
              <a:solidFill>
                <a:schemeClr val="accent4">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57AC-4531-B5AE-729C85665BAF}"/>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57AC-4531-B5AE-729C85665BAF}"/>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57AC-4531-B5AE-729C85665BAF}"/>
              </c:ext>
            </c:extLst>
          </c:dPt>
          <c:dPt>
            <c:idx val="6"/>
            <c:bubble3D val="0"/>
            <c:spPr>
              <a:solidFill>
                <a:schemeClr val="bg2">
                  <a:lumMod val="5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57AC-4531-B5AE-729C85665BAF}"/>
              </c:ext>
            </c:extLst>
          </c:dPt>
          <c:dLbls>
            <c:dLbl>
              <c:idx val="0"/>
              <c:layout>
                <c:manualLayout>
                  <c:x val="-0.20121660575121197"/>
                  <c:y val="-0.21026253093101735"/>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4103776311413544"/>
                      <c:h val="0.10561635332716525"/>
                    </c:manualLayout>
                  </c15:layout>
                </c:ext>
                <c:ext xmlns:c16="http://schemas.microsoft.com/office/drawing/2014/chart" uri="{C3380CC4-5D6E-409C-BE32-E72D297353CC}">
                  <c16:uniqueId val="{00000001-57AC-4531-B5AE-729C85665BAF}"/>
                </c:ext>
              </c:extLst>
            </c:dLbl>
            <c:dLbl>
              <c:idx val="1"/>
              <c:layout>
                <c:manualLayout>
                  <c:x val="9.3013627023173548E-2"/>
                  <c:y val="3.8540173096581684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57AC-4531-B5AE-729C85665BAF}"/>
                </c:ext>
              </c:extLst>
            </c:dLbl>
            <c:dLbl>
              <c:idx val="2"/>
              <c:layout>
                <c:manualLayout>
                  <c:x val="0.1739895755408882"/>
                  <c:y val="0.2139709068581113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57AC-4531-B5AE-729C85665BAF}"/>
                </c:ext>
              </c:extLst>
            </c:dLbl>
            <c:dLbl>
              <c:idx val="3"/>
              <c:layout>
                <c:manualLayout>
                  <c:x val="5.6283408908707186E-2"/>
                  <c:y val="4.8710391985290299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57AC-4531-B5AE-729C85665BAF}"/>
                </c:ext>
              </c:extLst>
            </c:dLbl>
            <c:dLbl>
              <c:idx val="4"/>
              <c:layout>
                <c:manualLayout>
                  <c:x val="9.8877342934363843E-2"/>
                  <c:y val="0.10504377646224888"/>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57AC-4531-B5AE-729C85665BAF}"/>
                </c:ext>
              </c:extLst>
            </c:dLbl>
            <c:dLbl>
              <c:idx val="5"/>
              <c:layout>
                <c:manualLayout>
                  <c:x val="5.1961478792846072E-2"/>
                  <c:y val="0.10466195375213147"/>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57AC-4531-B5AE-729C85665BAF}"/>
                </c:ext>
              </c:extLst>
            </c:dLbl>
            <c:dLbl>
              <c:idx val="6"/>
              <c:layout>
                <c:manualLayout>
                  <c:x val="2.227195113621952E-2"/>
                  <c:y val="9.433779719140955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57AC-4531-B5AE-729C85665BAF}"/>
                </c:ext>
              </c:extLst>
            </c:dLbl>
            <c:numFmt formatCode="&quot;$&quot;#,,\ &quot;million&quot;" sourceLinked="0"/>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'2_SpeciesType'!$A$40:$A$43</c:f>
              <c:strCache>
                <c:ptCount val="4"/>
                <c:pt idx="0">
                  <c:v>Anadromous Fish</c:v>
                </c:pt>
                <c:pt idx="1">
                  <c:v>Resident Fish</c:v>
                </c:pt>
                <c:pt idx="2">
                  <c:v>Wildlife</c:v>
                </c:pt>
                <c:pt idx="3">
                  <c:v>Program Support</c:v>
                </c:pt>
              </c:strCache>
            </c:strRef>
          </c:cat>
          <c:val>
            <c:numRef>
              <c:f>'2_SpeciesType'!$B$40:$B$43</c:f>
              <c:numCache>
                <c:formatCode>"$"#,##0</c:formatCode>
                <c:ptCount val="4"/>
                <c:pt idx="0">
                  <c:v>193335316</c:v>
                </c:pt>
                <c:pt idx="1">
                  <c:v>44301263</c:v>
                </c:pt>
                <c:pt idx="2">
                  <c:v>25815371</c:v>
                </c:pt>
                <c:pt idx="3">
                  <c:v>19554376</c:v>
                </c:pt>
              </c:numCache>
            </c:numRef>
          </c:val>
          <c:extLst>
            <c:ext xmlns:c16="http://schemas.microsoft.com/office/drawing/2014/chart" uri="{C3380CC4-5D6E-409C-BE32-E72D297353CC}">
              <c16:uniqueId val="{0000000D-57AC-4531-B5AE-729C85665BAF}"/>
            </c:ext>
          </c:extLst>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500571358669541"/>
          <c:y val="3.0141054194506311E-2"/>
          <c:w val="0.85738805398361129"/>
          <c:h val="0.88462877552332686"/>
        </c:manualLayout>
      </c:layout>
      <c:barChart>
        <c:barDir val="col"/>
        <c:grouping val="stacked"/>
        <c:varyColors val="0"/>
        <c:ser>
          <c:idx val="0"/>
          <c:order val="0"/>
          <c:tx>
            <c:strRef>
              <c:f>'3_FCRPS'!$A$3</c:f>
              <c:strCache>
                <c:ptCount val="1"/>
                <c:pt idx="0">
                  <c:v>Expense</c:v>
                </c:pt>
              </c:strCache>
            </c:strRef>
          </c:tx>
          <c:spPr>
            <a:effectLst>
              <a:outerShdw blurRad="50800" dist="38100" algn="l" rotWithShape="0">
                <a:prstClr val="black">
                  <a:alpha val="40000"/>
                </a:prstClr>
              </a:outerShdw>
            </a:effectLst>
          </c:spPr>
          <c:invertIfNegative val="0"/>
          <c:val>
            <c:numRef>
              <c:f>'3_FCRPS'!$B$3:$Q$3</c:f>
              <c:numCache>
                <c:formatCode>"$"#,##0</c:formatCode>
                <c:ptCount val="16"/>
                <c:pt idx="0">
                  <c:v>74024959.329999998</c:v>
                </c:pt>
                <c:pt idx="1">
                  <c:v>78219265.00000003</c:v>
                </c:pt>
                <c:pt idx="2">
                  <c:v>91806508</c:v>
                </c:pt>
                <c:pt idx="3">
                  <c:v>113900603</c:v>
                </c:pt>
                <c:pt idx="4">
                  <c:v>129758323</c:v>
                </c:pt>
                <c:pt idx="5">
                  <c:v>143477289</c:v>
                </c:pt>
                <c:pt idx="6">
                  <c:v>162060445</c:v>
                </c:pt>
                <c:pt idx="7">
                  <c:v>151177409</c:v>
                </c:pt>
                <c:pt idx="8">
                  <c:v>143128947.90000001</c:v>
                </c:pt>
                <c:pt idx="9">
                  <c:v>165362220.78999999</c:v>
                </c:pt>
                <c:pt idx="10">
                  <c:v>159987743.56999999</c:v>
                </c:pt>
                <c:pt idx="11">
                  <c:v>156828472.72999999</c:v>
                </c:pt>
                <c:pt idx="12">
                  <c:v>153679667</c:v>
                </c:pt>
                <c:pt idx="13">
                  <c:v>137887504</c:v>
                </c:pt>
                <c:pt idx="14">
                  <c:v>132646392</c:v>
                </c:pt>
                <c:pt idx="15">
                  <c:v>146563109</c:v>
                </c:pt>
              </c:numCache>
            </c:numRef>
          </c:val>
          <c:extLst>
            <c:ext xmlns:c15="http://schemas.microsoft.com/office/drawing/2012/chart" uri="{02D57815-91ED-43cb-92C2-25804820EDAC}">
              <c15:filteredCategoryTitle>
                <c15:cat>
                  <c:strRef>
                    <c:extLst>
                      <c:ext uri="{02D57815-91ED-43cb-92C2-25804820EDAC}">
                        <c15:formulaRef>
                          <c15:sqref>'3_FCRPS'!$B$8:$Q$8</c15:sqref>
                        </c15:formulaRef>
                      </c:ext>
                    </c:extLst>
                  </c:strRef>
                </c15:cat>
              </c15:filteredCategoryTitle>
            </c:ext>
            <c:ext xmlns:c16="http://schemas.microsoft.com/office/drawing/2014/chart" uri="{C3380CC4-5D6E-409C-BE32-E72D297353CC}">
              <c16:uniqueId val="{00000000-2023-496B-9A95-548D7717997D}"/>
            </c:ext>
          </c:extLst>
        </c:ser>
        <c:ser>
          <c:idx val="1"/>
          <c:order val="1"/>
          <c:tx>
            <c:strRef>
              <c:f>'3_FCRPS'!$A$4</c:f>
              <c:strCache>
                <c:ptCount val="1"/>
                <c:pt idx="0">
                  <c:v>Capital</c:v>
                </c:pt>
              </c:strCache>
            </c:strRef>
          </c:tx>
          <c:spPr>
            <a:effectLst>
              <a:outerShdw blurRad="50800" dist="38100" algn="l" rotWithShape="0">
                <a:prstClr val="black">
                  <a:alpha val="40000"/>
                </a:prstClr>
              </a:outerShdw>
            </a:effectLst>
          </c:spPr>
          <c:invertIfNegative val="0"/>
          <c:val>
            <c:numRef>
              <c:f>'3_FCRPS'!$B$4:$Q$4</c:f>
              <c:numCache>
                <c:formatCode>"$"#,##0</c:formatCode>
                <c:ptCount val="16"/>
                <c:pt idx="0">
                  <c:v>5086155.01</c:v>
                </c:pt>
                <c:pt idx="1">
                  <c:v>8839587.0300000012</c:v>
                </c:pt>
                <c:pt idx="2">
                  <c:v>9869097</c:v>
                </c:pt>
                <c:pt idx="3">
                  <c:v>11668863</c:v>
                </c:pt>
                <c:pt idx="4">
                  <c:v>21761323</c:v>
                </c:pt>
                <c:pt idx="5">
                  <c:v>31297548</c:v>
                </c:pt>
                <c:pt idx="6">
                  <c:v>29240867</c:v>
                </c:pt>
                <c:pt idx="7">
                  <c:v>29683425</c:v>
                </c:pt>
                <c:pt idx="8">
                  <c:v>5925196.1100000003</c:v>
                </c:pt>
                <c:pt idx="9">
                  <c:v>7703153.2699999996</c:v>
                </c:pt>
                <c:pt idx="10">
                  <c:v>1249955.1399999999</c:v>
                </c:pt>
                <c:pt idx="11">
                  <c:v>-396792.47</c:v>
                </c:pt>
                <c:pt idx="12">
                  <c:v>25343</c:v>
                </c:pt>
                <c:pt idx="13">
                  <c:v>1470148</c:v>
                </c:pt>
                <c:pt idx="14">
                  <c:v>8024833</c:v>
                </c:pt>
                <c:pt idx="15">
                  <c:v>9249428</c:v>
                </c:pt>
              </c:numCache>
            </c:numRef>
          </c:val>
          <c:extLst>
            <c:ext xmlns:c15="http://schemas.microsoft.com/office/drawing/2012/chart" uri="{02D57815-91ED-43cb-92C2-25804820EDAC}">
              <c15:filteredCategoryTitle>
                <c15:cat>
                  <c:strRef>
                    <c:extLst>
                      <c:ext uri="{02D57815-91ED-43cb-92C2-25804820EDAC}">
                        <c15:formulaRef>
                          <c15:sqref>'3_FCRPS'!$B$8:$Q$8</c15:sqref>
                        </c15:formulaRef>
                      </c:ext>
                    </c:extLst>
                  </c:strRef>
                </c15:cat>
              </c15:filteredCategoryTitle>
            </c:ext>
            <c:ext xmlns:c16="http://schemas.microsoft.com/office/drawing/2014/chart" uri="{C3380CC4-5D6E-409C-BE32-E72D297353CC}">
              <c16:uniqueId val="{00000009-2023-496B-9A95-548D7717997D}"/>
            </c:ext>
          </c:extLst>
        </c:ser>
        <c:dLbls>
          <c:showLegendKey val="0"/>
          <c:showVal val="0"/>
          <c:showCatName val="0"/>
          <c:showSerName val="0"/>
          <c:showPercent val="0"/>
          <c:showBubbleSize val="0"/>
        </c:dLbls>
        <c:gapWidth val="76"/>
        <c:overlap val="100"/>
        <c:axId val="483676240"/>
        <c:axId val="483676632"/>
      </c:barChart>
      <c:catAx>
        <c:axId val="483676240"/>
        <c:scaling>
          <c:orientation val="minMax"/>
        </c:scaling>
        <c:delete val="0"/>
        <c:axPos val="b"/>
        <c:numFmt formatCode="General" sourceLinked="1"/>
        <c:majorTickMark val="out"/>
        <c:minorTickMark val="none"/>
        <c:tickLblPos val="nextTo"/>
        <c:txPr>
          <a:bodyPr/>
          <a:lstStyle/>
          <a:p>
            <a:pPr>
              <a:defRPr sz="1200">
                <a:solidFill>
                  <a:schemeClr val="bg1">
                    <a:lumMod val="50000"/>
                  </a:schemeClr>
                </a:solidFill>
                <a:latin typeface="Century Gothic" pitchFamily="34" charset="0"/>
              </a:defRPr>
            </a:pPr>
            <a:endParaRPr lang="en-US"/>
          </a:p>
        </c:txPr>
        <c:crossAx val="483676632"/>
        <c:crosses val="autoZero"/>
        <c:auto val="1"/>
        <c:lblAlgn val="ctr"/>
        <c:lblOffset val="100"/>
        <c:tickLblSkip val="2"/>
        <c:noMultiLvlLbl val="0"/>
      </c:catAx>
      <c:valAx>
        <c:axId val="483676632"/>
        <c:scaling>
          <c:orientation val="minMax"/>
          <c:min val="0"/>
        </c:scaling>
        <c:delete val="0"/>
        <c:axPos val="l"/>
        <c:majorGridlines>
          <c:spPr>
            <a:ln>
              <a:solidFill>
                <a:schemeClr val="bg1">
                  <a:lumMod val="65000"/>
                </a:schemeClr>
              </a:solidFill>
            </a:ln>
          </c:spPr>
        </c:majorGridlines>
        <c:title>
          <c:tx>
            <c:rich>
              <a:bodyPr rot="-5400000" vert="horz"/>
              <a:lstStyle/>
              <a:p>
                <a:pPr>
                  <a:defRPr/>
                </a:pPr>
                <a:r>
                  <a:rPr lang="en-US" sz="1200" b="0">
                    <a:solidFill>
                      <a:schemeClr val="bg1">
                        <a:lumMod val="50000"/>
                      </a:schemeClr>
                    </a:solidFill>
                    <a:latin typeface="Century Gothic" pitchFamily="34" charset="0"/>
                  </a:rPr>
                  <a:t>(Millions)</a:t>
                </a:r>
              </a:p>
            </c:rich>
          </c:tx>
          <c:overlay val="0"/>
        </c:title>
        <c:numFmt formatCode="&quot;$&quot;#,##0,," sourceLinked="0"/>
        <c:majorTickMark val="out"/>
        <c:minorTickMark val="none"/>
        <c:tickLblPos val="nextTo"/>
        <c:spPr>
          <a:ln>
            <a:solidFill>
              <a:schemeClr val="bg1">
                <a:lumMod val="65000"/>
              </a:schemeClr>
            </a:solidFill>
          </a:ln>
        </c:spPr>
        <c:txPr>
          <a:bodyPr/>
          <a:lstStyle/>
          <a:p>
            <a:pPr>
              <a:defRPr sz="1200">
                <a:solidFill>
                  <a:schemeClr val="bg1">
                    <a:lumMod val="50000"/>
                  </a:schemeClr>
                </a:solidFill>
                <a:latin typeface="Century Gothic" pitchFamily="34" charset="0"/>
              </a:defRPr>
            </a:pPr>
            <a:endParaRPr lang="en-US"/>
          </a:p>
        </c:txPr>
        <c:crossAx val="483676240"/>
        <c:crosses val="autoZero"/>
        <c:crossBetween val="between"/>
      </c:valAx>
      <c:spPr>
        <a:ln>
          <a:solidFill>
            <a:sysClr val="window" lastClr="FFFFFF">
              <a:lumMod val="65000"/>
            </a:sysClr>
          </a:solidFill>
        </a:ln>
      </c:spPr>
    </c:plotArea>
    <c:legend>
      <c:legendPos val="l"/>
      <c:layout>
        <c:manualLayout>
          <c:xMode val="edge"/>
          <c:yMode val="edge"/>
          <c:x val="0.15811205742999559"/>
          <c:y val="6.4691791031688969E-2"/>
          <c:w val="0.3111032448377582"/>
          <c:h val="8.843916782117156E-2"/>
        </c:manualLayout>
      </c:layout>
      <c:overlay val="0"/>
      <c:txPr>
        <a:bodyPr/>
        <a:lstStyle/>
        <a:p>
          <a:pPr>
            <a:defRPr sz="1200">
              <a:solidFill>
                <a:schemeClr val="bg1">
                  <a:lumMod val="50000"/>
                </a:schemeClr>
              </a:solidFill>
              <a:latin typeface="Century Gothic"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775091735066583"/>
          <c:y val="1.1144733600781056E-2"/>
          <c:w val="0.59880164245374734"/>
          <c:h val="0.88638960235162068"/>
        </c:manualLayout>
      </c:layout>
      <c:barChart>
        <c:barDir val="bar"/>
        <c:grouping val="stacked"/>
        <c:varyColors val="0"/>
        <c:ser>
          <c:idx val="0"/>
          <c:order val="0"/>
          <c:tx>
            <c:v>Expense Total Spending</c:v>
          </c:tx>
          <c:spPr>
            <a:effectLst>
              <a:outerShdw blurRad="50800" dist="38100" dir="5400000" algn="t" rotWithShape="0">
                <a:prstClr val="black">
                  <a:alpha val="40000"/>
                </a:prstClr>
              </a:outerShdw>
            </a:effectLst>
          </c:spPr>
          <c:invertIfNegative val="0"/>
          <c:cat>
            <c:strRef>
              <c:f>'4_ESASpecies'!$A$3:$A$18</c:f>
              <c:strCache>
                <c:ptCount val="16"/>
                <c:pt idx="0">
                  <c:v>Chinook - Lower Columbia River ESU (threatened)</c:v>
                </c:pt>
                <c:pt idx="1">
                  <c:v>Chinook - Snake River Fall ESU (threatened)</c:v>
                </c:pt>
                <c:pt idx="2">
                  <c:v>Chinook - Snake River Spring/Summer ESU (threatened)</c:v>
                </c:pt>
                <c:pt idx="3">
                  <c:v>Chinook - Upper Columbia River Spring ESU (endangered)</c:v>
                </c:pt>
                <c:pt idx="4">
                  <c:v>Chinook - Upper Willamette River ESU (threatened)</c:v>
                </c:pt>
                <c:pt idx="5">
                  <c:v>Chum - Columbia River ESU (threatened)</c:v>
                </c:pt>
                <c:pt idx="6">
                  <c:v>Coho - Lower Columbia River ESU (threatened)</c:v>
                </c:pt>
                <c:pt idx="7">
                  <c:v>Sockeye - Snake River ESU (endangered)</c:v>
                </c:pt>
                <c:pt idx="8">
                  <c:v>Steelhead - Lower Columbia River DPS (threatened)</c:v>
                </c:pt>
                <c:pt idx="9">
                  <c:v>Steelhead - Middle Columbia River DPS (threatened)</c:v>
                </c:pt>
                <c:pt idx="10">
                  <c:v>Steelhead - Snake River DPS (threatened)</c:v>
                </c:pt>
                <c:pt idx="11">
                  <c:v>Steelhead - Upper Columbia River DPS (endangered)</c:v>
                </c:pt>
                <c:pt idx="12">
                  <c:v>Steelhead - Upper Willamette River DPS (threatened)</c:v>
                </c:pt>
                <c:pt idx="13">
                  <c:v>Cutthroat Trout, Lahontan (threatened)</c:v>
                </c:pt>
                <c:pt idx="14">
                  <c:v>Sturgeon, White - Kootenai River DPS (endangered)</c:v>
                </c:pt>
                <c:pt idx="15">
                  <c:v>Trout, Bull (threatened)</c:v>
                </c:pt>
              </c:strCache>
            </c:strRef>
          </c:cat>
          <c:val>
            <c:numRef>
              <c:f>'4_ESASpecies'!$D$3:$D$18</c:f>
              <c:numCache>
                <c:formatCode>"$"#,##0_);[Red]\("$"#,##0\)</c:formatCode>
                <c:ptCount val="16"/>
                <c:pt idx="0">
                  <c:v>6166881</c:v>
                </c:pt>
                <c:pt idx="1">
                  <c:v>11393135</c:v>
                </c:pt>
                <c:pt idx="2">
                  <c:v>24162588</c:v>
                </c:pt>
                <c:pt idx="3">
                  <c:v>15554550</c:v>
                </c:pt>
                <c:pt idx="4">
                  <c:v>5292609</c:v>
                </c:pt>
                <c:pt idx="5">
                  <c:v>3374620</c:v>
                </c:pt>
                <c:pt idx="6">
                  <c:v>4236175</c:v>
                </c:pt>
                <c:pt idx="7">
                  <c:v>9745805</c:v>
                </c:pt>
                <c:pt idx="8">
                  <c:v>5254048</c:v>
                </c:pt>
                <c:pt idx="9">
                  <c:v>36331116</c:v>
                </c:pt>
                <c:pt idx="10">
                  <c:v>24282828</c:v>
                </c:pt>
                <c:pt idx="11">
                  <c:v>13778630</c:v>
                </c:pt>
                <c:pt idx="12">
                  <c:v>4119794</c:v>
                </c:pt>
                <c:pt idx="13">
                  <c:v>1482971</c:v>
                </c:pt>
                <c:pt idx="14">
                  <c:v>9366175</c:v>
                </c:pt>
                <c:pt idx="15">
                  <c:v>14336116</c:v>
                </c:pt>
              </c:numCache>
            </c:numRef>
          </c:val>
          <c:extLst>
            <c:ext xmlns:c16="http://schemas.microsoft.com/office/drawing/2014/chart" uri="{C3380CC4-5D6E-409C-BE32-E72D297353CC}">
              <c16:uniqueId val="{00000000-2EE0-4D6F-8525-41EE350B64FB}"/>
            </c:ext>
          </c:extLst>
        </c:ser>
        <c:ser>
          <c:idx val="1"/>
          <c:order val="1"/>
          <c:tx>
            <c:v>Capital Total Spending</c:v>
          </c:tx>
          <c:spPr>
            <a:effectLst>
              <a:outerShdw blurRad="50800" dist="38100" dir="5400000" algn="t" rotWithShape="0">
                <a:prstClr val="black">
                  <a:alpha val="40000"/>
                </a:prstClr>
              </a:outerShdw>
            </a:effectLst>
          </c:spPr>
          <c:invertIfNegative val="0"/>
          <c:cat>
            <c:strRef>
              <c:f>'4_ESASpecies'!$A$3:$A$18</c:f>
              <c:strCache>
                <c:ptCount val="16"/>
                <c:pt idx="0">
                  <c:v>Chinook - Lower Columbia River ESU (threatened)</c:v>
                </c:pt>
                <c:pt idx="1">
                  <c:v>Chinook - Snake River Fall ESU (threatened)</c:v>
                </c:pt>
                <c:pt idx="2">
                  <c:v>Chinook - Snake River Spring/Summer ESU (threatened)</c:v>
                </c:pt>
                <c:pt idx="3">
                  <c:v>Chinook - Upper Columbia River Spring ESU (endangered)</c:v>
                </c:pt>
                <c:pt idx="4">
                  <c:v>Chinook - Upper Willamette River ESU (threatened)</c:v>
                </c:pt>
                <c:pt idx="5">
                  <c:v>Chum - Columbia River ESU (threatened)</c:v>
                </c:pt>
                <c:pt idx="6">
                  <c:v>Coho - Lower Columbia River ESU (threatened)</c:v>
                </c:pt>
                <c:pt idx="7">
                  <c:v>Sockeye - Snake River ESU (endangered)</c:v>
                </c:pt>
                <c:pt idx="8">
                  <c:v>Steelhead - Lower Columbia River DPS (threatened)</c:v>
                </c:pt>
                <c:pt idx="9">
                  <c:v>Steelhead - Middle Columbia River DPS (threatened)</c:v>
                </c:pt>
                <c:pt idx="10">
                  <c:v>Steelhead - Snake River DPS (threatened)</c:v>
                </c:pt>
                <c:pt idx="11">
                  <c:v>Steelhead - Upper Columbia River DPS (endangered)</c:v>
                </c:pt>
                <c:pt idx="12">
                  <c:v>Steelhead - Upper Willamette River DPS (threatened)</c:v>
                </c:pt>
                <c:pt idx="13">
                  <c:v>Cutthroat Trout, Lahontan (threatened)</c:v>
                </c:pt>
                <c:pt idx="14">
                  <c:v>Sturgeon, White - Kootenai River DPS (endangered)</c:v>
                </c:pt>
                <c:pt idx="15">
                  <c:v>Trout, Bull (threatened)</c:v>
                </c:pt>
              </c:strCache>
            </c:strRef>
          </c:cat>
          <c:val>
            <c:numRef>
              <c:f>'4_ESASpecies'!$G$3:$G$18</c:f>
              <c:numCache>
                <c:formatCode>"$"#,##0_);[Red]\("$"#,##0\)</c:formatCode>
                <c:ptCount val="16"/>
                <c:pt idx="0">
                  <c:v>1591164</c:v>
                </c:pt>
                <c:pt idx="1">
                  <c:v>1687866</c:v>
                </c:pt>
                <c:pt idx="2">
                  <c:v>117195</c:v>
                </c:pt>
                <c:pt idx="3">
                  <c:v>117195</c:v>
                </c:pt>
                <c:pt idx="4">
                  <c:v>117195</c:v>
                </c:pt>
                <c:pt idx="5">
                  <c:v>1657380</c:v>
                </c:pt>
                <c:pt idx="6">
                  <c:v>1659660</c:v>
                </c:pt>
                <c:pt idx="7">
                  <c:v>117632</c:v>
                </c:pt>
                <c:pt idx="8">
                  <c:v>1648374</c:v>
                </c:pt>
                <c:pt idx="9">
                  <c:v>117343</c:v>
                </c:pt>
                <c:pt idx="10">
                  <c:v>148266</c:v>
                </c:pt>
                <c:pt idx="11">
                  <c:v>152417</c:v>
                </c:pt>
                <c:pt idx="12">
                  <c:v>117343</c:v>
                </c:pt>
                <c:pt idx="13">
                  <c:v>0</c:v>
                </c:pt>
                <c:pt idx="14">
                  <c:v>0</c:v>
                </c:pt>
                <c:pt idx="15">
                  <c:v>10320000</c:v>
                </c:pt>
              </c:numCache>
            </c:numRef>
          </c:val>
          <c:extLst>
            <c:ext xmlns:c16="http://schemas.microsoft.com/office/drawing/2014/chart" uri="{C3380CC4-5D6E-409C-BE32-E72D297353CC}">
              <c16:uniqueId val="{00000001-2EE0-4D6F-8525-41EE350B64FB}"/>
            </c:ext>
          </c:extLst>
        </c:ser>
        <c:dLbls>
          <c:showLegendKey val="0"/>
          <c:showVal val="0"/>
          <c:showCatName val="0"/>
          <c:showSerName val="0"/>
          <c:showPercent val="0"/>
          <c:showBubbleSize val="0"/>
        </c:dLbls>
        <c:gapWidth val="76"/>
        <c:overlap val="100"/>
        <c:axId val="483677416"/>
        <c:axId val="483677808"/>
      </c:barChart>
      <c:catAx>
        <c:axId val="483677416"/>
        <c:scaling>
          <c:orientation val="minMax"/>
        </c:scaling>
        <c:delete val="0"/>
        <c:axPos val="l"/>
        <c:numFmt formatCode="General" sourceLinked="1"/>
        <c:majorTickMark val="out"/>
        <c:minorTickMark val="none"/>
        <c:tickLblPos val="nextTo"/>
        <c:txPr>
          <a:bodyPr/>
          <a:lstStyle/>
          <a:p>
            <a:pPr>
              <a:defRPr sz="900">
                <a:solidFill>
                  <a:schemeClr val="bg1">
                    <a:lumMod val="50000"/>
                  </a:schemeClr>
                </a:solidFill>
                <a:latin typeface="Century Gothic" pitchFamily="34" charset="0"/>
              </a:defRPr>
            </a:pPr>
            <a:endParaRPr lang="en-US"/>
          </a:p>
        </c:txPr>
        <c:crossAx val="483677808"/>
        <c:crosses val="autoZero"/>
        <c:auto val="1"/>
        <c:lblAlgn val="ctr"/>
        <c:lblOffset val="100"/>
        <c:noMultiLvlLbl val="0"/>
      </c:catAx>
      <c:valAx>
        <c:axId val="483677808"/>
        <c:scaling>
          <c:orientation val="minMax"/>
          <c:min val="0"/>
        </c:scaling>
        <c:delete val="0"/>
        <c:axPos val="b"/>
        <c:majorGridlines>
          <c:spPr>
            <a:ln>
              <a:solidFill>
                <a:schemeClr val="bg1">
                  <a:lumMod val="65000"/>
                </a:schemeClr>
              </a:solidFill>
            </a:ln>
          </c:spPr>
        </c:majorGridlines>
        <c:title>
          <c:tx>
            <c:rich>
              <a:bodyPr rot="0" vert="horz"/>
              <a:lstStyle/>
              <a:p>
                <a:pPr>
                  <a:defRPr/>
                </a:pPr>
                <a:r>
                  <a:rPr lang="en-US" sz="1200" b="0">
                    <a:solidFill>
                      <a:schemeClr val="bg1">
                        <a:lumMod val="50000"/>
                      </a:schemeClr>
                    </a:solidFill>
                    <a:latin typeface="Century Gothic" pitchFamily="34" charset="0"/>
                  </a:rPr>
                  <a:t>(Millions)</a:t>
                </a:r>
              </a:p>
            </c:rich>
          </c:tx>
          <c:overlay val="0"/>
        </c:title>
        <c:numFmt formatCode="&quot;$&quot;#,##0,," sourceLinked="0"/>
        <c:majorTickMark val="out"/>
        <c:minorTickMark val="none"/>
        <c:tickLblPos val="nextTo"/>
        <c:spPr>
          <a:ln>
            <a:solidFill>
              <a:schemeClr val="bg1">
                <a:lumMod val="65000"/>
              </a:schemeClr>
            </a:solidFill>
          </a:ln>
        </c:spPr>
        <c:txPr>
          <a:bodyPr/>
          <a:lstStyle/>
          <a:p>
            <a:pPr>
              <a:defRPr sz="1200">
                <a:solidFill>
                  <a:schemeClr val="bg1">
                    <a:lumMod val="50000"/>
                  </a:schemeClr>
                </a:solidFill>
                <a:latin typeface="Century Gothic" pitchFamily="34" charset="0"/>
              </a:defRPr>
            </a:pPr>
            <a:endParaRPr lang="en-US"/>
          </a:p>
        </c:txPr>
        <c:crossAx val="483677416"/>
        <c:crosses val="autoZero"/>
        <c:crossBetween val="between"/>
        <c:majorUnit val="10000000"/>
      </c:valAx>
      <c:spPr>
        <a:ln>
          <a:solidFill>
            <a:sysClr val="window" lastClr="FFFFFF">
              <a:lumMod val="65000"/>
            </a:sysClr>
          </a:solidFill>
        </a:ln>
      </c:spPr>
    </c:plotArea>
    <c:legend>
      <c:legendPos val="l"/>
      <c:layout>
        <c:manualLayout>
          <c:xMode val="edge"/>
          <c:yMode val="edge"/>
          <c:x val="0.59935774749200399"/>
          <c:y val="0.14289649529838236"/>
          <c:w val="0.34700320698085657"/>
          <c:h val="0.10580503281991246"/>
        </c:manualLayout>
      </c:layout>
      <c:overlay val="0"/>
      <c:spPr>
        <a:solidFill>
          <a:sysClr val="window" lastClr="FFFFFF"/>
        </a:solidFill>
      </c:spPr>
      <c:txPr>
        <a:bodyPr/>
        <a:lstStyle/>
        <a:p>
          <a:pPr>
            <a:defRPr sz="1200">
              <a:solidFill>
                <a:schemeClr val="bg1">
                  <a:lumMod val="50000"/>
                </a:schemeClr>
              </a:solidFill>
              <a:latin typeface="Century Gothic" pitchFamily="34" charset="0"/>
            </a:defRPr>
          </a:pPr>
          <a:endParaRPr lang="en-US"/>
        </a:p>
      </c:txPr>
    </c:legend>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9294499384788228E-2"/>
          <c:y val="2.081082718607682E-4"/>
          <c:w val="0.97355961978856231"/>
          <c:h val="0.95909422710705128"/>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736D-469F-BFEB-8CC3BF38283E}"/>
              </c:ext>
            </c:extLst>
          </c:dPt>
          <c:dPt>
            <c:idx val="1"/>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736D-469F-BFEB-8CC3BF38283E}"/>
              </c:ext>
            </c:extLst>
          </c:dPt>
          <c:dPt>
            <c:idx val="2"/>
            <c:bubble3D val="0"/>
            <c:extLst>
              <c:ext xmlns:c16="http://schemas.microsoft.com/office/drawing/2014/chart" uri="{C3380CC4-5D6E-409C-BE32-E72D297353CC}">
                <c16:uniqueId val="{00000004-736D-469F-BFEB-8CC3BF38283E}"/>
              </c:ext>
            </c:extLst>
          </c:dPt>
          <c:dPt>
            <c:idx val="3"/>
            <c:bubble3D val="0"/>
            <c:spPr>
              <a:solidFill>
                <a:schemeClr val="accent4">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736D-469F-BFEB-8CC3BF38283E}"/>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736D-469F-BFEB-8CC3BF38283E}"/>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736D-469F-BFEB-8CC3BF38283E}"/>
              </c:ext>
            </c:extLst>
          </c:dPt>
          <c:dPt>
            <c:idx val="6"/>
            <c:bubble3D val="0"/>
            <c:spPr>
              <a:solidFill>
                <a:schemeClr val="bg2">
                  <a:lumMod val="5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736D-469F-BFEB-8CC3BF38283E}"/>
              </c:ext>
            </c:extLst>
          </c:dPt>
          <c:dLbls>
            <c:dLbl>
              <c:idx val="0"/>
              <c:layout>
                <c:manualLayout>
                  <c:x val="-0.14533144798053288"/>
                  <c:y val="0.21249722502347501"/>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5722763503017648"/>
                      <c:h val="0.15962564732380696"/>
                    </c:manualLayout>
                  </c15:layout>
                </c:ext>
                <c:ext xmlns:c16="http://schemas.microsoft.com/office/drawing/2014/chart" uri="{C3380CC4-5D6E-409C-BE32-E72D297353CC}">
                  <c16:uniqueId val="{00000001-736D-469F-BFEB-8CC3BF38283E}"/>
                </c:ext>
              </c:extLst>
            </c:dLbl>
            <c:dLbl>
              <c:idx val="1"/>
              <c:layout>
                <c:manualLayout>
                  <c:x val="-0.19287140652230064"/>
                  <c:y val="-0.16046861325844883"/>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5721074754097023"/>
                      <c:h val="0.19523790503602353"/>
                    </c:manualLayout>
                  </c15:layout>
                </c:ext>
                <c:ext xmlns:c16="http://schemas.microsoft.com/office/drawing/2014/chart" uri="{C3380CC4-5D6E-409C-BE32-E72D297353CC}">
                  <c16:uniqueId val="{00000003-736D-469F-BFEB-8CC3BF38283E}"/>
                </c:ext>
              </c:extLst>
            </c:dLbl>
            <c:dLbl>
              <c:idx val="2"/>
              <c:layout>
                <c:manualLayout>
                  <c:x val="0.16418498051898442"/>
                  <c:y val="-0.23033516471435608"/>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8569915200285206"/>
                      <c:h val="0.15841538466370811"/>
                    </c:manualLayout>
                  </c15:layout>
                </c:ext>
                <c:ext xmlns:c16="http://schemas.microsoft.com/office/drawing/2014/chart" uri="{C3380CC4-5D6E-409C-BE32-E72D297353CC}">
                  <c16:uniqueId val="{00000004-736D-469F-BFEB-8CC3BF38283E}"/>
                </c:ext>
              </c:extLst>
            </c:dLbl>
            <c:dLbl>
              <c:idx val="3"/>
              <c:layout>
                <c:manualLayout>
                  <c:x val="0.16619892901159372"/>
                  <c:y val="0.15620645202697217"/>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6-736D-469F-BFEB-8CC3BF38283E}"/>
                </c:ext>
              </c:extLst>
            </c:dLbl>
            <c:dLbl>
              <c:idx val="4"/>
              <c:layout>
                <c:manualLayout>
                  <c:x val="9.9889368418034363E-2"/>
                  <c:y val="3.5557925784615967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19861233198695619"/>
                      <c:h val="0.16995410929348537"/>
                    </c:manualLayout>
                  </c15:layout>
                </c:ext>
                <c:ext xmlns:c16="http://schemas.microsoft.com/office/drawing/2014/chart" uri="{C3380CC4-5D6E-409C-BE32-E72D297353CC}">
                  <c16:uniqueId val="{00000008-736D-469F-BFEB-8CC3BF38283E}"/>
                </c:ext>
              </c:extLst>
            </c:dLbl>
            <c:dLbl>
              <c:idx val="5"/>
              <c:layout>
                <c:manualLayout>
                  <c:x val="8.8350121258396086E-2"/>
                  <c:y val="3.5334581344350691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A-736D-469F-BFEB-8CC3BF38283E}"/>
                </c:ext>
              </c:extLst>
            </c:dLbl>
            <c:dLbl>
              <c:idx val="6"/>
              <c:layout>
                <c:manualLayout>
                  <c:x val="2.227195113621952E-2"/>
                  <c:y val="9.4337797191409556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736D-469F-BFEB-8CC3BF38283E}"/>
                </c:ext>
              </c:extLst>
            </c:dLbl>
            <c:spPr>
              <a:solidFill>
                <a:schemeClr val="bg1">
                  <a:lumMod val="95000"/>
                </a:schemeClr>
              </a:solidFill>
              <a:ln cap="rnd">
                <a:solidFill>
                  <a:sysClr val="window" lastClr="FFFFFF">
                    <a:lumMod val="85000"/>
                  </a:sysClr>
                </a:solidFill>
              </a:ln>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'5_Fund'!$A$23:$A$28</c:f>
              <c:strCache>
                <c:ptCount val="6"/>
                <c:pt idx="0">
                  <c:v>BiOp (non Accord)</c:v>
                </c:pt>
                <c:pt idx="1">
                  <c:v>Accords - BiOp</c:v>
                </c:pt>
                <c:pt idx="2">
                  <c:v>Accords - non-BiOp</c:v>
                </c:pt>
                <c:pt idx="3">
                  <c:v>General</c:v>
                </c:pt>
                <c:pt idx="4">
                  <c:v>Overhead</c:v>
                </c:pt>
                <c:pt idx="5">
                  <c:v>G&amp;A</c:v>
                </c:pt>
              </c:strCache>
            </c:strRef>
          </c:cat>
          <c:val>
            <c:numRef>
              <c:f>'5_Fund'!$B$23:$B$28</c:f>
              <c:numCache>
                <c:formatCode>"$"#,,\ "million"</c:formatCode>
                <c:ptCount val="6"/>
                <c:pt idx="0">
                  <c:v>94918509</c:v>
                </c:pt>
                <c:pt idx="1">
                  <c:v>61146071.131080814</c:v>
                </c:pt>
                <c:pt idx="2">
                  <c:v>76218148.868919179</c:v>
                </c:pt>
                <c:pt idx="3">
                  <c:v>35229779</c:v>
                </c:pt>
                <c:pt idx="4">
                  <c:v>15493817</c:v>
                </c:pt>
                <c:pt idx="5">
                  <c:v>12327352</c:v>
                </c:pt>
              </c:numCache>
            </c:numRef>
          </c:val>
          <c:extLst>
            <c:ext xmlns:c16="http://schemas.microsoft.com/office/drawing/2014/chart" uri="{C3380CC4-5D6E-409C-BE32-E72D297353CC}">
              <c16:uniqueId val="{0000000D-736D-469F-BFEB-8CC3BF38283E}"/>
            </c:ext>
          </c:extLst>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0319338237115897"/>
          <c:y val="0.16999202884485873"/>
          <c:w val="0.58523995553121111"/>
          <c:h val="0.61335656992619725"/>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0A5C-4DC7-8F1A-219DE91BC20B}"/>
              </c:ext>
            </c:extLst>
          </c:dPt>
          <c:dPt>
            <c:idx val="1"/>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0A5C-4DC7-8F1A-219DE91BC20B}"/>
              </c:ext>
            </c:extLst>
          </c:dPt>
          <c:dPt>
            <c:idx val="2"/>
            <c:bubble3D val="0"/>
            <c:extLst>
              <c:ext xmlns:c16="http://schemas.microsoft.com/office/drawing/2014/chart" uri="{C3380CC4-5D6E-409C-BE32-E72D297353CC}">
                <c16:uniqueId val="{00000004-0A5C-4DC7-8F1A-219DE91BC20B}"/>
              </c:ext>
            </c:extLst>
          </c:dPt>
          <c:dPt>
            <c:idx val="3"/>
            <c:bubble3D val="0"/>
            <c:spPr>
              <a:solidFill>
                <a:srgbClr val="4BACC6">
                  <a:lumMod val="60000"/>
                  <a:lumOff val="40000"/>
                </a:srgb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0A5C-4DC7-8F1A-219DE91BC20B}"/>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0A5C-4DC7-8F1A-219DE91BC20B}"/>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0A5C-4DC7-8F1A-219DE91BC20B}"/>
              </c:ext>
            </c:extLst>
          </c:dPt>
          <c:dPt>
            <c:idx val="6"/>
            <c:bubble3D val="0"/>
            <c:spPr>
              <a:solidFill>
                <a:sysClr val="window" lastClr="FFFFFF">
                  <a:lumMod val="50000"/>
                </a:sys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0A5C-4DC7-8F1A-219DE91BC20B}"/>
              </c:ext>
            </c:extLst>
          </c:dPt>
          <c:dLbls>
            <c:dLbl>
              <c:idx val="1"/>
              <c:layout>
                <c:manualLayout>
                  <c:x val="6.6838650200785013E-2"/>
                  <c:y val="-2.1203235313842505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0A5C-4DC7-8F1A-219DE91BC20B}"/>
                </c:ext>
              </c:extLst>
            </c:dLbl>
            <c:dLbl>
              <c:idx val="2"/>
              <c:layout>
                <c:manualLayout>
                  <c:x val="8.3795807192828212E-2"/>
                  <c:y val="0.10076347114944353"/>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19050795973926313"/>
                      <c:h val="0.14441207069542464"/>
                    </c:manualLayout>
                  </c15:layout>
                </c:ext>
                <c:ext xmlns:c16="http://schemas.microsoft.com/office/drawing/2014/chart" uri="{C3380CC4-5D6E-409C-BE32-E72D297353CC}">
                  <c16:uniqueId val="{00000004-0A5C-4DC7-8F1A-219DE91BC20B}"/>
                </c:ext>
              </c:extLst>
            </c:dLbl>
            <c:dLbl>
              <c:idx val="3"/>
              <c:layout>
                <c:manualLayout>
                  <c:x val="-0.20826251771987123"/>
                  <c:y val="-5.192720936153989E-2"/>
                </c:manualLayout>
              </c:layout>
              <c:numFmt formatCode="0%" sourceLinked="0"/>
              <c:spPr>
                <a:noFill/>
                <a:ln cap="rnd">
                  <a:noFill/>
                </a:ln>
                <a:effectLst/>
              </c:spPr>
              <c:txPr>
                <a:bodyPr/>
                <a:lstStyle/>
                <a:p>
                  <a:pPr>
                    <a:defRPr>
                      <a:solidFill>
                        <a:schemeClr val="tx1">
                          <a:lumMod val="65000"/>
                          <a:lumOff val="35000"/>
                        </a:schemeClr>
                      </a:solidFill>
                      <a:latin typeface="Century Gothic"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8310712041008546"/>
                      <c:h val="0.14514067285126953"/>
                    </c:manualLayout>
                  </c15:layout>
                </c:ext>
                <c:ext xmlns:c16="http://schemas.microsoft.com/office/drawing/2014/chart" uri="{C3380CC4-5D6E-409C-BE32-E72D297353CC}">
                  <c16:uniqueId val="{00000006-0A5C-4DC7-8F1A-219DE91BC20B}"/>
                </c:ext>
              </c:extLst>
            </c:dLbl>
            <c:dLbl>
              <c:idx val="4"/>
              <c:layout>
                <c:manualLayout>
                  <c:x val="0.22927647651793417"/>
                  <c:y val="-7.1443363585196568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2272770780932749"/>
                      <c:h val="0.14040478971711645"/>
                    </c:manualLayout>
                  </c15:layout>
                </c:ext>
                <c:ext xmlns:c16="http://schemas.microsoft.com/office/drawing/2014/chart" uri="{C3380CC4-5D6E-409C-BE32-E72D297353CC}">
                  <c16:uniqueId val="{00000008-0A5C-4DC7-8F1A-219DE91BC20B}"/>
                </c:ext>
              </c:extLst>
            </c:dLbl>
            <c:dLbl>
              <c:idx val="5"/>
              <c:layout>
                <c:manualLayout>
                  <c:x val="0.1471420853380799"/>
                  <c:y val="-0.16104031140372108"/>
                </c:manualLayout>
              </c:layout>
              <c:numFmt formatCode="0%" sourceLinked="0"/>
              <c:spPr>
                <a:noFill/>
                <a:ln cap="rnd">
                  <a:noFill/>
                </a:ln>
                <a:effectLst/>
              </c:spPr>
              <c:txPr>
                <a:bodyPr/>
                <a:lstStyle/>
                <a:p>
                  <a:pPr>
                    <a:defRPr>
                      <a:solidFill>
                        <a:schemeClr val="tx1">
                          <a:lumMod val="65000"/>
                          <a:lumOff val="35000"/>
                        </a:schemeClr>
                      </a:solidFill>
                      <a:latin typeface="Century Gothic"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2393049627963871"/>
                      <c:h val="0.14514067285126953"/>
                    </c:manualLayout>
                  </c15:layout>
                </c:ext>
                <c:ext xmlns:c16="http://schemas.microsoft.com/office/drawing/2014/chart" uri="{C3380CC4-5D6E-409C-BE32-E72D297353CC}">
                  <c16:uniqueId val="{0000000A-0A5C-4DC7-8F1A-219DE91BC20B}"/>
                </c:ext>
              </c:extLst>
            </c:dLbl>
            <c:dLbl>
              <c:idx val="6"/>
              <c:layout>
                <c:manualLayout>
                  <c:x val="3.5936692044724744E-2"/>
                  <c:y val="8.9784498597155149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0A5C-4DC7-8F1A-219DE91BC20B}"/>
                </c:ext>
              </c:extLst>
            </c:dLbl>
            <c:dLbl>
              <c:idx val="7"/>
              <c:layout>
                <c:manualLayout>
                  <c:x val="-5.3129579248754104E-2"/>
                  <c:y val="-1.7485542357059642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0A5C-4DC7-8F1A-219DE91BC20B}"/>
                </c:ext>
              </c:extLst>
            </c:dLbl>
            <c:dLbl>
              <c:idx val="8"/>
              <c:layout>
                <c:manualLayout>
                  <c:x val="0.2253309892808259"/>
                  <c:y val="8.0669696589851278E-2"/>
                </c:manualLayout>
              </c:layout>
              <c:numFmt formatCode="0%" sourceLinked="0"/>
              <c:spPr>
                <a:noFill/>
                <a:ln cap="rnd">
                  <a:noFill/>
                </a:ln>
                <a:effectLst/>
              </c:spPr>
              <c:txPr>
                <a:bodyPr/>
                <a:lstStyle/>
                <a:p>
                  <a:pPr>
                    <a:defRPr>
                      <a:solidFill>
                        <a:schemeClr val="tx1">
                          <a:lumMod val="65000"/>
                          <a:lumOff val="35000"/>
                        </a:schemeClr>
                      </a:solidFill>
                      <a:latin typeface="Century Gothic"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0A5C-4DC7-8F1A-219DE91BC20B}"/>
                </c:ext>
              </c:extLst>
            </c:dLbl>
            <c:dLbl>
              <c:idx val="9"/>
              <c:layout>
                <c:manualLayout>
                  <c:x val="-0.17104530707937488"/>
                  <c:y val="1.5125019358119322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51C1-4054-8CBF-D115E5FB2B95}"/>
                </c:ext>
              </c:extLst>
            </c:dLbl>
            <c:dLbl>
              <c:idx val="10"/>
              <c:layout>
                <c:manualLayout>
                  <c:x val="0.36538600720212938"/>
                  <c:y val="0.56405027922542583"/>
                </c:manualLayout>
              </c:layout>
              <c:numFmt formatCode="0%" sourceLinked="0"/>
              <c:spPr>
                <a:solidFill>
                  <a:schemeClr val="bg1">
                    <a:lumMod val="95000"/>
                  </a:schemeClr>
                </a:solidFill>
                <a:ln cap="rnd">
                  <a:solidFill>
                    <a:srgbClr val="4F81BD"/>
                  </a:solidFill>
                  <a:prstDash val="dash"/>
                </a:ln>
                <a:effectLst/>
              </c:spPr>
              <c:txPr>
                <a:bodyPr/>
                <a:lstStyle/>
                <a:p>
                  <a:pPr>
                    <a:defRPr>
                      <a:solidFill>
                        <a:schemeClr val="tx1">
                          <a:lumMod val="65000"/>
                          <a:lumOff val="35000"/>
                        </a:schemeClr>
                      </a:solidFill>
                      <a:latin typeface="Century Gothic"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51C1-4054-8CBF-D115E5FB2B95}"/>
                </c:ext>
              </c:extLst>
            </c:dLbl>
            <c:numFmt formatCode="0%" sourceLinked="0"/>
            <c:spPr>
              <a:solidFill>
                <a:schemeClr val="bg1">
                  <a:lumMod val="95000"/>
                </a:schemeClr>
              </a:solidFill>
              <a:ln cap="rnd">
                <a:noFill/>
              </a:ln>
              <a:effectLst/>
            </c:spPr>
            <c:txPr>
              <a:bodyPr/>
              <a:lstStyle/>
              <a:p>
                <a:pPr>
                  <a:defRPr>
                    <a:solidFill>
                      <a:schemeClr val="tx1">
                        <a:lumMod val="65000"/>
                        <a:lumOff val="35000"/>
                      </a:schemeClr>
                    </a:solidFill>
                    <a:latin typeface="Century Gothic" pitchFamily="34" charset="0"/>
                  </a:defRPr>
                </a:pPr>
                <a:endParaRPr lang="en-US"/>
              </a:p>
            </c:txPr>
            <c:dLblPos val="bestFit"/>
            <c:showLegendKey val="0"/>
            <c:showVal val="1"/>
            <c:showCatName val="1"/>
            <c:showSerName val="0"/>
            <c:showPercent val="1"/>
            <c:showBubbleSize val="0"/>
            <c:separator>
</c:separator>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'6A_Category'!$R$3:$R$13</c:f>
              <c:strCache>
                <c:ptCount val="11"/>
                <c:pt idx="0">
                  <c:v>Coordination (Local/Regional)</c:v>
                </c:pt>
                <c:pt idx="1">
                  <c:v>Coordination &amp; Project Mgmt</c:v>
                </c:pt>
                <c:pt idx="2">
                  <c:v>Data Management</c:v>
                </c:pt>
                <c:pt idx="3">
                  <c:v>Habitat (Restoration/Protection)</c:v>
                </c:pt>
                <c:pt idx="4">
                  <c:v>Harvest Augmentation</c:v>
                </c:pt>
                <c:pt idx="5">
                  <c:v>Production (Supplementation)</c:v>
                </c:pt>
                <c:pt idx="6">
                  <c:v>Law Enforcement</c:v>
                </c:pt>
                <c:pt idx="7">
                  <c:v>Predator Removal</c:v>
                </c:pt>
                <c:pt idx="8">
                  <c:v>Research, Monitoring and Evaluation</c:v>
                </c:pt>
                <c:pt idx="9">
                  <c:v>G&amp;A</c:v>
                </c:pt>
                <c:pt idx="10">
                  <c:v>CRSO EIS</c:v>
                </c:pt>
              </c:strCache>
            </c:strRef>
          </c:cat>
          <c:val>
            <c:numRef>
              <c:f>'6A_Category'!$Q$3:$Q$13</c:f>
              <c:numCache>
                <c:formatCode>"$"#.0,,\ "million"</c:formatCode>
                <c:ptCount val="11"/>
                <c:pt idx="0">
                  <c:v>11096346</c:v>
                </c:pt>
                <c:pt idx="1">
                  <c:v>11906296</c:v>
                </c:pt>
                <c:pt idx="2">
                  <c:v>5141190.7600000007</c:v>
                </c:pt>
                <c:pt idx="3">
                  <c:v>122044125.41000001</c:v>
                </c:pt>
                <c:pt idx="4">
                  <c:v>5246418.55</c:v>
                </c:pt>
                <c:pt idx="5">
                  <c:v>46496391.919999987</c:v>
                </c:pt>
                <c:pt idx="6">
                  <c:v>937863.16</c:v>
                </c:pt>
                <c:pt idx="7">
                  <c:v>4087548.31</c:v>
                </c:pt>
                <c:pt idx="8">
                  <c:v>76050145.24999997</c:v>
                </c:pt>
                <c:pt idx="9">
                  <c:v>12327352</c:v>
                </c:pt>
                <c:pt idx="10">
                  <c:v>179587</c:v>
                </c:pt>
              </c:numCache>
            </c:numRef>
          </c:val>
          <c:extLst>
            <c:ext xmlns:c16="http://schemas.microsoft.com/office/drawing/2014/chart" uri="{C3380CC4-5D6E-409C-BE32-E72D297353CC}">
              <c16:uniqueId val="{0000000F-0A5C-4DC7-8F1A-219DE91BC20B}"/>
            </c:ext>
          </c:extLst>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0776840145977771E-2"/>
          <c:y val="6.2909136535324742E-3"/>
          <c:w val="0.88631511701754673"/>
          <c:h val="0.92889625000770593"/>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A5CE-487F-888A-ADA545CC2CAC}"/>
              </c:ext>
            </c:extLst>
          </c:dPt>
          <c:dPt>
            <c:idx val="1"/>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A5CE-487F-888A-ADA545CC2CAC}"/>
              </c:ext>
            </c:extLst>
          </c:dPt>
          <c:dPt>
            <c:idx val="2"/>
            <c:bubble3D val="0"/>
            <c:extLst>
              <c:ext xmlns:c16="http://schemas.microsoft.com/office/drawing/2014/chart" uri="{C3380CC4-5D6E-409C-BE32-E72D297353CC}">
                <c16:uniqueId val="{00000004-A5CE-487F-888A-ADA545CC2CAC}"/>
              </c:ext>
            </c:extLst>
          </c:dPt>
          <c:dPt>
            <c:idx val="3"/>
            <c:bubble3D val="0"/>
            <c:spPr>
              <a:solidFill>
                <a:srgbClr val="4BACC6">
                  <a:lumMod val="60000"/>
                  <a:lumOff val="40000"/>
                </a:srgb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A5CE-487F-888A-ADA545CC2CAC}"/>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A5CE-487F-888A-ADA545CC2CAC}"/>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A5CE-487F-888A-ADA545CC2CAC}"/>
              </c:ext>
            </c:extLst>
          </c:dPt>
          <c:dPt>
            <c:idx val="6"/>
            <c:bubble3D val="0"/>
            <c:spPr>
              <a:solidFill>
                <a:sysClr val="window" lastClr="FFFFFF">
                  <a:lumMod val="50000"/>
                </a:sys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A5CE-487F-888A-ADA545CC2CAC}"/>
              </c:ext>
            </c:extLst>
          </c:dPt>
          <c:dLbls>
            <c:dLbl>
              <c:idx val="0"/>
              <c:layout>
                <c:manualLayout>
                  <c:x val="-0.11952214856874256"/>
                  <c:y val="2.3151193719869727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A5CE-487F-888A-ADA545CC2CAC}"/>
                </c:ext>
              </c:extLst>
            </c:dLbl>
            <c:dLbl>
              <c:idx val="1"/>
              <c:layout>
                <c:manualLayout>
                  <c:x val="-0.10029999061555395"/>
                  <c:y val="0.17197774863832865"/>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A5CE-487F-888A-ADA545CC2CAC}"/>
                </c:ext>
              </c:extLst>
            </c:dLbl>
            <c:dLbl>
              <c:idx val="2"/>
              <c:layout>
                <c:manualLayout>
                  <c:x val="-0.20558583198670155"/>
                  <c:y val="6.2372794122342326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18409807334896947"/>
                      <c:h val="0.11734465615834905"/>
                    </c:manualLayout>
                  </c15:layout>
                </c:ext>
                <c:ext xmlns:c16="http://schemas.microsoft.com/office/drawing/2014/chart" uri="{C3380CC4-5D6E-409C-BE32-E72D297353CC}">
                  <c16:uniqueId val="{00000004-A5CE-487F-888A-ADA545CC2CAC}"/>
                </c:ext>
              </c:extLst>
            </c:dLbl>
            <c:dLbl>
              <c:idx val="3"/>
              <c:layout>
                <c:manualLayout>
                  <c:x val="0.11774951978300113"/>
                  <c:y val="-0.18807252845580871"/>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5012301935377529"/>
                      <c:h val="0.11581776560338462"/>
                    </c:manualLayout>
                  </c15:layout>
                </c:ext>
                <c:ext xmlns:c16="http://schemas.microsoft.com/office/drawing/2014/chart" uri="{C3380CC4-5D6E-409C-BE32-E72D297353CC}">
                  <c16:uniqueId val="{00000006-A5CE-487F-888A-ADA545CC2CAC}"/>
                </c:ext>
              </c:extLst>
            </c:dLbl>
            <c:dLbl>
              <c:idx val="4"/>
              <c:layout>
                <c:manualLayout>
                  <c:x val="0.32817548282793746"/>
                  <c:y val="-5.297057210789867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272770780932749"/>
                      <c:h val="0.14040478971711645"/>
                    </c:manualLayout>
                  </c15:layout>
                </c:ext>
                <c:ext xmlns:c16="http://schemas.microsoft.com/office/drawing/2014/chart" uri="{C3380CC4-5D6E-409C-BE32-E72D297353CC}">
                  <c16:uniqueId val="{00000008-A5CE-487F-888A-ADA545CC2CAC}"/>
                </c:ext>
              </c:extLst>
            </c:dLbl>
            <c:dLbl>
              <c:idx val="5"/>
              <c:layout>
                <c:manualLayout>
                  <c:x val="0.12205989968645338"/>
                  <c:y val="-0.16751737732529945"/>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393049627963871"/>
                      <c:h val="0.14514067285126953"/>
                    </c:manualLayout>
                  </c15:layout>
                </c:ext>
                <c:ext xmlns:c16="http://schemas.microsoft.com/office/drawing/2014/chart" uri="{C3380CC4-5D6E-409C-BE32-E72D297353CC}">
                  <c16:uniqueId val="{0000000A-A5CE-487F-888A-ADA545CC2CAC}"/>
                </c:ext>
              </c:extLst>
            </c:dLbl>
            <c:dLbl>
              <c:idx val="6"/>
              <c:layout>
                <c:manualLayout>
                  <c:x val="8.4392821723562661E-2"/>
                  <c:y val="0.1983839646599998"/>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A5CE-487F-888A-ADA545CC2CAC}"/>
                </c:ext>
              </c:extLst>
            </c:dLbl>
            <c:dLbl>
              <c:idx val="7"/>
              <c:layout>
                <c:manualLayout>
                  <c:x val="7.0934888780871702E-2"/>
                  <c:y val="-8.8613754867309186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A5CE-487F-888A-ADA545CC2CAC}"/>
                </c:ext>
              </c:extLst>
            </c:dLbl>
            <c:dLbl>
              <c:idx val="8"/>
              <c:layout>
                <c:manualLayout>
                  <c:x val="0.15159346128028856"/>
                  <c:y val="0.19401158051333381"/>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A5CE-487F-888A-ADA545CC2CAC}"/>
                </c:ext>
              </c:extLst>
            </c:dLbl>
            <c:numFmt formatCode="0.0%" sourceLinked="0"/>
            <c:spPr>
              <a:solidFill>
                <a:schemeClr val="bg1">
                  <a:lumMod val="95000"/>
                </a:schemeClr>
              </a:solidFill>
              <a:ln cap="rnd">
                <a:solidFill>
                  <a:sysClr val="window" lastClr="FFFFFF">
                    <a:lumMod val="65000"/>
                  </a:sysClr>
                </a:solidFill>
              </a:ln>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'6B_ArtProd'!$A$3:$A$6</c:f>
              <c:strCache>
                <c:ptCount val="4"/>
                <c:pt idx="0">
                  <c:v>Coordination (Local/Regional)</c:v>
                </c:pt>
                <c:pt idx="1">
                  <c:v>Harvest Augmentation</c:v>
                </c:pt>
                <c:pt idx="2">
                  <c:v>RM&amp;E</c:v>
                </c:pt>
                <c:pt idx="3">
                  <c:v>Supplementation</c:v>
                </c:pt>
              </c:strCache>
            </c:strRef>
          </c:cat>
          <c:val>
            <c:numRef>
              <c:f>'6B_ArtProd'!$Q$3:$Q$6</c:f>
              <c:numCache>
                <c:formatCode>"$"#.0,,\ "million"</c:formatCode>
                <c:ptCount val="4"/>
                <c:pt idx="0">
                  <c:v>501558.63</c:v>
                </c:pt>
                <c:pt idx="1">
                  <c:v>5246418.55</c:v>
                </c:pt>
                <c:pt idx="2">
                  <c:v>19198616.699999999</c:v>
                </c:pt>
                <c:pt idx="3">
                  <c:v>46496391.919999979</c:v>
                </c:pt>
              </c:numCache>
            </c:numRef>
          </c:val>
          <c:extLst>
            <c:ext xmlns:c16="http://schemas.microsoft.com/office/drawing/2014/chart" uri="{C3380CC4-5D6E-409C-BE32-E72D297353CC}">
              <c16:uniqueId val="{0000000F-A5CE-487F-888A-ADA545CC2CAC}"/>
            </c:ext>
          </c:extLst>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12482746382844E-2"/>
          <c:y val="2.3363703774675903E-2"/>
          <c:w val="0.88057596159620866"/>
          <c:h val="0.9647995412931254"/>
        </c:manualLayout>
      </c:layout>
      <c:pieChart>
        <c:varyColors val="1"/>
        <c:ser>
          <c:idx val="0"/>
          <c:order val="0"/>
          <c:spPr>
            <a:effectLst>
              <a:outerShdw blurRad="50800" dist="38100" dir="2700000" algn="tl" rotWithShape="0">
                <a:prstClr val="black">
                  <a:alpha val="40000"/>
                </a:prstClr>
              </a:outerShdw>
            </a:effectLst>
          </c:spPr>
          <c:dLbls>
            <c:dLbl>
              <c:idx val="0"/>
              <c:layout>
                <c:manualLayout>
                  <c:x val="-0.22814271500844852"/>
                  <c:y val="0.23148670883990141"/>
                </c:manualLayout>
              </c:layout>
              <c:numFmt formatCode="General" sourceLinked="0"/>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22773652344690307"/>
                      <c:h val="0.10324018061973993"/>
                    </c:manualLayout>
                  </c15:layout>
                </c:ext>
                <c:ext xmlns:c16="http://schemas.microsoft.com/office/drawing/2014/chart" uri="{C3380CC4-5D6E-409C-BE32-E72D297353CC}">
                  <c16:uniqueId val="{00000000-9741-4BA5-9625-BE7798C093FB}"/>
                </c:ext>
              </c:extLst>
            </c:dLbl>
            <c:dLbl>
              <c:idx val="1"/>
              <c:layout>
                <c:manualLayout>
                  <c:x val="-0.19514769370182158"/>
                  <c:y val="-0.16490888612558877"/>
                </c:manualLayout>
              </c:layout>
              <c:numFmt formatCode="General" sourceLinked="0"/>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4497850956486227"/>
                      <c:h val="0.13152140617183558"/>
                    </c:manualLayout>
                  </c15:layout>
                </c:ext>
                <c:ext xmlns:c16="http://schemas.microsoft.com/office/drawing/2014/chart" uri="{C3380CC4-5D6E-409C-BE32-E72D297353CC}">
                  <c16:uniqueId val="{00000001-9741-4BA5-9625-BE7798C093FB}"/>
                </c:ext>
              </c:extLst>
            </c:dLbl>
            <c:dLbl>
              <c:idx val="2"/>
              <c:layout>
                <c:manualLayout>
                  <c:x val="7.1086081166297915E-2"/>
                  <c:y val="-4.5315908315970564E-2"/>
                </c:manualLayout>
              </c:layout>
              <c:numFmt formatCode="General" sourceLinked="0"/>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7902171621336707"/>
                      <c:h val="0.1133781136300028"/>
                    </c:manualLayout>
                  </c15:layout>
                </c:ext>
                <c:ext xmlns:c16="http://schemas.microsoft.com/office/drawing/2014/chart" uri="{C3380CC4-5D6E-409C-BE32-E72D297353CC}">
                  <c16:uniqueId val="{00000002-9741-4BA5-9625-BE7798C093FB}"/>
                </c:ext>
              </c:extLst>
            </c:dLbl>
            <c:dLbl>
              <c:idx val="3"/>
              <c:layout>
                <c:manualLayout>
                  <c:x val="-5.1237875300967198E-2"/>
                  <c:y val="-4.9350611306559572E-2"/>
                </c:manualLayout>
              </c:layout>
              <c:numFmt formatCode="General" sourceLinked="0"/>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8115117014547755"/>
                      <c:h val="9.3786733837111669E-2"/>
                    </c:manualLayout>
                  </c15:layout>
                </c:ext>
                <c:ext xmlns:c16="http://schemas.microsoft.com/office/drawing/2014/chart" uri="{C3380CC4-5D6E-409C-BE32-E72D297353CC}">
                  <c16:uniqueId val="{00000003-9741-4BA5-9625-BE7798C093FB}"/>
                </c:ext>
              </c:extLst>
            </c:dLbl>
            <c:dLbl>
              <c:idx val="4"/>
              <c:layout>
                <c:manualLayout>
                  <c:x val="7.4088937673753144E-2"/>
                  <c:y val="-0.17612405298155331"/>
                </c:manualLayout>
              </c:layout>
              <c:numFmt formatCode="General" sourceLinked="0"/>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6036197562591203"/>
                      <c:h val="0.12020821074947495"/>
                    </c:manualLayout>
                  </c15:layout>
                </c:ext>
                <c:ext xmlns:c16="http://schemas.microsoft.com/office/drawing/2014/chart" uri="{C3380CC4-5D6E-409C-BE32-E72D297353CC}">
                  <c16:uniqueId val="{00000004-9741-4BA5-9625-BE7798C093FB}"/>
                </c:ext>
              </c:extLst>
            </c:dLbl>
            <c:dLbl>
              <c:idx val="5"/>
              <c:layout>
                <c:manualLayout>
                  <c:x val="0.15131062598833395"/>
                  <c:y val="2.8461548568613593E-2"/>
                </c:manualLayout>
              </c:layout>
              <c:numFmt formatCode="General" sourceLinked="0"/>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22147593201335269"/>
                      <c:h val="0.10966616015103375"/>
                    </c:manualLayout>
                  </c15:layout>
                </c:ext>
                <c:ext xmlns:c16="http://schemas.microsoft.com/office/drawing/2014/chart" uri="{C3380CC4-5D6E-409C-BE32-E72D297353CC}">
                  <c16:uniqueId val="{00000005-9741-4BA5-9625-BE7798C093FB}"/>
                </c:ext>
              </c:extLst>
            </c:dLbl>
            <c:dLbl>
              <c:idx val="6"/>
              <c:layout>
                <c:manualLayout>
                  <c:x val="0.11627466469603921"/>
                  <c:y val="-0.11729060183266565"/>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741-4BA5-9625-BE7798C093FB}"/>
                </c:ext>
              </c:extLst>
            </c:dLbl>
            <c:dLbl>
              <c:idx val="7"/>
              <c:layout>
                <c:manualLayout>
                  <c:x val="8.9347824240416554E-2"/>
                  <c:y val="-9.5620665837822985E-2"/>
                </c:manualLayout>
              </c:layout>
              <c:showLegendKey val="0"/>
              <c:showVal val="1"/>
              <c:showCatName val="1"/>
              <c:showSerName val="0"/>
              <c:showPercent val="1"/>
              <c:showBubbleSize val="0"/>
              <c:extLst>
                <c:ext xmlns:c15="http://schemas.microsoft.com/office/drawing/2012/chart" uri="{CE6537A1-D6FC-4f65-9D91-7224C49458BB}">
                  <c15:layout>
                    <c:manualLayout>
                      <c:w val="0.15647714356149364"/>
                      <c:h val="5.35258058034025E-2"/>
                    </c:manualLayout>
                  </c15:layout>
                </c:ext>
                <c:ext xmlns:c16="http://schemas.microsoft.com/office/drawing/2014/chart" uri="{C3380CC4-5D6E-409C-BE32-E72D297353CC}">
                  <c16:uniqueId val="{00000007-9741-4BA5-9625-BE7798C093FB}"/>
                </c:ext>
              </c:extLst>
            </c:dLbl>
            <c:dLbl>
              <c:idx val="8"/>
              <c:layout>
                <c:manualLayout>
                  <c:x val="5.4920537845390686E-2"/>
                  <c:y val="-4.210121103283142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741-4BA5-9625-BE7798C093FB}"/>
                </c:ext>
              </c:extLst>
            </c:dLbl>
            <c:dLbl>
              <c:idx val="9"/>
              <c:layout>
                <c:manualLayout>
                  <c:x val="0.13081143983215687"/>
                  <c:y val="0.11538591886540499"/>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741-4BA5-9625-BE7798C093FB}"/>
                </c:ext>
              </c:extLst>
            </c:dLbl>
            <c:dLbl>
              <c:idx val="10"/>
              <c:layout>
                <c:manualLayout>
                  <c:x val="8.3128965675407035E-2"/>
                  <c:y val="7.5079062485610346E-2"/>
                </c:manualLayout>
              </c:layout>
              <c:numFmt formatCode="General" sourceLinked="0"/>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305811931872605"/>
                      <c:h val="9.3297302375590099E-2"/>
                    </c:manualLayout>
                  </c15:layout>
                </c:ext>
                <c:ext xmlns:c16="http://schemas.microsoft.com/office/drawing/2014/chart" uri="{C3380CC4-5D6E-409C-BE32-E72D297353CC}">
                  <c16:uniqueId val="{0000000A-9741-4BA5-9625-BE7798C093FB}"/>
                </c:ext>
              </c:extLst>
            </c:dLbl>
            <c:dLbl>
              <c:idx val="11"/>
              <c:layout>
                <c:manualLayout>
                  <c:x val="1.9382576981373585E-2"/>
                  <c:y val="0.19116359215500889"/>
                </c:manualLayout>
              </c:layout>
              <c:showLegendKey val="0"/>
              <c:showVal val="1"/>
              <c:showCatName val="1"/>
              <c:showSerName val="0"/>
              <c:showPercent val="1"/>
              <c:showBubbleSize val="0"/>
              <c:extLst>
                <c:ext xmlns:c15="http://schemas.microsoft.com/office/drawing/2012/chart" uri="{CE6537A1-D6FC-4f65-9D91-7224C49458BB}">
                  <c15:layout>
                    <c:manualLayout>
                      <c:w val="0.1095469646308717"/>
                      <c:h val="6.4889090538313252E-2"/>
                    </c:manualLayout>
                  </c15:layout>
                </c:ext>
                <c:ext xmlns:c16="http://schemas.microsoft.com/office/drawing/2014/chart" uri="{C3380CC4-5D6E-409C-BE32-E72D297353CC}">
                  <c16:uniqueId val="{0000000B-9741-4BA5-9625-BE7798C093FB}"/>
                </c:ext>
              </c:extLst>
            </c:dLbl>
            <c:numFmt formatCode="General" sourceLinked="0"/>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sp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'6C_RME'!$A$4:$A$9</c:f>
              <c:strCache>
                <c:ptCount val="6"/>
                <c:pt idx="0">
                  <c:v>Artificial Production</c:v>
                </c:pt>
                <c:pt idx="1">
                  <c:v>Habitat</c:v>
                </c:pt>
                <c:pt idx="2">
                  <c:v>Harvest</c:v>
                </c:pt>
                <c:pt idx="3">
                  <c:v>Hydrosystem</c:v>
                </c:pt>
                <c:pt idx="4">
                  <c:v>Predation</c:v>
                </c:pt>
                <c:pt idx="5">
                  <c:v>Programmatic</c:v>
                </c:pt>
              </c:strCache>
            </c:strRef>
          </c:cat>
          <c:val>
            <c:numRef>
              <c:f>'6C_RME'!$M$4:$M$9</c:f>
              <c:numCache>
                <c:formatCode>"$"#.0,,\ "million"</c:formatCode>
                <c:ptCount val="6"/>
                <c:pt idx="0">
                  <c:v>19198616.70000001</c:v>
                </c:pt>
                <c:pt idx="1">
                  <c:v>12887138.150000002</c:v>
                </c:pt>
                <c:pt idx="2">
                  <c:v>665946.26000000013</c:v>
                </c:pt>
                <c:pt idx="3">
                  <c:v>6859234.2000000002</c:v>
                </c:pt>
                <c:pt idx="4">
                  <c:v>1816845.15</c:v>
                </c:pt>
                <c:pt idx="5">
                  <c:v>34622364.789999999</c:v>
                </c:pt>
              </c:numCache>
            </c:numRef>
          </c:val>
          <c:extLst>
            <c:ext xmlns:c16="http://schemas.microsoft.com/office/drawing/2014/chart" uri="{C3380CC4-5D6E-409C-BE32-E72D297353CC}">
              <c16:uniqueId val="{0000000C-9741-4BA5-9625-BE7798C093FB}"/>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a:effectLst/>
  </c:sp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31</xdr:row>
      <xdr:rowOff>0</xdr:rowOff>
    </xdr:from>
    <xdr:to>
      <xdr:col>11</xdr:col>
      <xdr:colOff>510599</xdr:colOff>
      <xdr:row>63</xdr:row>
      <xdr:rowOff>54742</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16</xdr:row>
      <xdr:rowOff>66675</xdr:rowOff>
    </xdr:from>
    <xdr:to>
      <xdr:col>4</xdr:col>
      <xdr:colOff>788670</xdr:colOff>
      <xdr:row>42</xdr:row>
      <xdr:rowOff>49530</xdr:rowOff>
    </xdr:to>
    <xdr:graphicFrame macro="">
      <xdr:nvGraphicFramePr>
        <xdr:cNvPr id="2" name="Chart 1">
          <a:extLst>
            <a:ext uri="{FF2B5EF4-FFF2-40B4-BE49-F238E27FC236}">
              <a16:creationId xmlns:a16="http://schemas.microsoft.com/office/drawing/2014/main" id="{2B62F96A-69C4-4336-8D4D-4432C84EB1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28</xdr:row>
      <xdr:rowOff>19049</xdr:rowOff>
    </xdr:from>
    <xdr:to>
      <xdr:col>4</xdr:col>
      <xdr:colOff>321400</xdr:colOff>
      <xdr:row>62</xdr:row>
      <xdr:rowOff>16600</xdr:rowOff>
    </xdr:to>
    <xdr:graphicFrame macro="">
      <xdr:nvGraphicFramePr>
        <xdr:cNvPr id="3" name="Chart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77</xdr:row>
      <xdr:rowOff>0</xdr:rowOff>
    </xdr:from>
    <xdr:to>
      <xdr:col>2</xdr:col>
      <xdr:colOff>352426</xdr:colOff>
      <xdr:row>112</xdr:row>
      <xdr:rowOff>38101</xdr:rowOff>
    </xdr:to>
    <xdr:graphicFrame macro="">
      <xdr:nvGraphicFramePr>
        <xdr:cNvPr id="2" name="Chart 1">
          <a:extLst>
            <a:ext uri="{FF2B5EF4-FFF2-40B4-BE49-F238E27FC236}">
              <a16:creationId xmlns:a16="http://schemas.microsoft.com/office/drawing/2014/main" id="{16798463-AC7C-4CE7-9606-E74BC8F7BA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6</xdr:col>
      <xdr:colOff>320585</xdr:colOff>
      <xdr:row>81</xdr:row>
      <xdr:rowOff>97845</xdr:rowOff>
    </xdr:from>
    <xdr:ext cx="7273418" cy="7198305"/>
    <xdr:graphicFrame macro="">
      <xdr:nvGraphicFramePr>
        <xdr:cNvPr id="2" name="Chart 1">
          <a:extLst>
            <a:ext uri="{FF2B5EF4-FFF2-40B4-BE49-F238E27FC236}">
              <a16:creationId xmlns:a16="http://schemas.microsoft.com/office/drawing/2014/main" id="{89ED2140-9AA1-4999-9647-AA83AA7BB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twoCellAnchor editAs="oneCell">
    <xdr:from>
      <xdr:col>2</xdr:col>
      <xdr:colOff>367394</xdr:colOff>
      <xdr:row>30</xdr:row>
      <xdr:rowOff>95252</xdr:rowOff>
    </xdr:from>
    <xdr:to>
      <xdr:col>9</xdr:col>
      <xdr:colOff>208191</xdr:colOff>
      <xdr:row>63</xdr:row>
      <xdr:rowOff>57023</xdr:rowOff>
    </xdr:to>
    <xdr:graphicFrame macro="">
      <xdr:nvGraphicFramePr>
        <xdr:cNvPr id="3" name="Chart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32</xdr:col>
      <xdr:colOff>0</xdr:colOff>
      <xdr:row>28</xdr:row>
      <xdr:rowOff>1242</xdr:rowOff>
    </xdr:from>
    <xdr:to>
      <xdr:col>41</xdr:col>
      <xdr:colOff>361951</xdr:colOff>
      <xdr:row>53</xdr:row>
      <xdr:rowOff>0</xdr:rowOff>
    </xdr:to>
    <xdr:graphicFrame macro="">
      <xdr:nvGraphicFramePr>
        <xdr:cNvPr id="4" name="Chart 3">
          <a:extLst>
            <a:ext uri="{FF2B5EF4-FFF2-40B4-BE49-F238E27FC236}">
              <a16:creationId xmlns:a16="http://schemas.microsoft.com/office/drawing/2014/main" id="{DEED4456-E4EF-4CA2-9820-728F5D7026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44</xdr:col>
      <xdr:colOff>0</xdr:colOff>
      <xdr:row>29</xdr:row>
      <xdr:rowOff>0</xdr:rowOff>
    </xdr:from>
    <xdr:to>
      <xdr:col>53</xdr:col>
      <xdr:colOff>447262</xdr:colOff>
      <xdr:row>54</xdr:row>
      <xdr:rowOff>20293</xdr:rowOff>
    </xdr:to>
    <xdr:graphicFrame macro="">
      <xdr:nvGraphicFramePr>
        <xdr:cNvPr id="5" name="Chart 4">
          <a:extLst>
            <a:ext uri="{FF2B5EF4-FFF2-40B4-BE49-F238E27FC236}">
              <a16:creationId xmlns:a16="http://schemas.microsoft.com/office/drawing/2014/main" id="{4356DCE3-651D-4C9F-85C2-87436A52E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0.7935</cdr:x>
      <cdr:y>0.13755</cdr:y>
    </cdr:from>
    <cdr:to>
      <cdr:x>0.94712</cdr:x>
      <cdr:y>0.19777</cdr:y>
    </cdr:to>
    <cdr:sp macro="" textlink="">
      <cdr:nvSpPr>
        <cdr:cNvPr id="3" name="TextBox 2"/>
        <cdr:cNvSpPr txBox="1"/>
      </cdr:nvSpPr>
      <cdr:spPr>
        <a:xfrm xmlns:a="http://schemas.openxmlformats.org/drawingml/2006/main">
          <a:off x="4973222" y="556657"/>
          <a:ext cx="962806" cy="24370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$2.9B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0.80295</cdr:x>
      <cdr:y>0.07316</cdr:y>
    </cdr:from>
    <cdr:to>
      <cdr:x>0.88479</cdr:x>
      <cdr:y>0.13337</cdr:y>
    </cdr:to>
    <cdr:sp macro="" textlink="">
      <cdr:nvSpPr>
        <cdr:cNvPr id="4" name="TextBox 1"/>
        <cdr:cNvSpPr txBox="1"/>
      </cdr:nvSpPr>
      <cdr:spPr>
        <a:xfrm xmlns:a="http://schemas.openxmlformats.org/drawingml/2006/main">
          <a:off x="5032451" y="296053"/>
          <a:ext cx="512928" cy="24366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Totals</a:t>
          </a:r>
        </a:p>
      </cdr:txBody>
    </cdr:sp>
  </cdr:relSizeAnchor>
  <cdr:relSizeAnchor xmlns:cdr="http://schemas.openxmlformats.org/drawingml/2006/chartDrawing">
    <cdr:from>
      <cdr:x>0.79473</cdr:x>
      <cdr:y>0.30329</cdr:y>
    </cdr:from>
    <cdr:to>
      <cdr:x>0.94835</cdr:x>
      <cdr:y>0.36351</cdr:y>
    </cdr:to>
    <cdr:sp macro="" textlink="">
      <cdr:nvSpPr>
        <cdr:cNvPr id="5" name="TextBox 1"/>
        <cdr:cNvSpPr txBox="1"/>
      </cdr:nvSpPr>
      <cdr:spPr>
        <a:xfrm xmlns:a="http://schemas.openxmlformats.org/drawingml/2006/main">
          <a:off x="4980931" y="1227362"/>
          <a:ext cx="962806" cy="2437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$4.3B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0.79486</cdr:x>
      <cdr:y>0.45044</cdr:y>
    </cdr:from>
    <cdr:to>
      <cdr:x>0.94848</cdr:x>
      <cdr:y>0.51066</cdr:y>
    </cdr:to>
    <cdr:sp macro="" textlink="">
      <cdr:nvSpPr>
        <cdr:cNvPr id="6" name="TextBox 1"/>
        <cdr:cNvSpPr txBox="1"/>
      </cdr:nvSpPr>
      <cdr:spPr>
        <a:xfrm xmlns:a="http://schemas.openxmlformats.org/drawingml/2006/main">
          <a:off x="4981745" y="1822866"/>
          <a:ext cx="962805" cy="2437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$1.8B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0.79473</cdr:x>
      <cdr:y>0.57322</cdr:y>
    </cdr:from>
    <cdr:to>
      <cdr:x>0.94835</cdr:x>
      <cdr:y>0.63344</cdr:y>
    </cdr:to>
    <cdr:sp macro="" textlink="">
      <cdr:nvSpPr>
        <cdr:cNvPr id="7" name="TextBox 1"/>
        <cdr:cNvSpPr txBox="1"/>
      </cdr:nvSpPr>
      <cdr:spPr>
        <a:xfrm xmlns:a="http://schemas.openxmlformats.org/drawingml/2006/main">
          <a:off x="4980931" y="2319757"/>
          <a:ext cx="962806" cy="2437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$3.4B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0.79334</cdr:x>
      <cdr:y>0.7727</cdr:y>
    </cdr:from>
    <cdr:to>
      <cdr:x>0.94696</cdr:x>
      <cdr:y>0.83292</cdr:y>
    </cdr:to>
    <cdr:sp macro="" textlink="">
      <cdr:nvSpPr>
        <cdr:cNvPr id="8" name="TextBox 1"/>
        <cdr:cNvSpPr txBox="1"/>
      </cdr:nvSpPr>
      <cdr:spPr>
        <a:xfrm xmlns:a="http://schemas.openxmlformats.org/drawingml/2006/main">
          <a:off x="4722192" y="3082235"/>
          <a:ext cx="914400" cy="2401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$4.3B</a:t>
          </a:r>
          <a:endParaRPr lang="en-US" sz="1000">
            <a:solidFill>
              <a:schemeClr val="bg1">
                <a:lumMod val="50000"/>
              </a:schemeClr>
            </a:solidFill>
            <a:latin typeface="Century Gothic" panose="020B0502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0.45245</cdr:x>
      <cdr:y>0.19101</cdr:y>
    </cdr:from>
    <cdr:to>
      <cdr:x>0.58028</cdr:x>
      <cdr:y>0.2644</cdr:y>
    </cdr:to>
    <cdr:sp macro="" textlink="'1A_ByArea'!$F$13">
      <cdr:nvSpPr>
        <cdr:cNvPr id="2" name="TextBox 1"/>
        <cdr:cNvSpPr txBox="1"/>
      </cdr:nvSpPr>
      <cdr:spPr>
        <a:xfrm xmlns:a="http://schemas.openxmlformats.org/drawingml/2006/main">
          <a:off x="4185528" y="1128273"/>
          <a:ext cx="1182522" cy="433508"/>
        </a:xfrm>
        <a:prstGeom xmlns:a="http://schemas.openxmlformats.org/drawingml/2006/main" prst="rect">
          <a:avLst/>
        </a:prstGeom>
        <a:solidFill xmlns:a="http://schemas.openxmlformats.org/drawingml/2006/main">
          <a:srgbClr val="FFFFFF">
            <a:alpha val="85098"/>
          </a:srgbClr>
        </a:solidFill>
      </cdr:spPr>
      <cdr:txBody>
        <a:bodyPr xmlns:a="http://schemas.openxmlformats.org/drawingml/2006/main" vertOverflow="clip" wrap="square" rtlCol="0" anchor="ctr"/>
        <a:lstStyle xmlns:a="http://schemas.openxmlformats.org/drawingml/2006/main"/>
        <a:p xmlns:a="http://schemas.openxmlformats.org/drawingml/2006/main">
          <a:pPr marL="0" indent="0" algn="ctr"/>
          <a:fld id="{D338677D-D23B-4B0E-A9AB-5B5AFE8B4D93}" type="TxLink">
            <a:rPr lang="en-US" sz="1000" b="0" i="0" u="none" strike="noStrike">
              <a:solidFill>
                <a:srgbClr val="000000"/>
              </a:solidFill>
              <a:latin typeface="Century Gothic" panose="020B0502020202020204" pitchFamily="34" charset="0"/>
              <a:ea typeface="+mn-ea"/>
              <a:cs typeface="+mn-cs"/>
            </a:rPr>
            <a:pPr marL="0" indent="0" algn="ctr"/>
            <a:t>Fixed expenses, $98.7 million</a:t>
          </a:fld>
          <a:endParaRPr lang="en-US" sz="1000">
            <a:latin typeface="Century Gothic" panose="020B0502020202020204" pitchFamily="34" charset="0"/>
            <a:ea typeface="+mn-ea"/>
            <a:cs typeface="+mn-cs"/>
          </a:endParaRPr>
        </a:p>
      </cdr:txBody>
    </cdr:sp>
  </cdr:relSizeAnchor>
  <cdr:relSizeAnchor xmlns:cdr="http://schemas.openxmlformats.org/drawingml/2006/chartDrawing">
    <cdr:from>
      <cdr:x>0.35608</cdr:x>
      <cdr:y>0.4062</cdr:y>
    </cdr:from>
    <cdr:to>
      <cdr:x>0.52833</cdr:x>
      <cdr:y>0.48079</cdr:y>
    </cdr:to>
    <cdr:sp macro="" textlink="'1A_ByArea'!$F$12">
      <cdr:nvSpPr>
        <cdr:cNvPr id="3" name="TextBox 1"/>
        <cdr:cNvSpPr txBox="1"/>
      </cdr:nvSpPr>
      <cdr:spPr>
        <a:xfrm xmlns:a="http://schemas.openxmlformats.org/drawingml/2006/main">
          <a:off x="3293988" y="2399380"/>
          <a:ext cx="1593440" cy="440596"/>
        </a:xfrm>
        <a:prstGeom xmlns:a="http://schemas.openxmlformats.org/drawingml/2006/main" prst="rect">
          <a:avLst/>
        </a:prstGeom>
        <a:solidFill xmlns:a="http://schemas.openxmlformats.org/drawingml/2006/main">
          <a:srgbClr val="FFFFFF">
            <a:alpha val="85098"/>
          </a:srgb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20CBF4CA-6990-438F-9D98-491359B2E286}" type="TxLink">
            <a:rPr lang="en-US" sz="1000" b="0" i="0" u="none" strike="noStrike">
              <a:solidFill>
                <a:srgbClr val="000000"/>
              </a:solidFill>
              <a:latin typeface="Century Gothic" panose="020B0502020202020204" pitchFamily="34" charset="0"/>
            </a:rPr>
            <a:pPr algn="ctr"/>
            <a:t>Reimbursable expenses, $91.0 million</a:t>
          </a:fld>
          <a:endParaRPr lang="en-US" sz="1000">
            <a:latin typeface="Century Gothic" panose="020B0502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9</xdr:col>
      <xdr:colOff>587974</xdr:colOff>
      <xdr:row>31</xdr:row>
      <xdr:rowOff>55245</xdr:rowOff>
    </xdr:to>
    <xdr:graphicFrame macro="">
      <xdr:nvGraphicFramePr>
        <xdr:cNvPr id="2" name="Chart 1">
          <a:extLst>
            <a:ext uri="{FF2B5EF4-FFF2-40B4-BE49-F238E27FC236}">
              <a16:creationId xmlns:a16="http://schemas.microsoft.com/office/drawing/2014/main" id="{8136D266-9A6A-4698-9447-9A612CBD24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44</xdr:row>
      <xdr:rowOff>0</xdr:rowOff>
    </xdr:from>
    <xdr:to>
      <xdr:col>7</xdr:col>
      <xdr:colOff>662940</xdr:colOff>
      <xdr:row>75</xdr:row>
      <xdr:rowOff>54972</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600074</xdr:colOff>
      <xdr:row>14</xdr:row>
      <xdr:rowOff>9524</xdr:rowOff>
    </xdr:from>
    <xdr:to>
      <xdr:col>6</xdr:col>
      <xdr:colOff>222213</xdr:colOff>
      <xdr:row>33</xdr:row>
      <xdr:rowOff>125729</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26</xdr:row>
      <xdr:rowOff>171673</xdr:rowOff>
    </xdr:from>
    <xdr:to>
      <xdr:col>2</xdr:col>
      <xdr:colOff>676275</xdr:colOff>
      <xdr:row>57</xdr:row>
      <xdr:rowOff>35859</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33</xdr:row>
      <xdr:rowOff>33130</xdr:rowOff>
    </xdr:from>
    <xdr:to>
      <xdr:col>5</xdr:col>
      <xdr:colOff>207309</xdr:colOff>
      <xdr:row>54</xdr:row>
      <xdr:rowOff>17432</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1085848</xdr:colOff>
      <xdr:row>23</xdr:row>
      <xdr:rowOff>133349</xdr:rowOff>
    </xdr:from>
    <xdr:to>
      <xdr:col>4</xdr:col>
      <xdr:colOff>819150</xdr:colOff>
      <xdr:row>56</xdr:row>
      <xdr:rowOff>139065</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1085848</xdr:colOff>
      <xdr:row>13</xdr:row>
      <xdr:rowOff>133349</xdr:rowOff>
    </xdr:from>
    <xdr:to>
      <xdr:col>4</xdr:col>
      <xdr:colOff>819150</xdr:colOff>
      <xdr:row>46</xdr:row>
      <xdr:rowOff>142875</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1"/>
  <sheetViews>
    <sheetView topLeftCell="A22" workbookViewId="0">
      <selection activeCell="A18" sqref="A18"/>
    </sheetView>
  </sheetViews>
  <sheetFormatPr defaultColWidth="9.109375" defaultRowHeight="14.4"/>
  <cols>
    <col min="1" max="1" width="63.109375" style="76" bestFit="1" customWidth="1"/>
    <col min="2" max="2" width="9.5546875" style="76" bestFit="1" customWidth="1"/>
    <col min="3" max="3" width="5.6640625" style="76" customWidth="1"/>
    <col min="4" max="4" width="17.109375" style="76" customWidth="1"/>
    <col min="5" max="5" width="9.109375" style="76"/>
    <col min="6" max="6" width="31.109375" style="76" customWidth="1"/>
    <col min="7" max="7" width="18.44140625" style="76" customWidth="1"/>
    <col min="8" max="16384" width="9.109375" style="76"/>
  </cols>
  <sheetData>
    <row r="1" spans="1:9" ht="25.5" customHeight="1">
      <c r="A1" s="376" t="s">
        <v>448</v>
      </c>
      <c r="B1" s="376"/>
      <c r="C1" s="376"/>
      <c r="D1" s="376"/>
      <c r="E1" s="376"/>
      <c r="F1" s="376"/>
      <c r="G1" s="376"/>
      <c r="H1" s="376"/>
      <c r="I1" s="376"/>
    </row>
    <row r="2" spans="1:9">
      <c r="A2" s="76" t="s">
        <v>324</v>
      </c>
    </row>
    <row r="4" spans="1:9" ht="15.6">
      <c r="A4" s="202" t="s">
        <v>447</v>
      </c>
      <c r="B4" s="154"/>
      <c r="E4" s="154"/>
    </row>
    <row r="6" spans="1:9">
      <c r="A6" s="21"/>
      <c r="B6" s="21"/>
      <c r="F6" s="76" t="s">
        <v>335</v>
      </c>
    </row>
    <row r="7" spans="1:9">
      <c r="A7" s="21" t="s">
        <v>174</v>
      </c>
      <c r="B7" s="130">
        <v>253.6</v>
      </c>
      <c r="G7" s="154" t="s">
        <v>333</v>
      </c>
    </row>
    <row r="8" spans="1:9">
      <c r="A8" s="21" t="s">
        <v>400</v>
      </c>
      <c r="B8" s="128">
        <v>190.6</v>
      </c>
      <c r="G8" s="154" t="s">
        <v>325</v>
      </c>
    </row>
    <row r="9" spans="1:9">
      <c r="A9" s="21" t="s">
        <v>176</v>
      </c>
      <c r="B9" s="123">
        <v>48.3</v>
      </c>
      <c r="C9" s="381" t="s">
        <v>220</v>
      </c>
      <c r="D9" s="378" t="s">
        <v>429</v>
      </c>
      <c r="E9" s="379">
        <f>SUM(B9:B12)</f>
        <v>91</v>
      </c>
      <c r="G9" s="154" t="s">
        <v>329</v>
      </c>
    </row>
    <row r="10" spans="1:9">
      <c r="A10" s="21" t="s">
        <v>175</v>
      </c>
      <c r="B10" s="123">
        <v>30.7</v>
      </c>
      <c r="C10" s="382"/>
      <c r="D10" s="378"/>
      <c r="E10" s="379"/>
      <c r="G10" s="154" t="s">
        <v>330</v>
      </c>
    </row>
    <row r="11" spans="1:9">
      <c r="A11" s="21" t="s">
        <v>177</v>
      </c>
      <c r="B11" s="123">
        <v>6.5</v>
      </c>
      <c r="C11" s="382"/>
      <c r="D11" s="378"/>
      <c r="E11" s="379"/>
      <c r="G11" s="154" t="s">
        <v>331</v>
      </c>
    </row>
    <row r="12" spans="1:9">
      <c r="A12" s="21" t="s">
        <v>178</v>
      </c>
      <c r="B12" s="123">
        <v>5.5</v>
      </c>
      <c r="C12" s="382"/>
      <c r="D12" s="378"/>
      <c r="E12" s="379"/>
      <c r="F12" s="76" t="str">
        <f>"Reimbursable expenses, "&amp;TEXT(E9,"$0.0")&amp;" million"</f>
        <v>Reimbursable expenses, $91.0 million</v>
      </c>
      <c r="G12" s="154" t="s">
        <v>332</v>
      </c>
    </row>
    <row r="13" spans="1:9">
      <c r="A13" s="21" t="s">
        <v>179</v>
      </c>
      <c r="B13" s="129">
        <v>29.3</v>
      </c>
      <c r="C13" s="383" t="s">
        <v>220</v>
      </c>
      <c r="D13" s="380" t="s">
        <v>430</v>
      </c>
      <c r="E13" s="385">
        <f>SUM(B13:B14)</f>
        <v>98.7</v>
      </c>
      <c r="F13" s="76" t="str">
        <f>"Fixed expenses, "&amp;TEXT(E13,"$0.0")&amp;" million"</f>
        <v>Fixed expenses, $98.7 million</v>
      </c>
      <c r="G13" s="154" t="s">
        <v>326</v>
      </c>
    </row>
    <row r="14" spans="1:9">
      <c r="A14" s="21" t="s">
        <v>455</v>
      </c>
      <c r="B14" s="129">
        <v>69.400000000000006</v>
      </c>
      <c r="C14" s="384"/>
      <c r="D14" s="380"/>
      <c r="E14" s="384"/>
      <c r="G14" s="154" t="s">
        <v>327</v>
      </c>
    </row>
    <row r="15" spans="1:9">
      <c r="A15" s="21" t="s">
        <v>180</v>
      </c>
      <c r="B15" s="131">
        <v>110.6</v>
      </c>
      <c r="G15" s="154" t="s">
        <v>328</v>
      </c>
    </row>
    <row r="16" spans="1:9">
      <c r="A16" s="25" t="s">
        <v>37</v>
      </c>
      <c r="B16" s="198">
        <f>SUM(B7:B15)</f>
        <v>744.5</v>
      </c>
    </row>
    <row r="17" spans="1:28">
      <c r="A17" s="21"/>
      <c r="B17" s="147"/>
    </row>
    <row r="18" spans="1:28">
      <c r="A18" s="153"/>
      <c r="B18" s="21"/>
    </row>
    <row r="19" spans="1:28" ht="16.5" customHeight="1">
      <c r="A19" s="151" t="s">
        <v>390</v>
      </c>
      <c r="B19" s="150"/>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row>
    <row r="20" spans="1:28" ht="16.5" customHeight="1">
      <c r="A20" s="125" t="s">
        <v>217</v>
      </c>
      <c r="B20" s="136"/>
      <c r="C20" s="136"/>
      <c r="D20" s="136"/>
      <c r="E20" s="136"/>
      <c r="F20" s="136"/>
      <c r="G20" s="136"/>
      <c r="H20" s="136"/>
      <c r="I20" s="136"/>
      <c r="J20" s="136"/>
      <c r="K20" s="136"/>
      <c r="L20" s="136"/>
      <c r="M20" s="136"/>
      <c r="N20" s="136"/>
      <c r="O20" s="136"/>
      <c r="P20" s="137"/>
      <c r="Q20" s="137"/>
      <c r="R20" s="137"/>
      <c r="S20" s="137"/>
      <c r="T20" s="137"/>
      <c r="U20" s="137"/>
      <c r="V20" s="137"/>
      <c r="W20" s="137"/>
      <c r="X20" s="137"/>
      <c r="Y20" s="137"/>
      <c r="Z20" s="137"/>
      <c r="AA20" s="137"/>
      <c r="AB20" s="124"/>
    </row>
    <row r="21" spans="1:28">
      <c r="A21" s="125" t="s">
        <v>218</v>
      </c>
      <c r="B21" s="125"/>
      <c r="C21" s="125"/>
      <c r="D21" s="125"/>
      <c r="E21" s="125"/>
      <c r="F21" s="125"/>
      <c r="G21" s="125"/>
      <c r="H21" s="125"/>
      <c r="I21" s="125"/>
      <c r="J21" s="125"/>
      <c r="K21" s="125"/>
      <c r="L21" s="125"/>
      <c r="M21" s="125"/>
      <c r="N21" s="125"/>
      <c r="O21" s="125"/>
      <c r="P21" s="137"/>
      <c r="Q21" s="137"/>
      <c r="R21" s="137"/>
      <c r="S21" s="137"/>
      <c r="T21" s="137"/>
      <c r="U21" s="137"/>
      <c r="V21" s="137"/>
      <c r="W21" s="137"/>
      <c r="X21" s="137"/>
      <c r="Y21" s="137"/>
      <c r="Z21" s="137"/>
      <c r="AA21" s="137"/>
      <c r="AB21" s="126"/>
    </row>
    <row r="22" spans="1:28" ht="16.5" customHeight="1">
      <c r="A22" s="125" t="s">
        <v>431</v>
      </c>
      <c r="B22" s="136"/>
      <c r="C22" s="136"/>
      <c r="D22" s="136"/>
      <c r="E22" s="136"/>
      <c r="F22" s="136"/>
      <c r="G22" s="136"/>
      <c r="H22" s="136"/>
      <c r="I22" s="136"/>
      <c r="J22" s="136"/>
      <c r="K22" s="136"/>
      <c r="L22" s="136"/>
      <c r="M22" s="136"/>
      <c r="N22" s="136"/>
      <c r="O22" s="136"/>
      <c r="P22" s="137"/>
      <c r="Q22" s="137"/>
      <c r="R22" s="137"/>
      <c r="S22" s="137"/>
      <c r="T22" s="137"/>
      <c r="U22" s="137"/>
      <c r="V22" s="137"/>
      <c r="W22" s="137"/>
      <c r="X22" s="137"/>
      <c r="Y22" s="137"/>
      <c r="Z22" s="137"/>
      <c r="AA22" s="137"/>
      <c r="AB22" s="126"/>
    </row>
    <row r="23" spans="1:28" ht="16.5" customHeight="1">
      <c r="A23" s="152" t="s">
        <v>219</v>
      </c>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27"/>
      <c r="AA23" s="127"/>
      <c r="AB23" s="126"/>
    </row>
    <row r="24" spans="1:28">
      <c r="A24" s="21"/>
      <c r="B24" s="21"/>
    </row>
    <row r="25" spans="1:28">
      <c r="A25" s="21" t="s">
        <v>221</v>
      </c>
      <c r="B25" s="147">
        <v>108.6</v>
      </c>
      <c r="D25" s="154" t="s">
        <v>344</v>
      </c>
    </row>
    <row r="26" spans="1:28">
      <c r="A26" s="21" t="s">
        <v>222</v>
      </c>
      <c r="B26" s="147">
        <v>-90.560300000000012</v>
      </c>
      <c r="D26" s="154" t="s">
        <v>334</v>
      </c>
    </row>
    <row r="27" spans="1:28">
      <c r="A27" s="21"/>
      <c r="B27" s="133"/>
    </row>
    <row r="28" spans="1:28">
      <c r="A28" s="21" t="s">
        <v>74</v>
      </c>
      <c r="B28" s="133"/>
    </row>
    <row r="29" spans="1:28" ht="16.5" customHeight="1">
      <c r="A29" s="377" t="str">
        <f>"Total of "&amp;TEXT(B16,"$#0.0")&amp;" million does not reflect "&amp;TEXT(B25,"$#0.0")&amp;" million in obligations to capital projects for fish and wildlife projects, software development, and structures at dams, or "&amp;TEXT(ABS(B26),"$#0.0")&amp;" million federal credits Bonneville receives from the U.S. Treasury"</f>
        <v>Total of $744.5 million does not reflect $108.6 million in obligations to capital projects for fish and wildlife projects, software development, and structures at dams, or $90.6 million federal credits Bonneville receives from the U.S. Treasury</v>
      </c>
      <c r="B29" s="377"/>
      <c r="C29" s="377"/>
      <c r="D29" s="377"/>
      <c r="E29" s="377"/>
      <c r="F29" s="377"/>
      <c r="G29" s="377"/>
      <c r="H29" s="377"/>
      <c r="I29" s="377"/>
      <c r="J29" s="377"/>
    </row>
    <row r="30" spans="1:28" ht="16.5" customHeight="1">
      <c r="A30" s="377"/>
      <c r="B30" s="377"/>
      <c r="C30" s="377"/>
      <c r="D30" s="377"/>
      <c r="E30" s="377"/>
      <c r="F30" s="377"/>
      <c r="G30" s="377"/>
      <c r="H30" s="377"/>
      <c r="I30" s="377"/>
      <c r="J30" s="377"/>
    </row>
    <row r="31" spans="1:28">
      <c r="A31" s="21"/>
      <c r="B31" s="133"/>
    </row>
    <row r="41" spans="1:1">
      <c r="A41" s="148"/>
    </row>
  </sheetData>
  <mergeCells count="8">
    <mergeCell ref="A1:I1"/>
    <mergeCell ref="A29:J30"/>
    <mergeCell ref="D9:D12"/>
    <mergeCell ref="E9:E12"/>
    <mergeCell ref="D13:D14"/>
    <mergeCell ref="C9:C12"/>
    <mergeCell ref="C13:C14"/>
    <mergeCell ref="E13:E1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79"/>
  <sheetViews>
    <sheetView workbookViewId="0">
      <selection activeCell="H43" sqref="H43:H48"/>
    </sheetView>
  </sheetViews>
  <sheetFormatPr defaultColWidth="9.109375" defaultRowHeight="13.8"/>
  <cols>
    <col min="1" max="1" width="51.88671875" style="28" customWidth="1"/>
    <col min="2" max="2" width="14.5546875" style="29" customWidth="1"/>
    <col min="3" max="3" width="14.5546875" style="30" customWidth="1"/>
    <col min="4" max="6" width="14.5546875" style="29" customWidth="1"/>
    <col min="7" max="7" width="14.5546875" style="28" bestFit="1" customWidth="1"/>
    <col min="8" max="11" width="14.5546875" style="28" customWidth="1"/>
    <col min="12" max="12" width="14.88671875" style="28" customWidth="1"/>
    <col min="13" max="16" width="13.5546875" style="28" customWidth="1"/>
    <col min="17" max="16384" width="9.109375" style="28"/>
  </cols>
  <sheetData>
    <row r="1" spans="1:17" ht="30" customHeight="1">
      <c r="A1" s="38" t="str">
        <f>"Figure 7: Costs by Province, FY" &amp; P2</f>
        <v>Figure 7: Costs by Province, FY2021</v>
      </c>
      <c r="B1" s="37"/>
      <c r="G1" s="30"/>
      <c r="H1" s="30"/>
      <c r="I1" s="30"/>
      <c r="J1" s="30"/>
      <c r="K1" s="30"/>
    </row>
    <row r="2" spans="1:17">
      <c r="A2" s="36" t="s">
        <v>50</v>
      </c>
      <c r="B2" s="82">
        <v>2007</v>
      </c>
      <c r="C2" s="82">
        <v>2008</v>
      </c>
      <c r="D2" s="82">
        <v>2009</v>
      </c>
      <c r="E2" s="82">
        <v>2010</v>
      </c>
      <c r="F2" s="82">
        <v>2011</v>
      </c>
      <c r="G2" s="82">
        <v>2012</v>
      </c>
      <c r="H2" s="82">
        <v>2013</v>
      </c>
      <c r="I2" s="82">
        <v>2014</v>
      </c>
      <c r="J2" s="82">
        <v>2015</v>
      </c>
      <c r="K2" s="82">
        <v>2016</v>
      </c>
      <c r="L2" s="82">
        <v>2017</v>
      </c>
      <c r="M2" s="82">
        <v>2018</v>
      </c>
      <c r="N2" s="82">
        <v>2019</v>
      </c>
      <c r="O2" s="82">
        <v>2020</v>
      </c>
      <c r="P2" s="82">
        <v>2021</v>
      </c>
    </row>
    <row r="3" spans="1:17">
      <c r="A3" s="31" t="s">
        <v>186</v>
      </c>
      <c r="B3" s="84">
        <v>9489801.4999999963</v>
      </c>
      <c r="C3" s="84">
        <v>9336015</v>
      </c>
      <c r="D3" s="84">
        <v>10063271</v>
      </c>
      <c r="E3" s="84">
        <v>12243309</v>
      </c>
      <c r="F3" s="84">
        <v>13045831</v>
      </c>
      <c r="G3" s="84">
        <v>13498753.4</v>
      </c>
      <c r="H3" s="84">
        <v>13359733.73</v>
      </c>
      <c r="I3" s="84">
        <v>14630130</v>
      </c>
      <c r="J3" s="84">
        <v>16928838.199999999</v>
      </c>
      <c r="K3" s="84">
        <v>17898141</v>
      </c>
      <c r="L3" s="84">
        <v>15136556</v>
      </c>
      <c r="M3" s="84">
        <v>15971140</v>
      </c>
      <c r="N3" s="84">
        <v>15606694</v>
      </c>
      <c r="O3" s="84">
        <v>14608802</v>
      </c>
      <c r="P3" s="84">
        <v>16159299</v>
      </c>
      <c r="Q3" s="361"/>
    </row>
    <row r="4" spans="1:17">
      <c r="A4" s="31" t="s">
        <v>187</v>
      </c>
      <c r="B4" s="84">
        <v>7340355.379999998</v>
      </c>
      <c r="C4" s="84">
        <v>9192920</v>
      </c>
      <c r="D4" s="84">
        <v>18334391</v>
      </c>
      <c r="E4" s="84">
        <v>26543346</v>
      </c>
      <c r="F4" s="84">
        <v>52343560</v>
      </c>
      <c r="G4" s="84">
        <v>51216105.399999999</v>
      </c>
      <c r="H4" s="84">
        <v>36245776.280000001</v>
      </c>
      <c r="I4" s="84">
        <v>26801554</v>
      </c>
      <c r="J4" s="84">
        <v>28292736.699999999</v>
      </c>
      <c r="K4" s="84">
        <v>27088878</v>
      </c>
      <c r="L4" s="84">
        <v>23417021</v>
      </c>
      <c r="M4" s="84">
        <v>26971498</v>
      </c>
      <c r="N4" s="84">
        <v>20213837</v>
      </c>
      <c r="O4" s="84">
        <v>20804476</v>
      </c>
      <c r="P4" s="84">
        <v>21214325</v>
      </c>
      <c r="Q4" s="361"/>
    </row>
    <row r="5" spans="1:17">
      <c r="A5" s="31" t="s">
        <v>188</v>
      </c>
      <c r="B5" s="84">
        <v>4993259.890000008</v>
      </c>
      <c r="C5" s="84">
        <v>8354049</v>
      </c>
      <c r="D5" s="84">
        <v>13046970</v>
      </c>
      <c r="E5" s="84">
        <v>16165914</v>
      </c>
      <c r="F5" s="84">
        <v>19962308</v>
      </c>
      <c r="G5" s="84">
        <v>13560427.4</v>
      </c>
      <c r="H5" s="84">
        <v>14326142.01</v>
      </c>
      <c r="I5" s="84">
        <v>10014903</v>
      </c>
      <c r="J5" s="84">
        <v>11744583.01</v>
      </c>
      <c r="K5" s="84">
        <v>9724087</v>
      </c>
      <c r="L5" s="84">
        <v>11247539</v>
      </c>
      <c r="M5" s="84">
        <v>12057261</v>
      </c>
      <c r="N5" s="84">
        <v>11349981</v>
      </c>
      <c r="O5" s="84">
        <v>9721637</v>
      </c>
      <c r="P5" s="84">
        <v>8473674</v>
      </c>
      <c r="Q5" s="361"/>
    </row>
    <row r="6" spans="1:17">
      <c r="A6" s="31" t="s">
        <v>189</v>
      </c>
      <c r="B6" s="84">
        <v>28768911.599999998</v>
      </c>
      <c r="C6" s="84">
        <v>37188905</v>
      </c>
      <c r="D6" s="84">
        <v>42706871</v>
      </c>
      <c r="E6" s="84">
        <v>50405309</v>
      </c>
      <c r="F6" s="84">
        <v>59165613</v>
      </c>
      <c r="G6" s="84">
        <v>61637074.399999999</v>
      </c>
      <c r="H6" s="84">
        <v>61223676.229999997</v>
      </c>
      <c r="I6" s="84">
        <v>57654085</v>
      </c>
      <c r="J6" s="84">
        <v>67777655.400000006</v>
      </c>
      <c r="K6" s="84">
        <v>62214559</v>
      </c>
      <c r="L6" s="84">
        <v>62987617</v>
      </c>
      <c r="M6" s="84">
        <v>62147342</v>
      </c>
      <c r="N6" s="84">
        <v>70886382</v>
      </c>
      <c r="O6" s="84">
        <v>76390650</v>
      </c>
      <c r="P6" s="84">
        <v>73068145</v>
      </c>
      <c r="Q6" s="361"/>
    </row>
    <row r="7" spans="1:17">
      <c r="A7" s="31" t="s">
        <v>190</v>
      </c>
      <c r="B7" s="84">
        <v>5229671.92</v>
      </c>
      <c r="C7" s="84">
        <v>6075054</v>
      </c>
      <c r="D7" s="84">
        <v>8056193</v>
      </c>
      <c r="E7" s="84">
        <v>6848834</v>
      </c>
      <c r="F7" s="84">
        <v>9469437</v>
      </c>
      <c r="G7" s="84">
        <v>11109892</v>
      </c>
      <c r="H7" s="84">
        <v>15336657.32</v>
      </c>
      <c r="I7" s="84">
        <v>10819987</v>
      </c>
      <c r="J7" s="84">
        <v>11165031.380000001</v>
      </c>
      <c r="K7" s="84">
        <v>11471831</v>
      </c>
      <c r="L7" s="84">
        <v>10425322</v>
      </c>
      <c r="M7" s="84">
        <v>8368864</v>
      </c>
      <c r="N7" s="84">
        <v>6959520</v>
      </c>
      <c r="O7" s="84">
        <v>7170541</v>
      </c>
      <c r="P7" s="84">
        <v>8523017</v>
      </c>
      <c r="Q7" s="361"/>
    </row>
    <row r="8" spans="1:17">
      <c r="A8" s="31" t="s">
        <v>191</v>
      </c>
      <c r="B8" s="84">
        <v>25281128.979999978</v>
      </c>
      <c r="C8" s="84">
        <v>14497055</v>
      </c>
      <c r="D8" s="84">
        <v>12350282</v>
      </c>
      <c r="E8" s="84">
        <v>15702284</v>
      </c>
      <c r="F8" s="84">
        <v>17198718</v>
      </c>
      <c r="G8" s="84">
        <v>19784368</v>
      </c>
      <c r="H8" s="84">
        <v>16144887.76</v>
      </c>
      <c r="I8" s="84">
        <v>17769309</v>
      </c>
      <c r="J8" s="84">
        <v>17220237.800000001</v>
      </c>
      <c r="K8" s="84">
        <v>17995494</v>
      </c>
      <c r="L8" s="84">
        <v>20182310</v>
      </c>
      <c r="M8" s="84">
        <v>21730080</v>
      </c>
      <c r="N8" s="84">
        <v>19057687</v>
      </c>
      <c r="O8" s="84">
        <v>18810502</v>
      </c>
      <c r="P8" s="84">
        <v>18159996</v>
      </c>
      <c r="Q8" s="361"/>
    </row>
    <row r="9" spans="1:17">
      <c r="A9" s="31" t="s">
        <v>192</v>
      </c>
      <c r="B9" s="84">
        <v>13533874.44999999</v>
      </c>
      <c r="C9" s="84">
        <v>14744699</v>
      </c>
      <c r="D9" s="84">
        <v>11181219</v>
      </c>
      <c r="E9" s="84">
        <v>15259843</v>
      </c>
      <c r="F9" s="84">
        <v>41609286</v>
      </c>
      <c r="G9" s="84">
        <v>33899854</v>
      </c>
      <c r="H9" s="84">
        <v>44562895.789999999</v>
      </c>
      <c r="I9" s="84">
        <v>13867496</v>
      </c>
      <c r="J9" s="84">
        <v>39453337.270000003</v>
      </c>
      <c r="K9" s="84">
        <v>40819289</v>
      </c>
      <c r="L9" s="84">
        <v>32446965</v>
      </c>
      <c r="M9" s="84">
        <v>31737631</v>
      </c>
      <c r="N9" s="84">
        <v>33544646</v>
      </c>
      <c r="O9" s="84">
        <v>37143967</v>
      </c>
      <c r="P9" s="84">
        <v>36056424</v>
      </c>
      <c r="Q9" s="361"/>
    </row>
    <row r="10" spans="1:17">
      <c r="A10" s="31" t="s">
        <v>193</v>
      </c>
      <c r="B10" s="84">
        <v>1782913.18</v>
      </c>
      <c r="C10" s="84">
        <v>6659039</v>
      </c>
      <c r="D10" s="84">
        <v>3299192</v>
      </c>
      <c r="E10" s="84">
        <v>5224071</v>
      </c>
      <c r="F10" s="84">
        <v>4433754</v>
      </c>
      <c r="G10" s="84">
        <v>13235463</v>
      </c>
      <c r="H10" s="84">
        <v>3315759.24</v>
      </c>
      <c r="I10" s="84">
        <v>3817058</v>
      </c>
      <c r="J10" s="84">
        <v>4600725.0999999996</v>
      </c>
      <c r="K10" s="84">
        <v>4520947</v>
      </c>
      <c r="L10" s="84">
        <v>4516591</v>
      </c>
      <c r="M10" s="84">
        <v>4527680</v>
      </c>
      <c r="N10" s="84">
        <v>4404430</v>
      </c>
      <c r="O10" s="84">
        <v>4131290</v>
      </c>
      <c r="P10" s="84">
        <v>4194736</v>
      </c>
      <c r="Q10" s="361"/>
    </row>
    <row r="11" spans="1:17">
      <c r="A11" s="32" t="s">
        <v>194</v>
      </c>
      <c r="B11" s="84">
        <v>9497889.2199999988</v>
      </c>
      <c r="C11" s="84">
        <v>11347198</v>
      </c>
      <c r="D11" s="84">
        <v>21341820</v>
      </c>
      <c r="E11" s="84">
        <v>11427897</v>
      </c>
      <c r="F11" s="84">
        <v>24894377</v>
      </c>
      <c r="G11" s="84">
        <v>22160067</v>
      </c>
      <c r="H11" s="84">
        <v>20849802.890000001</v>
      </c>
      <c r="I11" s="84">
        <v>29293225</v>
      </c>
      <c r="J11" s="84">
        <v>19225549.199999999</v>
      </c>
      <c r="K11" s="84">
        <v>21252149</v>
      </c>
      <c r="L11" s="84">
        <v>15238992</v>
      </c>
      <c r="M11" s="84">
        <v>35985026</v>
      </c>
      <c r="N11" s="84">
        <v>14029481</v>
      </c>
      <c r="O11" s="84">
        <v>19968805</v>
      </c>
      <c r="P11" s="84">
        <v>24062705</v>
      </c>
      <c r="Q11" s="354"/>
    </row>
    <row r="12" spans="1:17">
      <c r="A12" s="31" t="s">
        <v>195</v>
      </c>
      <c r="B12" s="84">
        <v>16791815.219999991</v>
      </c>
      <c r="C12" s="84">
        <v>19398012</v>
      </c>
      <c r="D12" s="84">
        <v>21934884</v>
      </c>
      <c r="E12" s="84">
        <v>22917641</v>
      </c>
      <c r="F12" s="84">
        <v>28149960</v>
      </c>
      <c r="G12" s="84">
        <v>30311321</v>
      </c>
      <c r="H12" s="84">
        <v>28453558.780000001</v>
      </c>
      <c r="I12" s="84">
        <v>28224756</v>
      </c>
      <c r="J12" s="84">
        <v>40285555.630000003</v>
      </c>
      <c r="K12" s="84">
        <v>29114533</v>
      </c>
      <c r="L12" s="84">
        <v>34958776</v>
      </c>
      <c r="M12" s="84">
        <v>31667229</v>
      </c>
      <c r="N12" s="84">
        <v>27353317</v>
      </c>
      <c r="O12" s="84">
        <v>25975173</v>
      </c>
      <c r="P12" s="84">
        <v>27685383</v>
      </c>
      <c r="Q12" s="361"/>
    </row>
    <row r="13" spans="1:17">
      <c r="A13" s="31" t="s">
        <v>196</v>
      </c>
      <c r="B13" s="84">
        <v>701438.96</v>
      </c>
      <c r="C13" s="84">
        <v>1184634</v>
      </c>
      <c r="D13" s="84">
        <v>1466476</v>
      </c>
      <c r="E13" s="84">
        <v>7248075</v>
      </c>
      <c r="F13" s="84">
        <v>4904675</v>
      </c>
      <c r="G13" s="84">
        <v>13213441</v>
      </c>
      <c r="H13" s="84">
        <v>10805581.939999999</v>
      </c>
      <c r="I13" s="84">
        <v>19886298</v>
      </c>
      <c r="J13" s="84">
        <v>3761184.08</v>
      </c>
      <c r="K13" s="84">
        <v>4997891</v>
      </c>
      <c r="L13" s="84">
        <v>4993296</v>
      </c>
      <c r="M13" s="84">
        <v>3449209</v>
      </c>
      <c r="N13" s="84">
        <v>5254430</v>
      </c>
      <c r="O13" s="84">
        <v>8862776</v>
      </c>
      <c r="P13" s="84">
        <v>14927618</v>
      </c>
      <c r="Q13" s="361"/>
    </row>
    <row r="14" spans="1:17" ht="16.8">
      <c r="A14" s="31" t="s">
        <v>197</v>
      </c>
      <c r="B14" s="84"/>
      <c r="C14" s="84">
        <v>6167509</v>
      </c>
      <c r="D14" s="84">
        <v>7274724</v>
      </c>
      <c r="E14" s="84">
        <v>6826368</v>
      </c>
      <c r="F14" s="84">
        <v>7722192</v>
      </c>
      <c r="G14" s="84">
        <v>6872463</v>
      </c>
      <c r="H14" s="84">
        <v>4578007.34</v>
      </c>
      <c r="I14" s="84">
        <v>4892097</v>
      </c>
      <c r="J14" s="84">
        <v>5062472.42</v>
      </c>
      <c r="K14" s="84">
        <v>6828524</v>
      </c>
      <c r="L14" s="84">
        <v>5039627</v>
      </c>
      <c r="M14" s="84">
        <v>4841580</v>
      </c>
      <c r="N14" s="84">
        <v>4720582</v>
      </c>
      <c r="O14" s="84">
        <v>5039768</v>
      </c>
      <c r="P14" s="84">
        <v>4911421</v>
      </c>
      <c r="Q14" s="361"/>
    </row>
    <row r="15" spans="1:17" ht="16.8">
      <c r="A15" s="31" t="s">
        <v>198</v>
      </c>
      <c r="B15" s="84">
        <v>11230085.950000027</v>
      </c>
      <c r="C15" s="84">
        <v>30267918</v>
      </c>
      <c r="D15" s="84">
        <v>34215512</v>
      </c>
      <c r="E15" s="84">
        <v>42775062</v>
      </c>
      <c r="F15" s="84">
        <v>28315184</v>
      </c>
      <c r="G15" s="84">
        <v>15910542</v>
      </c>
      <c r="H15" s="84">
        <v>21899413.120000001</v>
      </c>
      <c r="I15" s="84">
        <v>31463212</v>
      </c>
      <c r="J15" s="84">
        <v>14032643.140000001</v>
      </c>
      <c r="K15" s="84">
        <v>20245851</v>
      </c>
      <c r="L15" s="84">
        <v>19366924</v>
      </c>
      <c r="M15" s="84">
        <v>19245550</v>
      </c>
      <c r="N15" s="84">
        <v>17471914</v>
      </c>
      <c r="O15" s="84">
        <v>17792570</v>
      </c>
      <c r="P15" s="84">
        <v>25569582</v>
      </c>
      <c r="Q15" s="361"/>
    </row>
    <row r="16" spans="1:17">
      <c r="A16" s="28" t="s">
        <v>238</v>
      </c>
      <c r="B16" s="28"/>
      <c r="C16" s="28"/>
      <c r="D16" s="28"/>
      <c r="E16" s="28"/>
      <c r="F16" s="28"/>
      <c r="M16" s="84">
        <v>10367580</v>
      </c>
      <c r="N16" s="84">
        <v>11607301</v>
      </c>
      <c r="O16" s="84">
        <v>11601030</v>
      </c>
      <c r="P16" s="84">
        <v>12327352</v>
      </c>
      <c r="Q16" s="362"/>
    </row>
    <row r="17" spans="1:17">
      <c r="A17" s="28" t="s">
        <v>239</v>
      </c>
      <c r="B17" s="28"/>
      <c r="C17" s="28"/>
      <c r="D17" s="28"/>
      <c r="E17" s="28"/>
      <c r="F17" s="28"/>
      <c r="M17" s="84">
        <v>304457</v>
      </c>
      <c r="N17" s="84">
        <v>254958</v>
      </c>
      <c r="O17" s="84">
        <v>213881</v>
      </c>
      <c r="P17" s="84">
        <v>179587</v>
      </c>
      <c r="Q17" s="362"/>
    </row>
    <row r="18" spans="1:17">
      <c r="A18" s="35" t="s">
        <v>37</v>
      </c>
      <c r="B18" s="168">
        <f t="shared" ref="B18:E18" si="0">SUM(B3:B17)</f>
        <v>134641146.25</v>
      </c>
      <c r="C18" s="168">
        <f t="shared" si="0"/>
        <v>174413007</v>
      </c>
      <c r="D18" s="168">
        <f t="shared" si="0"/>
        <v>205271805</v>
      </c>
      <c r="E18" s="168">
        <f t="shared" si="0"/>
        <v>239587953</v>
      </c>
      <c r="F18" s="168">
        <f>SUM(F3:F17)</f>
        <v>311214895</v>
      </c>
      <c r="G18" s="168">
        <f t="shared" ref="G18:L18" si="1">SUM(G3:G17)</f>
        <v>306409771.60000002</v>
      </c>
      <c r="H18" s="168">
        <f t="shared" si="1"/>
        <v>291101892.43000001</v>
      </c>
      <c r="I18" s="168">
        <f t="shared" si="1"/>
        <v>269134110</v>
      </c>
      <c r="J18" s="168">
        <f t="shared" si="1"/>
        <v>279550549.32999998</v>
      </c>
      <c r="K18" s="168">
        <f t="shared" si="1"/>
        <v>274172174</v>
      </c>
      <c r="L18" s="168">
        <f t="shared" si="1"/>
        <v>259957536</v>
      </c>
      <c r="M18" s="168">
        <f t="shared" ref="M18:P18" si="2">SUM(M3:M17)</f>
        <v>289372127</v>
      </c>
      <c r="N18" s="168">
        <f t="shared" si="2"/>
        <v>262715160</v>
      </c>
      <c r="O18" s="168">
        <f t="shared" ref="O18" si="3">SUM(O3:O17)</f>
        <v>278235868</v>
      </c>
      <c r="P18" s="168">
        <f t="shared" si="2"/>
        <v>295513264</v>
      </c>
    </row>
    <row r="19" spans="1:17">
      <c r="A19" s="31"/>
      <c r="C19" s="29"/>
      <c r="G19" s="33"/>
      <c r="H19" s="33"/>
      <c r="I19" s="33"/>
      <c r="J19" s="33"/>
      <c r="K19" s="33"/>
    </row>
    <row r="20" spans="1:17">
      <c r="A20" s="34" t="s">
        <v>0</v>
      </c>
    </row>
    <row r="21" spans="1:17" ht="17.25" customHeight="1">
      <c r="A21" s="354" t="s">
        <v>49</v>
      </c>
      <c r="B21" s="354"/>
      <c r="C21" s="354"/>
      <c r="D21" s="354"/>
      <c r="E21" s="354"/>
      <c r="F21" s="354"/>
      <c r="G21" s="354"/>
      <c r="H21" s="354"/>
      <c r="I21" s="354"/>
      <c r="J21" s="354"/>
      <c r="K21" s="354"/>
      <c r="L21" s="354"/>
      <c r="M21" s="354"/>
      <c r="N21" s="354"/>
      <c r="O21" s="354"/>
      <c r="P21" s="354"/>
    </row>
    <row r="22" spans="1:17" ht="17.25" customHeight="1">
      <c r="A22" s="354" t="s">
        <v>418</v>
      </c>
      <c r="B22" s="354"/>
      <c r="C22" s="354"/>
      <c r="D22" s="354"/>
      <c r="E22" s="354"/>
      <c r="F22" s="354"/>
      <c r="G22" s="354"/>
      <c r="H22" s="354"/>
      <c r="I22" s="354"/>
      <c r="J22" s="354"/>
      <c r="K22" s="354"/>
      <c r="L22" s="354"/>
      <c r="M22" s="354"/>
      <c r="N22" s="354"/>
      <c r="O22" s="354"/>
      <c r="P22" s="354"/>
    </row>
    <row r="23" spans="1:17" ht="17.25" customHeight="1">
      <c r="A23" s="356" t="s">
        <v>321</v>
      </c>
      <c r="B23" s="356"/>
      <c r="C23" s="356"/>
      <c r="D23" s="356"/>
      <c r="E23" s="356"/>
      <c r="F23" s="356"/>
      <c r="G23" s="356"/>
      <c r="H23" s="356"/>
      <c r="I23" s="356"/>
      <c r="J23" s="356"/>
      <c r="K23" s="356"/>
      <c r="L23" s="356"/>
      <c r="M23" s="356"/>
      <c r="N23" s="356"/>
      <c r="O23" s="356"/>
      <c r="P23" s="356"/>
    </row>
    <row r="24" spans="1:17" ht="17.25" customHeight="1">
      <c r="A24" s="355" t="s">
        <v>417</v>
      </c>
      <c r="B24" s="355"/>
      <c r="C24" s="355"/>
      <c r="D24" s="355"/>
      <c r="E24" s="355"/>
      <c r="F24" s="355"/>
      <c r="G24" s="355"/>
      <c r="H24" s="355"/>
      <c r="I24" s="355"/>
      <c r="J24" s="355"/>
      <c r="K24" s="355"/>
      <c r="L24" s="355"/>
      <c r="M24" s="355"/>
      <c r="N24" s="355"/>
      <c r="O24" s="355"/>
      <c r="P24" s="355"/>
    </row>
    <row r="25" spans="1:17" ht="17.25" customHeight="1">
      <c r="A25" s="357" t="s">
        <v>388</v>
      </c>
      <c r="B25" s="357"/>
      <c r="C25" s="357"/>
      <c r="D25" s="357"/>
      <c r="E25" s="357"/>
      <c r="F25" s="357"/>
      <c r="G25" s="357"/>
      <c r="H25" s="357"/>
      <c r="I25" s="357"/>
      <c r="J25" s="357"/>
      <c r="K25" s="357"/>
      <c r="L25" s="357"/>
      <c r="M25" s="357"/>
      <c r="N25" s="357"/>
      <c r="O25" s="357"/>
      <c r="P25" s="357"/>
    </row>
    <row r="26" spans="1:17" ht="26.25" customHeight="1">
      <c r="A26" s="101" t="s">
        <v>74</v>
      </c>
      <c r="B26" s="83"/>
      <c r="C26" s="86"/>
      <c r="D26" s="83"/>
      <c r="E26" s="83"/>
      <c r="F26" s="83"/>
      <c r="G26" s="85"/>
      <c r="H26" s="141"/>
      <c r="I26" s="141"/>
      <c r="J26" s="141"/>
      <c r="K26" s="141"/>
      <c r="L26" s="85"/>
    </row>
    <row r="27" spans="1:17" ht="17.25" customHeight="1">
      <c r="A27" s="32" t="str">
        <f>subtitle</f>
        <v>Total: $295.5 million includes $41.9 million in obligations to capital projects, plus General and Administrative (G&amp;A) expenses ($12.3 million, not included), and Columbia River System Operations Review/Environmental Impact Statement expenses ($0.2 million, not included)</v>
      </c>
      <c r="B27" s="83"/>
      <c r="C27" s="86"/>
      <c r="D27" s="83"/>
      <c r="E27" s="83"/>
      <c r="F27" s="83"/>
      <c r="G27" s="85"/>
      <c r="H27" s="141"/>
      <c r="I27" s="141"/>
      <c r="J27" s="141"/>
      <c r="K27" s="141"/>
      <c r="L27" s="85"/>
    </row>
    <row r="28" spans="1:17">
      <c r="E28" s="88"/>
    </row>
    <row r="29" spans="1:17">
      <c r="E29" s="87" t="str">
        <f t="shared" ref="E29:E39" si="4">PROPER(A3)</f>
        <v>Blue Mountain</v>
      </c>
      <c r="F29" s="89">
        <f t="shared" ref="F29:F41" si="5">P3</f>
        <v>16159299</v>
      </c>
      <c r="H29" s="28" t="s">
        <v>3</v>
      </c>
      <c r="I29" s="373">
        <v>25569582</v>
      </c>
    </row>
    <row r="30" spans="1:17">
      <c r="E30" s="87" t="str">
        <f t="shared" si="4"/>
        <v>Columbia Cascade</v>
      </c>
      <c r="F30" s="89">
        <f t="shared" si="5"/>
        <v>21214325</v>
      </c>
      <c r="H30" s="28" t="s">
        <v>51</v>
      </c>
      <c r="I30" s="373">
        <v>4911421</v>
      </c>
    </row>
    <row r="31" spans="1:17">
      <c r="B31" s="28"/>
      <c r="C31" s="28"/>
      <c r="E31" s="87" t="str">
        <f t="shared" si="4"/>
        <v>Columbia Gorge</v>
      </c>
      <c r="F31" s="89">
        <f t="shared" si="5"/>
        <v>8473674</v>
      </c>
      <c r="H31" s="28" t="s">
        <v>266</v>
      </c>
      <c r="I31" s="373">
        <v>4194736</v>
      </c>
    </row>
    <row r="32" spans="1:17">
      <c r="B32" s="28"/>
      <c r="C32" s="28"/>
      <c r="E32" s="87" t="str">
        <f t="shared" si="4"/>
        <v>Columbia Plateau</v>
      </c>
      <c r="F32" s="89">
        <f t="shared" si="5"/>
        <v>73068145</v>
      </c>
      <c r="H32" s="28" t="s">
        <v>303</v>
      </c>
      <c r="I32" s="373">
        <v>8473674</v>
      </c>
    </row>
    <row r="33" spans="2:9">
      <c r="B33" s="28"/>
      <c r="C33" s="28"/>
      <c r="E33" s="87" t="str">
        <f t="shared" si="4"/>
        <v>Columbia Estuary</v>
      </c>
      <c r="F33" s="89">
        <f t="shared" si="5"/>
        <v>8523017</v>
      </c>
      <c r="H33" s="28" t="s">
        <v>290</v>
      </c>
      <c r="I33" s="373">
        <v>8523017</v>
      </c>
    </row>
    <row r="34" spans="2:9">
      <c r="B34" s="28"/>
      <c r="C34" s="28"/>
      <c r="E34" s="87" t="str">
        <f t="shared" si="4"/>
        <v>Intermountain</v>
      </c>
      <c r="F34" s="89">
        <f t="shared" si="5"/>
        <v>18159996</v>
      </c>
      <c r="H34" s="28" t="s">
        <v>253</v>
      </c>
      <c r="I34" s="373">
        <v>14927618</v>
      </c>
    </row>
    <row r="35" spans="2:9">
      <c r="B35" s="28"/>
      <c r="C35" s="28"/>
      <c r="E35" s="87" t="str">
        <f t="shared" si="4"/>
        <v>Lower Columbia</v>
      </c>
      <c r="F35" s="89">
        <f t="shared" si="5"/>
        <v>36056424</v>
      </c>
      <c r="H35" s="28" t="s">
        <v>317</v>
      </c>
      <c r="I35" s="373">
        <v>16159299</v>
      </c>
    </row>
    <row r="36" spans="2:9">
      <c r="E36" s="87" t="str">
        <f t="shared" si="4"/>
        <v>Middle Snake</v>
      </c>
      <c r="F36" s="89">
        <f t="shared" si="5"/>
        <v>4194736</v>
      </c>
      <c r="H36" s="28" t="s">
        <v>281</v>
      </c>
      <c r="I36" s="373">
        <v>18159996</v>
      </c>
    </row>
    <row r="37" spans="2:9">
      <c r="E37" s="87" t="str">
        <f t="shared" si="4"/>
        <v>Mountain Columbia</v>
      </c>
      <c r="F37" s="89">
        <f t="shared" si="5"/>
        <v>24062705</v>
      </c>
      <c r="H37" s="28" t="s">
        <v>310</v>
      </c>
      <c r="I37" s="373">
        <v>21214325</v>
      </c>
    </row>
    <row r="38" spans="2:9">
      <c r="E38" s="87" t="str">
        <f t="shared" si="4"/>
        <v>Mountain Snake</v>
      </c>
      <c r="F38" s="89">
        <f t="shared" si="5"/>
        <v>27685383</v>
      </c>
      <c r="H38" s="28" t="s">
        <v>260</v>
      </c>
      <c r="I38" s="373">
        <v>24062705</v>
      </c>
    </row>
    <row r="39" spans="2:9">
      <c r="E39" s="87" t="str">
        <f t="shared" si="4"/>
        <v>Upper Snake</v>
      </c>
      <c r="F39" s="89">
        <f t="shared" si="5"/>
        <v>14927618</v>
      </c>
      <c r="H39" s="28" t="s">
        <v>257</v>
      </c>
      <c r="I39" s="373">
        <v>27685383</v>
      </c>
    </row>
    <row r="40" spans="2:9">
      <c r="E40" s="87" t="s">
        <v>51</v>
      </c>
      <c r="F40" s="89">
        <f t="shared" si="5"/>
        <v>4911421</v>
      </c>
      <c r="H40" s="28" t="s">
        <v>274</v>
      </c>
      <c r="I40" s="373">
        <v>36056424</v>
      </c>
    </row>
    <row r="41" spans="2:9">
      <c r="E41" s="87" t="s">
        <v>3</v>
      </c>
      <c r="F41" s="89">
        <f t="shared" si="5"/>
        <v>25569582</v>
      </c>
      <c r="H41" s="28" t="s">
        <v>292</v>
      </c>
      <c r="I41" s="373">
        <v>73068145</v>
      </c>
    </row>
    <row r="43" spans="2:9">
      <c r="E43" s="39"/>
      <c r="H43" s="372"/>
    </row>
    <row r="44" spans="2:9">
      <c r="E44" s="39"/>
      <c r="H44" s="372"/>
    </row>
    <row r="45" spans="2:9">
      <c r="E45" s="39"/>
      <c r="H45" s="372"/>
    </row>
    <row r="46" spans="2:9">
      <c r="E46" s="39"/>
      <c r="H46" s="372"/>
    </row>
    <row r="47" spans="2:9">
      <c r="E47" s="39"/>
      <c r="H47" s="372"/>
    </row>
    <row r="48" spans="2:9">
      <c r="E48" s="39"/>
      <c r="H48" s="372"/>
    </row>
    <row r="49" spans="1:6">
      <c r="E49" s="39"/>
    </row>
    <row r="63" spans="1:6">
      <c r="E63" s="28"/>
      <c r="F63" s="28"/>
    </row>
    <row r="64" spans="1:6">
      <c r="A64" s="31"/>
      <c r="B64" s="28"/>
      <c r="C64" s="28"/>
      <c r="D64" s="28"/>
      <c r="E64" s="28"/>
      <c r="F64" s="28"/>
    </row>
    <row r="65" spans="1:6">
      <c r="A65" s="31"/>
      <c r="B65" s="28"/>
      <c r="C65" s="28"/>
      <c r="D65" s="28"/>
      <c r="E65" s="28"/>
      <c r="F65" s="28"/>
    </row>
    <row r="66" spans="1:6">
      <c r="A66" s="31"/>
      <c r="B66" s="28"/>
      <c r="C66" s="28"/>
      <c r="D66" s="28"/>
      <c r="E66" s="28"/>
      <c r="F66" s="28"/>
    </row>
    <row r="67" spans="1:6">
      <c r="A67" s="32"/>
      <c r="B67" s="28"/>
      <c r="C67" s="28"/>
      <c r="D67" s="28"/>
      <c r="E67" s="28"/>
      <c r="F67" s="28"/>
    </row>
    <row r="68" spans="1:6">
      <c r="A68" s="31"/>
      <c r="B68" s="28"/>
      <c r="C68" s="28"/>
      <c r="D68" s="28"/>
      <c r="E68" s="28"/>
      <c r="F68" s="28"/>
    </row>
    <row r="69" spans="1:6">
      <c r="A69" s="31"/>
      <c r="B69" s="28"/>
      <c r="C69" s="28"/>
      <c r="D69" s="28"/>
      <c r="E69" s="28"/>
      <c r="F69" s="28"/>
    </row>
    <row r="70" spans="1:6">
      <c r="A70" s="31"/>
      <c r="B70" s="28"/>
      <c r="C70" s="28"/>
      <c r="D70" s="28"/>
      <c r="E70" s="28"/>
      <c r="F70" s="28"/>
    </row>
    <row r="71" spans="1:6">
      <c r="A71" s="31"/>
      <c r="B71" s="28"/>
      <c r="C71" s="28"/>
      <c r="D71" s="28"/>
      <c r="E71" s="28"/>
      <c r="F71" s="28"/>
    </row>
    <row r="72" spans="1:6">
      <c r="A72" s="31"/>
      <c r="B72" s="28"/>
      <c r="C72" s="28"/>
      <c r="D72" s="28"/>
      <c r="E72" s="28"/>
      <c r="F72" s="28"/>
    </row>
    <row r="73" spans="1:6">
      <c r="A73" s="31"/>
      <c r="B73" s="28"/>
      <c r="C73" s="28"/>
      <c r="D73" s="28"/>
      <c r="E73" s="28"/>
      <c r="F73" s="28"/>
    </row>
    <row r="74" spans="1:6">
      <c r="A74" s="31"/>
      <c r="B74" s="28"/>
      <c r="C74" s="28"/>
      <c r="D74" s="28"/>
      <c r="E74" s="28"/>
      <c r="F74" s="28"/>
    </row>
    <row r="75" spans="1:6">
      <c r="A75" s="31"/>
      <c r="B75" s="28"/>
      <c r="C75" s="28"/>
      <c r="D75" s="28"/>
    </row>
    <row r="76" spans="1:6">
      <c r="E76" s="28"/>
      <c r="F76" s="28"/>
    </row>
    <row r="77" spans="1:6">
      <c r="A77" s="31"/>
      <c r="B77" s="28"/>
      <c r="C77" s="28"/>
      <c r="D77" s="28"/>
      <c r="E77" s="28"/>
      <c r="F77" s="28"/>
    </row>
    <row r="78" spans="1:6">
      <c r="A78" s="31"/>
      <c r="B78" s="28"/>
      <c r="C78" s="28"/>
      <c r="D78" s="28"/>
      <c r="E78" s="28"/>
      <c r="F78" s="28"/>
    </row>
    <row r="79" spans="1:6">
      <c r="A79" s="31"/>
      <c r="B79" s="28"/>
      <c r="C79" s="28"/>
      <c r="D79" s="28"/>
    </row>
  </sheetData>
  <sortState xmlns:xlrd2="http://schemas.microsoft.com/office/spreadsheetml/2017/richdata2" ref="H29:I41">
    <sortCondition ref="I29:I41"/>
  </sortState>
  <pageMargins left="0.27" right="0.27" top="0.55000000000000004" bottom="0.32" header="0.21" footer="0.22"/>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2F04A-3322-414A-BC92-58B9AEE60C67}">
  <sheetPr>
    <pageSetUpPr fitToPage="1"/>
  </sheetPr>
  <dimension ref="A1:L102"/>
  <sheetViews>
    <sheetView workbookViewId="0"/>
  </sheetViews>
  <sheetFormatPr defaultColWidth="9.109375" defaultRowHeight="14.4"/>
  <cols>
    <col min="1" max="1" width="29.109375" style="76" customWidth="1"/>
    <col min="2" max="2" width="49" style="76" bestFit="1" customWidth="1"/>
    <col min="3" max="3" width="16.5546875" style="76" bestFit="1" customWidth="1"/>
    <col min="4" max="4" width="13.6640625" style="76" customWidth="1"/>
    <col min="5" max="5" width="14.33203125" style="76" customWidth="1"/>
    <col min="6" max="6" width="10.109375" style="76" bestFit="1" customWidth="1"/>
    <col min="7" max="16384" width="9.109375" style="76"/>
  </cols>
  <sheetData>
    <row r="1" spans="1:12" ht="15.6">
      <c r="A1" s="205" t="str">
        <f>"Figure 7B: Costs by Subbasin, FY" &amp; E3</f>
        <v>Figure 7B: Costs by Subbasin, FY2021</v>
      </c>
    </row>
    <row r="3" spans="1:12" s="178" customFormat="1">
      <c r="A3" s="211" t="s">
        <v>50</v>
      </c>
      <c r="B3" s="211" t="s">
        <v>340</v>
      </c>
      <c r="C3" s="212">
        <v>2019</v>
      </c>
      <c r="D3" s="212">
        <v>2020</v>
      </c>
      <c r="E3" s="212">
        <v>2021</v>
      </c>
      <c r="G3" s="154"/>
      <c r="I3" s="154"/>
      <c r="L3" s="154"/>
    </row>
    <row r="4" spans="1:12">
      <c r="A4" s="177" t="s">
        <v>266</v>
      </c>
      <c r="B4" s="177" t="s">
        <v>267</v>
      </c>
      <c r="C4" s="177">
        <v>25689</v>
      </c>
      <c r="D4" s="177">
        <v>0</v>
      </c>
      <c r="E4" s="232">
        <v>0</v>
      </c>
    </row>
    <row r="5" spans="1:12">
      <c r="A5" s="177" t="s">
        <v>260</v>
      </c>
      <c r="B5" s="177" t="s">
        <v>263</v>
      </c>
      <c r="C5" s="177">
        <v>436666</v>
      </c>
      <c r="D5" s="177">
        <v>110180</v>
      </c>
      <c r="E5" s="232">
        <v>4129</v>
      </c>
    </row>
    <row r="6" spans="1:12">
      <c r="A6" s="177" t="s">
        <v>266</v>
      </c>
      <c r="B6" s="177" t="s">
        <v>271</v>
      </c>
      <c r="C6" s="177">
        <v>22359</v>
      </c>
      <c r="D6" s="177">
        <v>17229</v>
      </c>
      <c r="E6" s="232">
        <v>12713</v>
      </c>
    </row>
    <row r="7" spans="1:12">
      <c r="A7" s="177" t="s">
        <v>303</v>
      </c>
      <c r="B7" s="177" t="s">
        <v>308</v>
      </c>
      <c r="C7" s="177">
        <v>29103</v>
      </c>
      <c r="D7" s="177">
        <v>26782</v>
      </c>
      <c r="E7" s="232">
        <v>28117</v>
      </c>
    </row>
    <row r="8" spans="1:12">
      <c r="A8" s="177" t="s">
        <v>292</v>
      </c>
      <c r="B8" s="177" t="s">
        <v>297</v>
      </c>
      <c r="C8" s="177">
        <v>42083</v>
      </c>
      <c r="D8" s="177">
        <v>39667</v>
      </c>
      <c r="E8" s="232">
        <v>36202</v>
      </c>
    </row>
    <row r="9" spans="1:12">
      <c r="A9" s="177" t="s">
        <v>253</v>
      </c>
      <c r="B9" s="177" t="s">
        <v>252</v>
      </c>
      <c r="C9" s="177">
        <v>23087</v>
      </c>
      <c r="D9" s="177">
        <v>113812</v>
      </c>
      <c r="E9" s="232">
        <v>69288</v>
      </c>
    </row>
    <row r="10" spans="1:12">
      <c r="A10" s="177" t="s">
        <v>274</v>
      </c>
      <c r="B10" s="177" t="s">
        <v>275</v>
      </c>
      <c r="C10" s="177">
        <v>108564</v>
      </c>
      <c r="D10" s="177">
        <v>97552</v>
      </c>
      <c r="E10" s="232">
        <v>84159</v>
      </c>
    </row>
    <row r="11" spans="1:12">
      <c r="A11" s="177" t="s">
        <v>266</v>
      </c>
      <c r="B11" s="177" t="s">
        <v>265</v>
      </c>
      <c r="C11" s="177">
        <v>86240</v>
      </c>
      <c r="D11" s="177">
        <v>56671</v>
      </c>
      <c r="E11" s="232">
        <v>87518</v>
      </c>
    </row>
    <row r="12" spans="1:12">
      <c r="A12" s="177" t="s">
        <v>274</v>
      </c>
      <c r="B12" s="177" t="s">
        <v>276</v>
      </c>
      <c r="C12" s="177">
        <v>91303</v>
      </c>
      <c r="D12" s="177">
        <v>62879</v>
      </c>
      <c r="E12" s="232">
        <v>89983</v>
      </c>
    </row>
    <row r="13" spans="1:12">
      <c r="A13" s="177" t="s">
        <v>274</v>
      </c>
      <c r="B13" s="177" t="s">
        <v>278</v>
      </c>
      <c r="C13" s="177">
        <v>81943</v>
      </c>
      <c r="D13" s="177">
        <v>86814</v>
      </c>
      <c r="E13" s="232">
        <v>94799</v>
      </c>
    </row>
    <row r="14" spans="1:12">
      <c r="A14" s="177" t="s">
        <v>287</v>
      </c>
      <c r="B14" s="177" t="s">
        <v>289</v>
      </c>
      <c r="C14" s="177">
        <v>122342</v>
      </c>
      <c r="D14" s="177">
        <v>123847</v>
      </c>
      <c r="E14" s="232">
        <v>130099</v>
      </c>
    </row>
    <row r="15" spans="1:12">
      <c r="A15" s="177" t="s">
        <v>253</v>
      </c>
      <c r="B15" s="177" t="s">
        <v>255</v>
      </c>
      <c r="C15" s="177">
        <v>132028</v>
      </c>
      <c r="D15" s="177">
        <v>298503</v>
      </c>
      <c r="E15" s="232">
        <v>169018</v>
      </c>
    </row>
    <row r="16" spans="1:12">
      <c r="A16" s="177" t="s">
        <v>303</v>
      </c>
      <c r="B16" s="177" t="s">
        <v>307</v>
      </c>
      <c r="C16" s="177">
        <v>709426</v>
      </c>
      <c r="D16" s="177">
        <v>391797</v>
      </c>
      <c r="E16" s="232">
        <v>261312</v>
      </c>
    </row>
    <row r="17" spans="1:5">
      <c r="A17" s="177" t="s">
        <v>260</v>
      </c>
      <c r="B17" s="177" t="s">
        <v>264</v>
      </c>
      <c r="C17" s="177">
        <v>215578</v>
      </c>
      <c r="D17" s="177">
        <v>276255</v>
      </c>
      <c r="E17" s="232">
        <v>264719</v>
      </c>
    </row>
    <row r="18" spans="1:5">
      <c r="A18" s="177" t="s">
        <v>260</v>
      </c>
      <c r="B18" s="177" t="s">
        <v>262</v>
      </c>
      <c r="C18" s="177">
        <v>443387</v>
      </c>
      <c r="D18" s="177">
        <v>4390636</v>
      </c>
      <c r="E18" s="232">
        <v>418010</v>
      </c>
    </row>
    <row r="19" spans="1:5">
      <c r="A19" s="177" t="s">
        <v>266</v>
      </c>
      <c r="B19" s="177" t="s">
        <v>268</v>
      </c>
      <c r="C19" s="177">
        <v>423740</v>
      </c>
      <c r="D19" s="177">
        <v>417485</v>
      </c>
      <c r="E19" s="232">
        <v>419033</v>
      </c>
    </row>
    <row r="20" spans="1:5">
      <c r="A20" s="177" t="s">
        <v>274</v>
      </c>
      <c r="B20" s="177" t="s">
        <v>277</v>
      </c>
      <c r="C20" s="177">
        <v>411339</v>
      </c>
      <c r="D20" s="177">
        <v>371864</v>
      </c>
      <c r="E20" s="232">
        <v>433073</v>
      </c>
    </row>
    <row r="21" spans="1:5">
      <c r="A21" s="177" t="s">
        <v>310</v>
      </c>
      <c r="B21" s="177" t="s">
        <v>313</v>
      </c>
      <c r="C21" s="177">
        <v>1305518</v>
      </c>
      <c r="D21" s="177">
        <v>1066181</v>
      </c>
      <c r="E21" s="232">
        <v>462057</v>
      </c>
    </row>
    <row r="22" spans="1:5">
      <c r="A22" s="177" t="s">
        <v>292</v>
      </c>
      <c r="B22" s="177" t="s">
        <v>300</v>
      </c>
      <c r="C22" s="177">
        <v>742162</v>
      </c>
      <c r="D22" s="177">
        <v>740132</v>
      </c>
      <c r="E22" s="232">
        <v>537052</v>
      </c>
    </row>
    <row r="23" spans="1:5">
      <c r="A23" s="177" t="s">
        <v>303</v>
      </c>
      <c r="B23" s="177" t="s">
        <v>304</v>
      </c>
      <c r="C23" s="177">
        <v>433593</v>
      </c>
      <c r="D23" s="177">
        <v>460445</v>
      </c>
      <c r="E23" s="232">
        <v>621418</v>
      </c>
    </row>
    <row r="24" spans="1:5">
      <c r="A24" s="177" t="s">
        <v>303</v>
      </c>
      <c r="B24" s="177" t="s">
        <v>302</v>
      </c>
      <c r="C24" s="177">
        <v>573171</v>
      </c>
      <c r="D24" s="177">
        <v>564146</v>
      </c>
      <c r="E24" s="232">
        <v>648386</v>
      </c>
    </row>
    <row r="25" spans="1:5">
      <c r="A25" s="177" t="s">
        <v>266</v>
      </c>
      <c r="B25" s="177" t="s">
        <v>270</v>
      </c>
      <c r="C25" s="177">
        <v>675711</v>
      </c>
      <c r="D25" s="177">
        <v>798453</v>
      </c>
      <c r="E25" s="232">
        <v>690752</v>
      </c>
    </row>
    <row r="26" spans="1:5">
      <c r="A26" s="177" t="s">
        <v>317</v>
      </c>
      <c r="B26" s="177" t="s">
        <v>320</v>
      </c>
      <c r="C26" s="177">
        <v>518872</v>
      </c>
      <c r="D26" s="177">
        <v>663968</v>
      </c>
      <c r="E26" s="232">
        <v>703694</v>
      </c>
    </row>
    <row r="27" spans="1:5">
      <c r="A27" s="177" t="s">
        <v>317</v>
      </c>
      <c r="B27" s="177" t="s">
        <v>318</v>
      </c>
      <c r="C27" s="177">
        <v>1343568</v>
      </c>
      <c r="D27" s="177">
        <v>1125091</v>
      </c>
      <c r="E27" s="232">
        <v>1005211</v>
      </c>
    </row>
    <row r="28" spans="1:5">
      <c r="A28" s="177" t="s">
        <v>310</v>
      </c>
      <c r="B28" s="177" t="s">
        <v>314</v>
      </c>
      <c r="C28" s="177">
        <v>722932</v>
      </c>
      <c r="D28" s="177">
        <v>651168</v>
      </c>
      <c r="E28" s="232">
        <v>1031908</v>
      </c>
    </row>
    <row r="29" spans="1:5">
      <c r="A29" s="177" t="s">
        <v>266</v>
      </c>
      <c r="B29" s="177" t="s">
        <v>269</v>
      </c>
      <c r="C29" s="177">
        <v>1199232</v>
      </c>
      <c r="D29" s="177">
        <v>956371</v>
      </c>
      <c r="E29" s="232">
        <v>1071241</v>
      </c>
    </row>
    <row r="30" spans="1:5">
      <c r="A30" s="177" t="s">
        <v>287</v>
      </c>
      <c r="B30" s="177" t="s">
        <v>286</v>
      </c>
      <c r="C30" s="177">
        <v>1013810</v>
      </c>
      <c r="D30" s="177">
        <v>1276023</v>
      </c>
      <c r="E30" s="232">
        <v>1149467</v>
      </c>
    </row>
    <row r="31" spans="1:5">
      <c r="A31" s="177" t="s">
        <v>281</v>
      </c>
      <c r="B31" s="177" t="s">
        <v>282</v>
      </c>
      <c r="C31" s="177">
        <v>1972702</v>
      </c>
      <c r="D31" s="177">
        <v>1736157</v>
      </c>
      <c r="E31" s="232">
        <v>1395903</v>
      </c>
    </row>
    <row r="32" spans="1:5">
      <c r="A32" s="177" t="s">
        <v>287</v>
      </c>
      <c r="B32" s="177" t="s">
        <v>288</v>
      </c>
      <c r="C32" s="177">
        <v>1498079</v>
      </c>
      <c r="D32" s="177">
        <v>976127</v>
      </c>
      <c r="E32" s="232">
        <v>1662018</v>
      </c>
    </row>
    <row r="33" spans="1:5">
      <c r="A33" s="177" t="s">
        <v>317</v>
      </c>
      <c r="B33" s="177" t="s">
        <v>316</v>
      </c>
      <c r="C33" s="177">
        <v>1237767</v>
      </c>
      <c r="D33" s="177">
        <v>963718</v>
      </c>
      <c r="E33" s="232">
        <v>1740550</v>
      </c>
    </row>
    <row r="34" spans="1:5">
      <c r="A34" s="177" t="s">
        <v>303</v>
      </c>
      <c r="B34" s="177" t="s">
        <v>305</v>
      </c>
      <c r="C34" s="177">
        <v>3249660</v>
      </c>
      <c r="D34" s="177">
        <v>2467141</v>
      </c>
      <c r="E34" s="232">
        <v>1873494</v>
      </c>
    </row>
    <row r="35" spans="1:5">
      <c r="A35" s="177" t="s">
        <v>266</v>
      </c>
      <c r="B35" s="177" t="s">
        <v>272</v>
      </c>
      <c r="C35" s="177">
        <v>1971459</v>
      </c>
      <c r="D35" s="177">
        <v>1885081</v>
      </c>
      <c r="E35" s="232">
        <v>1913479</v>
      </c>
    </row>
    <row r="36" spans="1:5">
      <c r="A36" s="177" t="s">
        <v>281</v>
      </c>
      <c r="B36" s="177" t="s">
        <v>285</v>
      </c>
      <c r="C36" s="177">
        <v>2039218</v>
      </c>
      <c r="D36" s="177">
        <v>2077580</v>
      </c>
      <c r="E36" s="232">
        <v>2037737</v>
      </c>
    </row>
    <row r="37" spans="1:5">
      <c r="A37" s="177" t="s">
        <v>303</v>
      </c>
      <c r="B37" s="177" t="s">
        <v>303</v>
      </c>
      <c r="C37" s="177">
        <v>2656838</v>
      </c>
      <c r="D37" s="177">
        <v>2340670</v>
      </c>
      <c r="E37" s="232">
        <v>2492464</v>
      </c>
    </row>
    <row r="38" spans="1:5">
      <c r="A38" s="177" t="s">
        <v>303</v>
      </c>
      <c r="B38" s="177" t="s">
        <v>306</v>
      </c>
      <c r="C38" s="177">
        <v>3698190</v>
      </c>
      <c r="D38" s="177">
        <v>3470656</v>
      </c>
      <c r="E38" s="232">
        <v>2548483</v>
      </c>
    </row>
    <row r="39" spans="1:5">
      <c r="A39" s="177" t="s">
        <v>292</v>
      </c>
      <c r="B39" s="177" t="s">
        <v>295</v>
      </c>
      <c r="C39" s="177">
        <v>1911010</v>
      </c>
      <c r="D39" s="177">
        <v>2425481</v>
      </c>
      <c r="E39" s="232">
        <v>3397606</v>
      </c>
    </row>
    <row r="40" spans="1:5">
      <c r="A40" s="177" t="s">
        <v>281</v>
      </c>
      <c r="B40" s="177" t="s">
        <v>280</v>
      </c>
      <c r="C40" s="177">
        <v>2922853</v>
      </c>
      <c r="D40" s="177">
        <v>3083783</v>
      </c>
      <c r="E40" s="232">
        <v>3716621</v>
      </c>
    </row>
    <row r="41" spans="1:5">
      <c r="A41" s="177" t="s">
        <v>310</v>
      </c>
      <c r="B41" s="177" t="s">
        <v>309</v>
      </c>
      <c r="C41" s="177">
        <v>2165825</v>
      </c>
      <c r="D41" s="177">
        <v>2697368</v>
      </c>
      <c r="E41" s="232">
        <v>3852114</v>
      </c>
    </row>
    <row r="42" spans="1:5">
      <c r="A42" s="177" t="s">
        <v>310</v>
      </c>
      <c r="B42" s="177" t="s">
        <v>311</v>
      </c>
      <c r="C42" s="177">
        <v>5823872</v>
      </c>
      <c r="D42" s="177">
        <v>5113491</v>
      </c>
      <c r="E42" s="232">
        <v>4659063</v>
      </c>
    </row>
    <row r="43" spans="1:5">
      <c r="A43" s="177" t="s">
        <v>51</v>
      </c>
      <c r="B43" s="177" t="s">
        <v>51</v>
      </c>
      <c r="C43" s="177">
        <v>4720584</v>
      </c>
      <c r="D43" s="177">
        <v>5039768</v>
      </c>
      <c r="E43" s="232">
        <v>4911421</v>
      </c>
    </row>
    <row r="44" spans="1:5">
      <c r="A44" s="177" t="s">
        <v>281</v>
      </c>
      <c r="B44" s="177" t="s">
        <v>283</v>
      </c>
      <c r="C44" s="177">
        <v>5608712</v>
      </c>
      <c r="D44" s="177">
        <v>5651060</v>
      </c>
      <c r="E44" s="232">
        <v>5009376</v>
      </c>
    </row>
    <row r="45" spans="1:5">
      <c r="A45" s="177" t="s">
        <v>310</v>
      </c>
      <c r="B45" s="177" t="s">
        <v>312</v>
      </c>
      <c r="C45" s="177">
        <v>5777371</v>
      </c>
      <c r="D45" s="177">
        <v>5192007</v>
      </c>
      <c r="E45" s="232">
        <v>5039328</v>
      </c>
    </row>
    <row r="46" spans="1:5">
      <c r="A46" s="177" t="s">
        <v>292</v>
      </c>
      <c r="B46" s="177" t="s">
        <v>301</v>
      </c>
      <c r="C46" s="177">
        <v>4636585</v>
      </c>
      <c r="D46" s="177">
        <v>4084647</v>
      </c>
      <c r="E46" s="232">
        <v>5192557</v>
      </c>
    </row>
    <row r="47" spans="1:5">
      <c r="A47" s="177" t="s">
        <v>292</v>
      </c>
      <c r="B47" s="177" t="s">
        <v>296</v>
      </c>
      <c r="C47" s="177">
        <v>5723325</v>
      </c>
      <c r="D47" s="177">
        <v>4701192</v>
      </c>
      <c r="E47" s="232">
        <v>5331360</v>
      </c>
    </row>
    <row r="48" spans="1:5">
      <c r="A48" s="177" t="s">
        <v>287</v>
      </c>
      <c r="B48" s="177" t="s">
        <v>290</v>
      </c>
      <c r="C48" s="177">
        <v>4325289</v>
      </c>
      <c r="D48" s="177">
        <v>4794544</v>
      </c>
      <c r="E48" s="232">
        <v>5581433</v>
      </c>
    </row>
    <row r="49" spans="1:5">
      <c r="A49" s="177" t="s">
        <v>292</v>
      </c>
      <c r="B49" s="177" t="s">
        <v>299</v>
      </c>
      <c r="C49" s="177">
        <v>8183285</v>
      </c>
      <c r="D49" s="177">
        <v>6293622</v>
      </c>
      <c r="E49" s="232">
        <v>5710500</v>
      </c>
    </row>
    <row r="50" spans="1:5">
      <c r="A50" s="177" t="s">
        <v>281</v>
      </c>
      <c r="B50" s="177" t="s">
        <v>284</v>
      </c>
      <c r="C50" s="177">
        <v>6514202</v>
      </c>
      <c r="D50" s="177">
        <v>6261922</v>
      </c>
      <c r="E50" s="232">
        <v>6000359</v>
      </c>
    </row>
    <row r="51" spans="1:5">
      <c r="A51" s="177" t="s">
        <v>310</v>
      </c>
      <c r="B51" s="177" t="s">
        <v>315</v>
      </c>
      <c r="C51" s="177">
        <v>4418320</v>
      </c>
      <c r="D51" s="177">
        <v>6084261</v>
      </c>
      <c r="E51" s="232">
        <v>6169855</v>
      </c>
    </row>
    <row r="52" spans="1:5">
      <c r="A52" s="177" t="s">
        <v>292</v>
      </c>
      <c r="B52" s="177" t="s">
        <v>298</v>
      </c>
      <c r="C52" s="177">
        <v>7867962</v>
      </c>
      <c r="D52" s="177">
        <v>8134508</v>
      </c>
      <c r="E52" s="232">
        <v>8408978</v>
      </c>
    </row>
    <row r="53" spans="1:5">
      <c r="A53" s="177" t="s">
        <v>292</v>
      </c>
      <c r="B53" s="177" t="s">
        <v>294</v>
      </c>
      <c r="C53" s="177">
        <v>7836471</v>
      </c>
      <c r="D53" s="177">
        <v>7947325</v>
      </c>
      <c r="E53" s="232">
        <v>9193512</v>
      </c>
    </row>
    <row r="54" spans="1:5">
      <c r="A54" s="177" t="s">
        <v>260</v>
      </c>
      <c r="B54" s="177" t="s">
        <v>259</v>
      </c>
      <c r="C54" s="177">
        <v>10581994</v>
      </c>
      <c r="D54" s="177">
        <v>10698904</v>
      </c>
      <c r="E54" s="232">
        <v>10319617</v>
      </c>
    </row>
    <row r="55" spans="1:5">
      <c r="A55" s="177" t="s">
        <v>317</v>
      </c>
      <c r="B55" s="177" t="s">
        <v>319</v>
      </c>
      <c r="C55" s="177">
        <v>12506487</v>
      </c>
      <c r="D55" s="177">
        <v>11856025</v>
      </c>
      <c r="E55" s="232">
        <v>12709844</v>
      </c>
    </row>
    <row r="56" spans="1:5">
      <c r="A56" s="177" t="s">
        <v>257</v>
      </c>
      <c r="B56" s="177" t="s">
        <v>258</v>
      </c>
      <c r="C56" s="177">
        <v>14260246</v>
      </c>
      <c r="D56" s="177">
        <v>12695998</v>
      </c>
      <c r="E56" s="232">
        <v>13051782</v>
      </c>
    </row>
    <row r="57" spans="1:5">
      <c r="A57" s="177" t="s">
        <v>260</v>
      </c>
      <c r="B57" s="177" t="s">
        <v>261</v>
      </c>
      <c r="C57" s="177">
        <v>2351857</v>
      </c>
      <c r="D57" s="177">
        <v>4492830</v>
      </c>
      <c r="E57" s="232">
        <v>13056230</v>
      </c>
    </row>
    <row r="58" spans="1:5">
      <c r="A58" s="177" t="s">
        <v>257</v>
      </c>
      <c r="B58" s="177" t="s">
        <v>256</v>
      </c>
      <c r="C58" s="177">
        <v>13093069</v>
      </c>
      <c r="D58" s="177">
        <v>13279175</v>
      </c>
      <c r="E58" s="232">
        <v>14633601</v>
      </c>
    </row>
    <row r="59" spans="1:5">
      <c r="A59" s="177" t="s">
        <v>253</v>
      </c>
      <c r="B59" s="177" t="s">
        <v>254</v>
      </c>
      <c r="C59" s="177">
        <v>5099313</v>
      </c>
      <c r="D59" s="177">
        <v>8450461</v>
      </c>
      <c r="E59" s="232">
        <v>14689312</v>
      </c>
    </row>
    <row r="60" spans="1:5">
      <c r="A60" s="177" t="s">
        <v>292</v>
      </c>
      <c r="B60" s="177" t="s">
        <v>293</v>
      </c>
      <c r="C60" s="177">
        <v>4070365</v>
      </c>
      <c r="D60" s="177">
        <v>16903087</v>
      </c>
      <c r="E60" s="232">
        <v>14853092</v>
      </c>
    </row>
    <row r="61" spans="1:5">
      <c r="A61" s="177" t="s">
        <v>274</v>
      </c>
      <c r="B61" s="177" t="s">
        <v>279</v>
      </c>
      <c r="C61" s="177">
        <v>6144027</v>
      </c>
      <c r="D61" s="177">
        <v>14303365</v>
      </c>
      <c r="E61" s="232">
        <v>16049035</v>
      </c>
    </row>
    <row r="62" spans="1:5">
      <c r="A62" s="177" t="s">
        <v>274</v>
      </c>
      <c r="B62" s="177" t="s">
        <v>273</v>
      </c>
      <c r="C62" s="177">
        <v>26707470</v>
      </c>
      <c r="D62" s="177">
        <v>22221493</v>
      </c>
      <c r="E62" s="232">
        <v>19305375</v>
      </c>
    </row>
    <row r="63" spans="1:5">
      <c r="A63" s="177" t="s">
        <v>292</v>
      </c>
      <c r="B63" s="177" t="s">
        <v>291</v>
      </c>
      <c r="C63" s="177">
        <v>29873134</v>
      </c>
      <c r="D63" s="177">
        <v>25120989</v>
      </c>
      <c r="E63" s="232">
        <v>20407286</v>
      </c>
    </row>
    <row r="64" spans="1:5" ht="17.399999999999999">
      <c r="A64" s="177" t="s">
        <v>251</v>
      </c>
      <c r="B64" s="177"/>
      <c r="C64" s="177">
        <v>17471914</v>
      </c>
      <c r="D64" s="177">
        <v>17792570</v>
      </c>
      <c r="E64" s="232">
        <v>25569582</v>
      </c>
    </row>
    <row r="65" spans="1:12">
      <c r="A65" s="177" t="s">
        <v>238</v>
      </c>
      <c r="B65" s="177"/>
      <c r="C65" s="177">
        <v>11607301</v>
      </c>
      <c r="D65" s="177">
        <v>11601030</v>
      </c>
      <c r="E65" s="232">
        <v>12327352</v>
      </c>
    </row>
    <row r="66" spans="1:12">
      <c r="A66" s="177" t="s">
        <v>239</v>
      </c>
      <c r="B66" s="177"/>
      <c r="C66" s="177">
        <v>254958</v>
      </c>
      <c r="D66" s="177">
        <v>213881</v>
      </c>
      <c r="E66" s="232">
        <v>179587</v>
      </c>
    </row>
    <row r="67" spans="1:12">
      <c r="A67" s="176" t="s">
        <v>37</v>
      </c>
      <c r="B67" s="175"/>
      <c r="C67" s="175"/>
      <c r="D67" s="175"/>
      <c r="E67" s="233">
        <f>SUM(E4:E66)</f>
        <v>295513264</v>
      </c>
    </row>
    <row r="68" spans="1:12">
      <c r="B68" s="31"/>
      <c r="C68" s="174"/>
    </row>
    <row r="69" spans="1:12">
      <c r="A69" s="34" t="s">
        <v>0</v>
      </c>
      <c r="B69" s="173"/>
    </row>
    <row r="70" spans="1:12">
      <c r="A70" s="358" t="s">
        <v>49</v>
      </c>
      <c r="B70" s="358"/>
      <c r="C70" s="358"/>
      <c r="D70" s="358"/>
      <c r="E70" s="358"/>
      <c r="F70" s="358"/>
      <c r="G70" s="358"/>
      <c r="H70" s="358"/>
    </row>
    <row r="71" spans="1:12">
      <c r="A71" s="358" t="s">
        <v>48</v>
      </c>
      <c r="B71" s="358"/>
      <c r="C71" s="358"/>
      <c r="D71" s="358"/>
      <c r="E71" s="358"/>
      <c r="F71" s="358"/>
      <c r="G71" s="358"/>
      <c r="H71" s="358"/>
    </row>
    <row r="72" spans="1:12">
      <c r="A72" s="169" t="s">
        <v>215</v>
      </c>
      <c r="B72" s="169"/>
      <c r="C72" s="169"/>
      <c r="D72" s="169"/>
      <c r="E72" s="169"/>
      <c r="F72" s="169"/>
      <c r="G72" s="169"/>
      <c r="H72" s="169"/>
    </row>
    <row r="73" spans="1:12">
      <c r="A73" s="169" t="s">
        <v>387</v>
      </c>
      <c r="B73" s="169"/>
      <c r="C73" s="169"/>
      <c r="D73" s="169"/>
      <c r="E73" s="169"/>
      <c r="F73" s="169"/>
      <c r="G73" s="169"/>
      <c r="H73" s="169"/>
      <c r="L73" s="169"/>
    </row>
    <row r="75" spans="1:12">
      <c r="A75" s="34" t="s">
        <v>74</v>
      </c>
    </row>
    <row r="76" spans="1:12">
      <c r="A76" s="32" t="str">
        <f>subtitle</f>
        <v>Total: $295.5 million includes $41.9 million in obligations to capital projects, plus General and Administrative (G&amp;A) expenses ($12.3 million, not included), and Columbia River System Operations Review/Environmental Impact Statement expenses ($0.2 million, not included)</v>
      </c>
    </row>
    <row r="102" spans="9:11">
      <c r="I102" s="169"/>
      <c r="J102" s="169"/>
      <c r="K102" s="169"/>
    </row>
  </sheetData>
  <sortState xmlns:xlrd2="http://schemas.microsoft.com/office/spreadsheetml/2017/richdata2" ref="I49:K108">
    <sortCondition ref="I49:I108"/>
  </sortState>
  <pageMargins left="0.7" right="0.7" top="0.75" bottom="0.75" header="0.3" footer="0.3"/>
  <pageSetup scale="65" fitToHeight="0"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4"/>
  <sheetViews>
    <sheetView topLeftCell="H1" workbookViewId="0">
      <selection activeCell="K18" sqref="K18"/>
    </sheetView>
  </sheetViews>
  <sheetFormatPr defaultColWidth="9.109375" defaultRowHeight="14.4"/>
  <cols>
    <col min="1" max="1" width="55.33203125" style="76" customWidth="1"/>
    <col min="2" max="12" width="16.33203125" style="76" customWidth="1"/>
    <col min="13" max="13" width="0" style="76" hidden="1" customWidth="1"/>
    <col min="14" max="14" width="15.33203125" style="76" hidden="1" customWidth="1"/>
    <col min="15" max="16384" width="9.109375" style="76"/>
  </cols>
  <sheetData>
    <row r="1" spans="1:15" ht="22.5" customHeight="1">
      <c r="A1" s="397" t="str">
        <f>"Figure 8: Costs by Work Element Location, FY"&amp;L3</f>
        <v>Figure 8: Costs by Work Element Location, FY2021</v>
      </c>
      <c r="B1" s="397"/>
    </row>
    <row r="2" spans="1:15" ht="22.5" customHeight="1">
      <c r="A2" s="79"/>
      <c r="B2" s="95"/>
    </row>
    <row r="3" spans="1:15" ht="15.6">
      <c r="A3" s="209" t="s">
        <v>140</v>
      </c>
      <c r="B3" s="209">
        <v>2011</v>
      </c>
      <c r="C3" s="209">
        <v>2012</v>
      </c>
      <c r="D3" s="209">
        <v>2013</v>
      </c>
      <c r="E3" s="209">
        <v>2014</v>
      </c>
      <c r="F3" s="209">
        <v>2015</v>
      </c>
      <c r="G3" s="209">
        <v>2016</v>
      </c>
      <c r="H3" s="209">
        <v>2017</v>
      </c>
      <c r="I3" s="209">
        <v>2018</v>
      </c>
      <c r="J3" s="209">
        <v>2019</v>
      </c>
      <c r="K3" s="210">
        <v>2020</v>
      </c>
      <c r="L3" s="210">
        <v>2021</v>
      </c>
      <c r="M3" s="363"/>
      <c r="O3" s="153"/>
    </row>
    <row r="4" spans="1:15" ht="15.6">
      <c r="A4" s="81" t="s">
        <v>83</v>
      </c>
      <c r="B4" s="121">
        <v>121317883.59999999</v>
      </c>
      <c r="C4" s="121">
        <v>115404913</v>
      </c>
      <c r="D4" s="121">
        <v>95365193</v>
      </c>
      <c r="E4" s="121">
        <v>86071758</v>
      </c>
      <c r="F4" s="121">
        <v>90272231.799999997</v>
      </c>
      <c r="G4" s="121">
        <v>89322441</v>
      </c>
      <c r="H4" s="121">
        <v>87798353</v>
      </c>
      <c r="I4" s="121">
        <v>92421567</v>
      </c>
      <c r="J4" s="121">
        <v>94205715</v>
      </c>
      <c r="K4" s="121">
        <v>95808893</v>
      </c>
      <c r="L4" s="121">
        <v>94296806</v>
      </c>
      <c r="M4" s="206">
        <f t="shared" ref="M4:M10" si="0">L4/SUM(L$4:L$12)</f>
        <v>0.3192890392923256</v>
      </c>
      <c r="N4" s="79" t="str">
        <f>TEXT(L4,"$#0.0,,")&amp;" million"</f>
        <v>$94.3 million</v>
      </c>
    </row>
    <row r="5" spans="1:15" ht="15.6">
      <c r="A5" s="81" t="s">
        <v>82</v>
      </c>
      <c r="B5" s="121">
        <v>50870890</v>
      </c>
      <c r="C5" s="121">
        <v>73383217</v>
      </c>
      <c r="D5" s="121">
        <v>61857476</v>
      </c>
      <c r="E5" s="121">
        <v>78704753</v>
      </c>
      <c r="F5" s="121">
        <v>68248817.269999996</v>
      </c>
      <c r="G5" s="121">
        <v>60368059</v>
      </c>
      <c r="H5" s="121">
        <v>60237861</v>
      </c>
      <c r="I5" s="121">
        <v>64782417</v>
      </c>
      <c r="J5" s="121">
        <v>50632624</v>
      </c>
      <c r="K5" s="121">
        <v>55851117</v>
      </c>
      <c r="L5" s="121">
        <v>60979271</v>
      </c>
      <c r="M5" s="206">
        <f t="shared" si="0"/>
        <v>0.20647584664040872</v>
      </c>
      <c r="N5" s="79" t="str">
        <f t="shared" ref="N5:N11" si="1">TEXT(L5,"$#0.0,,")&amp;" million"</f>
        <v>$61.0 million</v>
      </c>
    </row>
    <row r="6" spans="1:15" ht="15.6">
      <c r="A6" s="81" t="s">
        <v>81</v>
      </c>
      <c r="B6" s="121">
        <v>86884303.599999994</v>
      </c>
      <c r="C6" s="121">
        <v>85320690</v>
      </c>
      <c r="D6" s="121">
        <v>101607686</v>
      </c>
      <c r="E6" s="121">
        <v>61266093</v>
      </c>
      <c r="F6" s="121">
        <v>97958650.379999995</v>
      </c>
      <c r="G6" s="121">
        <v>93424732</v>
      </c>
      <c r="H6" s="121">
        <v>83807412</v>
      </c>
      <c r="I6" s="121">
        <v>82523213</v>
      </c>
      <c r="J6" s="121">
        <v>80435603</v>
      </c>
      <c r="K6" s="121">
        <v>85708974</v>
      </c>
      <c r="L6" s="121">
        <v>83569188</v>
      </c>
      <c r="M6" s="206">
        <f t="shared" si="0"/>
        <v>0.28296531858098933</v>
      </c>
      <c r="N6" s="79" t="str">
        <f t="shared" si="1"/>
        <v>$83.6 million</v>
      </c>
    </row>
    <row r="7" spans="1:15" ht="15.6">
      <c r="A7" s="81" t="s">
        <v>79</v>
      </c>
      <c r="B7" s="121">
        <v>3598371</v>
      </c>
      <c r="C7" s="121">
        <v>2367853</v>
      </c>
      <c r="D7" s="121">
        <v>589410</v>
      </c>
      <c r="E7" s="121">
        <v>989723</v>
      </c>
      <c r="F7" s="121">
        <v>938155.66</v>
      </c>
      <c r="G7" s="121">
        <v>1085664</v>
      </c>
      <c r="H7" s="121">
        <v>1031552</v>
      </c>
      <c r="I7" s="121">
        <v>962384</v>
      </c>
      <c r="J7" s="121">
        <v>1069114</v>
      </c>
      <c r="K7" s="121">
        <v>1249011</v>
      </c>
      <c r="L7" s="121">
        <v>1360003</v>
      </c>
      <c r="M7" s="206">
        <f t="shared" si="0"/>
        <v>4.6049709393622589E-3</v>
      </c>
      <c r="N7" s="79" t="str">
        <f t="shared" si="1"/>
        <v>$1.4 million</v>
      </c>
    </row>
    <row r="8" spans="1:15" ht="15.6">
      <c r="A8" s="81" t="s">
        <v>80</v>
      </c>
      <c r="B8" s="121">
        <v>17984028</v>
      </c>
      <c r="C8" s="121">
        <v>11143660</v>
      </c>
      <c r="D8" s="121">
        <v>7215356</v>
      </c>
      <c r="E8" s="121">
        <v>8285323</v>
      </c>
      <c r="F8" s="121">
        <v>5345068.57</v>
      </c>
      <c r="G8" s="121">
        <v>7233270</v>
      </c>
      <c r="H8" s="121">
        <v>4856792</v>
      </c>
      <c r="I8" s="121">
        <v>16628807</v>
      </c>
      <c r="J8" s="121">
        <v>4555333</v>
      </c>
      <c r="K8" s="121">
        <v>7422485</v>
      </c>
      <c r="L8" s="121">
        <v>14778698</v>
      </c>
      <c r="M8" s="206">
        <f t="shared" si="0"/>
        <v>5.004067991880249E-2</v>
      </c>
      <c r="N8" s="79" t="str">
        <f t="shared" si="1"/>
        <v>$14.8 million</v>
      </c>
    </row>
    <row r="9" spans="1:15" ht="18">
      <c r="A9" s="81" t="s">
        <v>422</v>
      </c>
      <c r="B9" s="121">
        <v>1610361</v>
      </c>
      <c r="C9" s="121">
        <v>1983288</v>
      </c>
      <c r="D9" s="121">
        <v>2042752</v>
      </c>
      <c r="E9" s="121">
        <v>1859249</v>
      </c>
      <c r="F9" s="121">
        <v>1991757.54</v>
      </c>
      <c r="G9" s="121">
        <v>1849774</v>
      </c>
      <c r="H9" s="121">
        <v>2099864</v>
      </c>
      <c r="I9" s="121">
        <v>1886622</v>
      </c>
      <c r="J9" s="121">
        <v>1629195</v>
      </c>
      <c r="K9" s="121">
        <v>1843811</v>
      </c>
      <c r="L9" s="121">
        <v>1649333</v>
      </c>
      <c r="M9" s="206">
        <f t="shared" si="0"/>
        <v>5.5846424855909675E-3</v>
      </c>
      <c r="N9" s="79" t="str">
        <f t="shared" si="1"/>
        <v>$1.6 million</v>
      </c>
    </row>
    <row r="10" spans="1:15" ht="18">
      <c r="A10" s="81" t="s">
        <v>423</v>
      </c>
      <c r="B10" s="121">
        <v>622594</v>
      </c>
      <c r="C10" s="121">
        <v>883615</v>
      </c>
      <c r="D10" s="121">
        <v>524606</v>
      </c>
      <c r="E10" s="121">
        <v>494000</v>
      </c>
      <c r="F10" s="121">
        <v>763224.97</v>
      </c>
      <c r="G10" s="121">
        <v>642383</v>
      </c>
      <c r="H10" s="121">
        <v>758778</v>
      </c>
      <c r="I10" s="121">
        <v>766935</v>
      </c>
      <c r="J10" s="121">
        <v>853404</v>
      </c>
      <c r="K10" s="121">
        <v>708490</v>
      </c>
      <c r="L10" s="121">
        <v>803443</v>
      </c>
      <c r="M10" s="206">
        <f t="shared" si="0"/>
        <v>2.7204584596019505E-3</v>
      </c>
      <c r="N10" s="79" t="str">
        <f t="shared" si="1"/>
        <v>$0.8 million</v>
      </c>
    </row>
    <row r="11" spans="1:15" ht="15.6">
      <c r="A11" s="79" t="s">
        <v>240</v>
      </c>
      <c r="B11" s="121">
        <v>28326464</v>
      </c>
      <c r="C11" s="121">
        <v>15922536</v>
      </c>
      <c r="D11" s="121">
        <v>21899413</v>
      </c>
      <c r="E11" s="121">
        <v>31463211</v>
      </c>
      <c r="F11" s="121">
        <v>14032643.140000001</v>
      </c>
      <c r="G11" s="121">
        <v>20245851</v>
      </c>
      <c r="H11" s="121">
        <v>19366924</v>
      </c>
      <c r="I11" s="121">
        <v>18728145</v>
      </c>
      <c r="J11" s="121">
        <v>17471913</v>
      </c>
      <c r="K11" s="122">
        <v>17828176</v>
      </c>
      <c r="L11" s="122">
        <v>25569583</v>
      </c>
      <c r="M11" s="206"/>
      <c r="N11" s="79" t="str">
        <f t="shared" si="1"/>
        <v>$25.6 million</v>
      </c>
    </row>
    <row r="12" spans="1:15" ht="15.6">
      <c r="A12" s="81" t="s">
        <v>238</v>
      </c>
      <c r="B12" s="121"/>
      <c r="C12" s="121"/>
      <c r="D12" s="121"/>
      <c r="E12" s="121"/>
      <c r="F12" s="121"/>
      <c r="G12" s="121"/>
      <c r="H12" s="121"/>
      <c r="I12" s="121">
        <v>10367580</v>
      </c>
      <c r="J12" s="121">
        <v>11607301</v>
      </c>
      <c r="K12" s="121">
        <v>11601030</v>
      </c>
      <c r="L12" s="121">
        <v>12327352</v>
      </c>
      <c r="M12" s="206"/>
    </row>
    <row r="13" spans="1:15" ht="15.6">
      <c r="A13" s="79" t="s">
        <v>239</v>
      </c>
      <c r="B13" s="121"/>
      <c r="C13" s="121"/>
      <c r="D13" s="121"/>
      <c r="E13" s="121"/>
      <c r="F13" s="121"/>
      <c r="G13" s="121"/>
      <c r="H13" s="121"/>
      <c r="I13" s="121">
        <v>304457</v>
      </c>
      <c r="J13" s="121">
        <v>254958</v>
      </c>
      <c r="K13" s="122">
        <v>213881</v>
      </c>
      <c r="L13" s="122">
        <v>179587</v>
      </c>
      <c r="M13" s="206"/>
    </row>
    <row r="14" spans="1:15" ht="16.2" thickBot="1">
      <c r="A14" s="79"/>
      <c r="B14" s="80">
        <f t="shared" ref="B14:J14" si="2">SUM(B4:B13)</f>
        <v>311214895.19999999</v>
      </c>
      <c r="C14" s="80">
        <f t="shared" si="2"/>
        <v>306409772</v>
      </c>
      <c r="D14" s="80">
        <f t="shared" si="2"/>
        <v>291101892</v>
      </c>
      <c r="E14" s="80">
        <f t="shared" si="2"/>
        <v>269134110</v>
      </c>
      <c r="F14" s="80">
        <f t="shared" si="2"/>
        <v>279550549.32999998</v>
      </c>
      <c r="G14" s="80">
        <f t="shared" si="2"/>
        <v>274172174</v>
      </c>
      <c r="H14" s="80">
        <f t="shared" si="2"/>
        <v>259957536</v>
      </c>
      <c r="I14" s="80">
        <f t="shared" si="2"/>
        <v>289372127</v>
      </c>
      <c r="J14" s="80">
        <f t="shared" si="2"/>
        <v>262715160</v>
      </c>
      <c r="K14" s="80">
        <f>SUM(K4:K13)</f>
        <v>278235868</v>
      </c>
      <c r="L14" s="80">
        <f>SUM(L4:L13)</f>
        <v>295513264</v>
      </c>
      <c r="M14" s="79"/>
      <c r="N14" s="80">
        <f>L14</f>
        <v>295513264</v>
      </c>
    </row>
    <row r="15" spans="1:15" ht="16.2" thickTop="1">
      <c r="A15" s="79"/>
      <c r="B15" s="78"/>
    </row>
    <row r="16" spans="1:15" ht="15.6">
      <c r="A16" s="77" t="s">
        <v>0</v>
      </c>
    </row>
    <row r="17" spans="1:6" s="192" customFormat="1">
      <c r="A17" s="234" t="s">
        <v>424</v>
      </c>
      <c r="B17" s="234"/>
      <c r="C17" s="234"/>
    </row>
    <row r="18" spans="1:6" s="192" customFormat="1">
      <c r="A18" s="234" t="s">
        <v>425</v>
      </c>
      <c r="B18" s="234"/>
      <c r="C18" s="234"/>
    </row>
    <row r="19" spans="1:6" s="192" customFormat="1">
      <c r="A19" s="234" t="s">
        <v>426</v>
      </c>
      <c r="B19" s="234"/>
      <c r="C19" s="234"/>
    </row>
    <row r="20" spans="1:6" s="192" customFormat="1">
      <c r="A20" s="234" t="s">
        <v>421</v>
      </c>
      <c r="B20" s="234"/>
      <c r="C20" s="234"/>
    </row>
    <row r="21" spans="1:6" s="192" customFormat="1">
      <c r="A21" s="235" t="s">
        <v>388</v>
      </c>
      <c r="B21" s="235"/>
      <c r="C21" s="235"/>
      <c r="D21" s="193"/>
      <c r="E21" s="193"/>
      <c r="F21" s="193"/>
    </row>
    <row r="22" spans="1:6" ht="17.25" customHeight="1">
      <c r="A22" s="170"/>
    </row>
    <row r="23" spans="1:6" ht="15.6">
      <c r="A23" s="202" t="s">
        <v>74</v>
      </c>
    </row>
    <row r="24" spans="1:6">
      <c r="A24" s="21" t="str">
        <f>subtitle&amp;" and Program Support (" &amp; N11 &amp; ", not included)"</f>
        <v>Total: $295.5 million includes $41.9 million in obligations to capital projects, plus General and Administrative (G&amp;A) expenses ($12.3 million, not included), and Columbia River System Operations Review/Environmental Impact Statement expenses ($0.2 million, not included) and Program Support ($25.6 million, not included)</v>
      </c>
    </row>
  </sheetData>
  <mergeCells count="1">
    <mergeCell ref="A1:B1"/>
  </mergeCells>
  <pageMargins left="0.7" right="0.7" top="0.75" bottom="0.75" header="0.3" footer="0.3"/>
  <pageSetup scale="95" fitToHeight="0" orientation="landscape"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A38B8-5E60-423F-9E98-E098BEAD26D2}">
  <sheetPr>
    <pageSetUpPr fitToPage="1"/>
  </sheetPr>
  <dimension ref="A1:U166"/>
  <sheetViews>
    <sheetView topLeftCell="A127" zoomScale="85" zoomScaleNormal="85" workbookViewId="0">
      <selection activeCell="H81" sqref="H81"/>
    </sheetView>
  </sheetViews>
  <sheetFormatPr defaultColWidth="9.109375" defaultRowHeight="13.8"/>
  <cols>
    <col min="1" max="1" width="12.44140625" style="243" bestFit="1" customWidth="1"/>
    <col min="2" max="2" width="57.44140625" style="237" customWidth="1"/>
    <col min="3" max="3" width="13.6640625" style="194" customWidth="1"/>
    <col min="4" max="5" width="13.6640625" style="194" bestFit="1" customWidth="1"/>
    <col min="6" max="8" width="13.6640625" style="239" bestFit="1" customWidth="1"/>
    <col min="9" max="9" width="13.6640625" style="239" customWidth="1"/>
    <col min="10" max="10" width="13.6640625" style="239" bestFit="1" customWidth="1"/>
    <col min="11" max="12" width="13.6640625" style="239" customWidth="1"/>
    <col min="13" max="13" width="13.6640625" style="239" bestFit="1" customWidth="1"/>
    <col min="14" max="17" width="15" style="239" customWidth="1"/>
    <col min="18" max="18" width="9.109375" style="239"/>
    <col min="19" max="19" width="14" style="239" customWidth="1"/>
    <col min="20" max="20" width="13.33203125" style="239" customWidth="1"/>
    <col min="21" max="16384" width="9.109375" style="239"/>
  </cols>
  <sheetData>
    <row r="1" spans="1:19" ht="27.75" customHeight="1">
      <c r="A1" s="256" t="str">
        <f>"Figure 9: Costs by Contractor Type, FY"&amp;Q2</f>
        <v>Figure 9: Costs by Contractor Type, FY2021</v>
      </c>
      <c r="B1" s="256"/>
      <c r="C1" s="256"/>
      <c r="D1" s="256"/>
      <c r="E1" s="256"/>
      <c r="F1" s="256"/>
      <c r="G1" s="256"/>
      <c r="H1" s="256"/>
      <c r="I1" s="256"/>
      <c r="J1" s="256"/>
      <c r="K1" s="256"/>
      <c r="L1" s="256"/>
      <c r="M1" s="256"/>
    </row>
    <row r="2" spans="1:19" s="242" customFormat="1" ht="32.25" customHeight="1">
      <c r="A2" s="240" t="s">
        <v>138</v>
      </c>
      <c r="B2" s="240" t="s">
        <v>137</v>
      </c>
      <c r="C2" s="240">
        <v>2007</v>
      </c>
      <c r="D2" s="241">
        <v>2008</v>
      </c>
      <c r="E2" s="241">
        <v>2009</v>
      </c>
      <c r="F2" s="241">
        <v>2010</v>
      </c>
      <c r="G2" s="241">
        <v>2011</v>
      </c>
      <c r="H2" s="241">
        <v>2012</v>
      </c>
      <c r="I2" s="241">
        <v>2013</v>
      </c>
      <c r="J2" s="241">
        <v>2014</v>
      </c>
      <c r="K2" s="241">
        <v>2015</v>
      </c>
      <c r="L2" s="241">
        <v>2016</v>
      </c>
      <c r="M2" s="241">
        <v>2017</v>
      </c>
      <c r="N2" s="241">
        <v>2018</v>
      </c>
      <c r="O2" s="241">
        <v>2019</v>
      </c>
      <c r="P2" s="241">
        <v>2020</v>
      </c>
      <c r="Q2" s="241">
        <v>2021</v>
      </c>
    </row>
    <row r="3" spans="1:19" ht="27.6">
      <c r="A3" s="243" t="s">
        <v>136</v>
      </c>
      <c r="B3" s="237" t="s">
        <v>453</v>
      </c>
      <c r="C3" s="370">
        <v>11152430</v>
      </c>
      <c r="D3" s="194">
        <v>7762161</v>
      </c>
      <c r="E3" s="194">
        <v>15428883</v>
      </c>
      <c r="F3" s="194">
        <v>18886192</v>
      </c>
      <c r="G3" s="194">
        <v>16437276</v>
      </c>
      <c r="H3" s="194">
        <v>15281324</v>
      </c>
      <c r="I3" s="194">
        <v>16789765.34</v>
      </c>
      <c r="J3" s="194">
        <v>18302893.870000001</v>
      </c>
      <c r="K3" s="194">
        <v>18662085.170000002</v>
      </c>
      <c r="L3" s="194">
        <v>20288062</v>
      </c>
      <c r="M3" s="194">
        <v>18817913.82</v>
      </c>
      <c r="N3" s="194">
        <v>15144232</v>
      </c>
      <c r="O3" s="194">
        <v>15844777.719999999</v>
      </c>
      <c r="P3" s="194">
        <v>16857123</v>
      </c>
      <c r="Q3" s="194">
        <v>16332918.360000001</v>
      </c>
      <c r="R3" s="239" t="s">
        <v>454</v>
      </c>
      <c r="S3" s="194"/>
    </row>
    <row r="4" spans="1:19">
      <c r="B4" s="258" t="s">
        <v>343</v>
      </c>
      <c r="C4" s="258"/>
      <c r="D4" s="258"/>
      <c r="E4" s="258"/>
      <c r="F4" s="258"/>
      <c r="G4" s="194">
        <v>0</v>
      </c>
      <c r="H4" s="194">
        <v>0</v>
      </c>
      <c r="I4" s="194">
        <v>0</v>
      </c>
      <c r="J4" s="194">
        <v>0</v>
      </c>
      <c r="K4" s="194">
        <v>0</v>
      </c>
      <c r="L4" s="194">
        <v>0</v>
      </c>
      <c r="M4" s="194">
        <v>0</v>
      </c>
      <c r="N4" s="194">
        <v>0</v>
      </c>
      <c r="O4" s="194">
        <v>0</v>
      </c>
      <c r="P4" s="194">
        <v>7529</v>
      </c>
      <c r="Q4" s="194">
        <v>10385.77</v>
      </c>
      <c r="R4" s="239" t="s">
        <v>454</v>
      </c>
      <c r="S4" s="194"/>
    </row>
    <row r="5" spans="1:19">
      <c r="B5" s="237" t="s">
        <v>135</v>
      </c>
      <c r="C5" s="370">
        <v>9179793.0199999977</v>
      </c>
      <c r="D5" s="194">
        <v>7980293</v>
      </c>
      <c r="E5" s="194">
        <v>8959830.959999999</v>
      </c>
      <c r="F5" s="194">
        <v>8214596</v>
      </c>
      <c r="G5" s="194">
        <v>10011126</v>
      </c>
      <c r="H5" s="194">
        <v>10226671.5</v>
      </c>
      <c r="I5" s="194">
        <v>7294105.1900000004</v>
      </c>
      <c r="J5" s="194">
        <v>6823152.6100000003</v>
      </c>
      <c r="K5" s="194">
        <v>7869433</v>
      </c>
      <c r="L5" s="194">
        <v>6916950</v>
      </c>
      <c r="M5" s="194">
        <v>7239871.330000001</v>
      </c>
      <c r="N5" s="194">
        <v>7262514</v>
      </c>
      <c r="O5" s="194">
        <v>6843743.7699999996</v>
      </c>
      <c r="P5" s="194">
        <v>6717704</v>
      </c>
      <c r="Q5" s="194">
        <v>6918081.5200000014</v>
      </c>
      <c r="R5" s="239" t="s">
        <v>454</v>
      </c>
      <c r="S5" s="194"/>
    </row>
    <row r="6" spans="1:19">
      <c r="B6" s="237" t="s">
        <v>130</v>
      </c>
      <c r="C6" s="370">
        <v>1256473.52</v>
      </c>
      <c r="D6" s="194">
        <v>1722389</v>
      </c>
      <c r="E6" s="194">
        <v>1835707.99</v>
      </c>
      <c r="F6" s="194">
        <v>1760653</v>
      </c>
      <c r="G6" s="194">
        <v>2385971</v>
      </c>
      <c r="H6" s="194">
        <v>3135563.61</v>
      </c>
      <c r="I6" s="194">
        <v>2209566.7000000002</v>
      </c>
      <c r="J6" s="194">
        <v>1704163.07</v>
      </c>
      <c r="K6" s="194">
        <v>1705065.54</v>
      </c>
      <c r="L6" s="194">
        <v>1809300</v>
      </c>
      <c r="M6" s="194">
        <v>2014355.6099999999</v>
      </c>
      <c r="N6" s="194">
        <v>1665717</v>
      </c>
      <c r="O6" s="194">
        <v>1931626.73</v>
      </c>
      <c r="P6" s="194">
        <v>1033555</v>
      </c>
      <c r="Q6" s="194">
        <v>1013255.5699999998</v>
      </c>
      <c r="R6" s="239" t="s">
        <v>454</v>
      </c>
      <c r="S6" s="194"/>
    </row>
    <row r="7" spans="1:19">
      <c r="B7" s="237" t="s">
        <v>134</v>
      </c>
      <c r="C7" s="370">
        <v>2880400.38</v>
      </c>
      <c r="D7" s="194">
        <v>3150827</v>
      </c>
      <c r="E7" s="194">
        <v>3079230.87</v>
      </c>
      <c r="F7" s="194">
        <v>2640768</v>
      </c>
      <c r="G7" s="194">
        <v>2842702</v>
      </c>
      <c r="H7" s="194">
        <v>2472045.7200000002</v>
      </c>
      <c r="I7" s="194">
        <v>2845423.81</v>
      </c>
      <c r="J7" s="194">
        <v>3425748.4</v>
      </c>
      <c r="K7" s="194">
        <v>2718120.18</v>
      </c>
      <c r="L7" s="194">
        <v>3027580</v>
      </c>
      <c r="M7" s="194">
        <v>2289092.34</v>
      </c>
      <c r="N7" s="194">
        <v>2636188</v>
      </c>
      <c r="O7" s="194">
        <v>1743822.97</v>
      </c>
      <c r="P7" s="194">
        <v>-32873</v>
      </c>
      <c r="Q7" s="194">
        <v>170487.1</v>
      </c>
      <c r="R7" s="239" t="s">
        <v>454</v>
      </c>
      <c r="S7" s="194"/>
    </row>
    <row r="8" spans="1:19" ht="27.6">
      <c r="B8" s="237" t="s">
        <v>203</v>
      </c>
      <c r="C8" s="370">
        <v>1165186</v>
      </c>
      <c r="D8" s="194">
        <v>1605398</v>
      </c>
      <c r="E8" s="194">
        <v>1769676.3</v>
      </c>
      <c r="F8" s="194">
        <v>1476028</v>
      </c>
      <c r="G8" s="194">
        <v>750143</v>
      </c>
      <c r="H8" s="194">
        <v>573644.63</v>
      </c>
      <c r="I8" s="194">
        <v>381426.58</v>
      </c>
      <c r="J8" s="194">
        <v>379050.12</v>
      </c>
      <c r="K8" s="194">
        <v>625655.61</v>
      </c>
      <c r="L8" s="194">
        <v>793662.02</v>
      </c>
      <c r="M8" s="194">
        <v>392411.07</v>
      </c>
      <c r="N8" s="194">
        <v>736525</v>
      </c>
      <c r="O8" s="194">
        <v>1043403.94</v>
      </c>
      <c r="P8" s="194">
        <v>141696</v>
      </c>
      <c r="Q8" s="194">
        <v>126694.99</v>
      </c>
      <c r="R8" s="239" t="s">
        <v>454</v>
      </c>
      <c r="S8" s="194"/>
    </row>
    <row r="9" spans="1:19">
      <c r="B9" s="237" t="s">
        <v>131</v>
      </c>
      <c r="C9" s="370">
        <v>728324.19</v>
      </c>
      <c r="D9" s="194">
        <v>1410740</v>
      </c>
      <c r="E9" s="194">
        <v>3668543.08</v>
      </c>
      <c r="F9" s="194">
        <v>1649120</v>
      </c>
      <c r="G9" s="194">
        <v>1124508</v>
      </c>
      <c r="H9" s="194">
        <v>851567.22</v>
      </c>
      <c r="I9" s="194">
        <v>819257.58</v>
      </c>
      <c r="J9" s="194">
        <v>813991.96</v>
      </c>
      <c r="K9" s="194">
        <v>309565.11</v>
      </c>
      <c r="L9" s="194">
        <v>962585</v>
      </c>
      <c r="M9" s="194">
        <v>814089.25</v>
      </c>
      <c r="N9" s="194">
        <v>915292</v>
      </c>
      <c r="O9" s="194">
        <v>512494.07</v>
      </c>
      <c r="P9" s="194">
        <v>1554790</v>
      </c>
      <c r="Q9" s="194">
        <v>1972918.5199999996</v>
      </c>
      <c r="R9" s="239" t="s">
        <v>454</v>
      </c>
      <c r="S9" s="194"/>
    </row>
    <row r="10" spans="1:19">
      <c r="B10" s="237" t="s">
        <v>133</v>
      </c>
      <c r="C10" s="370">
        <v>279720.64</v>
      </c>
      <c r="D10" s="194">
        <v>152309</v>
      </c>
      <c r="E10" s="194">
        <v>202092.42</v>
      </c>
      <c r="F10" s="194">
        <v>180104</v>
      </c>
      <c r="G10" s="194">
        <v>160153</v>
      </c>
      <c r="H10" s="194">
        <v>237485.58</v>
      </c>
      <c r="I10" s="194">
        <v>181861.7</v>
      </c>
      <c r="J10" s="194">
        <v>312773.18</v>
      </c>
      <c r="K10" s="194">
        <v>714662.68</v>
      </c>
      <c r="L10" s="194">
        <v>263562</v>
      </c>
      <c r="M10" s="194">
        <v>272941</v>
      </c>
      <c r="N10" s="194">
        <v>255321</v>
      </c>
      <c r="O10" s="194">
        <v>105320.74</v>
      </c>
      <c r="P10" s="194">
        <v>481619</v>
      </c>
      <c r="Q10" s="194">
        <v>661454.89000000013</v>
      </c>
      <c r="R10" s="239" t="s">
        <v>454</v>
      </c>
      <c r="S10" s="194"/>
    </row>
    <row r="11" spans="1:19">
      <c r="B11" s="237" t="s">
        <v>132</v>
      </c>
      <c r="C11" s="370">
        <v>1519667.06</v>
      </c>
      <c r="D11" s="194">
        <v>20924</v>
      </c>
      <c r="E11" s="194">
        <v>235611.62</v>
      </c>
      <c r="F11" s="194">
        <v>205064</v>
      </c>
      <c r="G11" s="194">
        <v>358523</v>
      </c>
      <c r="H11" s="194">
        <v>358213.68</v>
      </c>
      <c r="I11" s="194">
        <v>604601.54</v>
      </c>
      <c r="J11" s="194">
        <v>171313.17</v>
      </c>
      <c r="K11" s="194">
        <v>309498.65000000002</v>
      </c>
      <c r="L11" s="194">
        <v>1278361</v>
      </c>
      <c r="M11" s="194">
        <v>272192</v>
      </c>
      <c r="N11" s="194">
        <v>116413</v>
      </c>
      <c r="O11" s="194">
        <v>66974.570000000007</v>
      </c>
      <c r="P11" s="194">
        <v>1611234</v>
      </c>
      <c r="Q11" s="194">
        <v>2322393.5100000007</v>
      </c>
      <c r="R11" s="239" t="s">
        <v>454</v>
      </c>
      <c r="S11" s="194"/>
    </row>
    <row r="12" spans="1:19">
      <c r="B12" s="237" t="s">
        <v>91</v>
      </c>
      <c r="C12" s="370">
        <v>403411</v>
      </c>
      <c r="D12" s="194">
        <v>454711</v>
      </c>
      <c r="E12" s="194">
        <v>434000</v>
      </c>
      <c r="F12" s="194">
        <v>444850</v>
      </c>
      <c r="G12" s="194">
        <v>904925</v>
      </c>
      <c r="H12" s="194"/>
      <c r="I12" s="194">
        <v>178002</v>
      </c>
      <c r="J12" s="194">
        <v>50000</v>
      </c>
      <c r="K12" s="194">
        <v>50000</v>
      </c>
      <c r="L12" s="194"/>
      <c r="M12" s="194"/>
      <c r="N12" s="194"/>
      <c r="O12" s="194"/>
      <c r="P12" s="194">
        <v>0</v>
      </c>
      <c r="Q12" s="194">
        <v>0</v>
      </c>
    </row>
    <row r="13" spans="1:19">
      <c r="A13" s="399" t="s">
        <v>129</v>
      </c>
      <c r="B13" s="399"/>
      <c r="C13" s="244">
        <f t="shared" ref="C13:F13" si="0">SUM(C3:C12)</f>
        <v>28565405.809999995</v>
      </c>
      <c r="D13" s="244">
        <f t="shared" si="0"/>
        <v>24259752</v>
      </c>
      <c r="E13" s="244">
        <f t="shared" si="0"/>
        <v>35613576.240000002</v>
      </c>
      <c r="F13" s="244">
        <f t="shared" si="0"/>
        <v>35457375</v>
      </c>
      <c r="G13" s="244">
        <f t="shared" ref="G13:Q13" si="1">SUM(G3:G12)</f>
        <v>34975327</v>
      </c>
      <c r="H13" s="244">
        <f t="shared" si="1"/>
        <v>33136515.939999994</v>
      </c>
      <c r="I13" s="244">
        <f t="shared" si="1"/>
        <v>31304010.439999994</v>
      </c>
      <c r="J13" s="244">
        <f t="shared" si="1"/>
        <v>31983086.380000003</v>
      </c>
      <c r="K13" s="244">
        <f t="shared" si="1"/>
        <v>32964085.939999998</v>
      </c>
      <c r="L13" s="244">
        <f t="shared" si="1"/>
        <v>35340062.019999996</v>
      </c>
      <c r="M13" s="244">
        <f t="shared" si="1"/>
        <v>32112866.420000002</v>
      </c>
      <c r="N13" s="244">
        <f t="shared" si="1"/>
        <v>28732202</v>
      </c>
      <c r="O13" s="244">
        <f t="shared" si="1"/>
        <v>28092164.509999998</v>
      </c>
      <c r="P13" s="244">
        <f t="shared" si="1"/>
        <v>28372377</v>
      </c>
      <c r="Q13" s="244">
        <f t="shared" si="1"/>
        <v>29528590.230000004</v>
      </c>
    </row>
    <row r="14" spans="1:19">
      <c r="C14" s="258"/>
      <c r="D14" s="258"/>
      <c r="E14" s="258"/>
      <c r="F14" s="258"/>
      <c r="G14" s="194"/>
      <c r="H14" s="194"/>
      <c r="I14" s="194"/>
      <c r="J14" s="194"/>
      <c r="K14" s="194"/>
      <c r="L14" s="194"/>
      <c r="M14" s="194"/>
      <c r="N14" s="194"/>
      <c r="O14" s="194"/>
      <c r="P14" s="194"/>
      <c r="Q14" s="194"/>
    </row>
    <row r="15" spans="1:19">
      <c r="A15" s="243" t="s">
        <v>84</v>
      </c>
      <c r="B15" s="237" t="s">
        <v>128</v>
      </c>
      <c r="C15" s="370">
        <v>11114130.18</v>
      </c>
      <c r="D15" s="194">
        <v>10237010</v>
      </c>
      <c r="E15" s="194">
        <v>10170388.799999999</v>
      </c>
      <c r="F15" s="194">
        <v>13269950</v>
      </c>
      <c r="G15" s="194">
        <v>10238326</v>
      </c>
      <c r="H15" s="194">
        <v>15805508.949999999</v>
      </c>
      <c r="I15" s="194">
        <v>13248074.52</v>
      </c>
      <c r="J15" s="194">
        <v>14244565.92</v>
      </c>
      <c r="K15" s="194">
        <v>14416087.09</v>
      </c>
      <c r="L15" s="194">
        <v>15246156</v>
      </c>
      <c r="M15" s="194">
        <v>14664698.560000001</v>
      </c>
      <c r="N15" s="194">
        <v>15400007</v>
      </c>
      <c r="O15" s="194">
        <v>13814905.16</v>
      </c>
      <c r="P15" s="194">
        <v>13304458</v>
      </c>
      <c r="Q15" s="194">
        <v>12989476</v>
      </c>
      <c r="S15" s="194"/>
    </row>
    <row r="16" spans="1:19">
      <c r="B16" s="237" t="s">
        <v>127</v>
      </c>
      <c r="C16" s="258"/>
      <c r="D16" s="258"/>
      <c r="E16" s="258"/>
      <c r="F16" s="258"/>
      <c r="G16" s="194"/>
      <c r="H16" s="194">
        <v>59516.38</v>
      </c>
      <c r="I16" s="194">
        <v>76366.52</v>
      </c>
      <c r="J16" s="194">
        <v>112610.87</v>
      </c>
      <c r="K16" s="194">
        <v>88522.53</v>
      </c>
      <c r="L16" s="194">
        <v>55535</v>
      </c>
      <c r="M16" s="194">
        <v>18413</v>
      </c>
      <c r="N16" s="194">
        <v>30354</v>
      </c>
      <c r="O16" s="194">
        <v>24640.92</v>
      </c>
      <c r="P16" s="194">
        <v>33404</v>
      </c>
      <c r="Q16" s="194">
        <v>31021</v>
      </c>
      <c r="S16" s="194"/>
    </row>
    <row r="17" spans="1:19">
      <c r="B17" s="237" t="s">
        <v>243</v>
      </c>
      <c r="C17" s="258"/>
      <c r="D17" s="258"/>
      <c r="E17" s="258"/>
      <c r="F17" s="258"/>
      <c r="G17" s="194"/>
      <c r="H17" s="194"/>
      <c r="I17" s="194"/>
      <c r="J17" s="194"/>
      <c r="K17" s="194"/>
      <c r="L17" s="194"/>
      <c r="M17" s="194"/>
      <c r="N17" s="194">
        <v>20658</v>
      </c>
      <c r="O17" s="194">
        <v>-134</v>
      </c>
      <c r="P17" s="194">
        <v>0</v>
      </c>
      <c r="Q17" s="194">
        <v>216</v>
      </c>
    </row>
    <row r="18" spans="1:19">
      <c r="B18" s="245" t="s">
        <v>126</v>
      </c>
      <c r="C18" s="246">
        <f t="shared" ref="C18:F18" si="2">SUM(C15:C17)</f>
        <v>11114130.18</v>
      </c>
      <c r="D18" s="246">
        <f t="shared" si="2"/>
        <v>10237010</v>
      </c>
      <c r="E18" s="246">
        <f t="shared" si="2"/>
        <v>10170388.799999999</v>
      </c>
      <c r="F18" s="246">
        <f t="shared" si="2"/>
        <v>13269950</v>
      </c>
      <c r="G18" s="246">
        <f t="shared" ref="G18:Q18" si="3">SUM(G15:G17)</f>
        <v>10238326</v>
      </c>
      <c r="H18" s="246">
        <f t="shared" si="3"/>
        <v>15865025.33</v>
      </c>
      <c r="I18" s="246">
        <f t="shared" si="3"/>
        <v>13324441.039999999</v>
      </c>
      <c r="J18" s="246">
        <f t="shared" si="3"/>
        <v>14357176.789999999</v>
      </c>
      <c r="K18" s="246">
        <f t="shared" si="3"/>
        <v>14504609.619999999</v>
      </c>
      <c r="L18" s="246">
        <f t="shared" si="3"/>
        <v>15301691</v>
      </c>
      <c r="M18" s="246">
        <f t="shared" si="3"/>
        <v>14683111.560000001</v>
      </c>
      <c r="N18" s="246">
        <f t="shared" si="3"/>
        <v>15451019</v>
      </c>
      <c r="O18" s="246">
        <v>13839412.08</v>
      </c>
      <c r="P18" s="246">
        <f t="shared" si="3"/>
        <v>13337862</v>
      </c>
      <c r="Q18" s="246">
        <f t="shared" si="3"/>
        <v>13020713</v>
      </c>
    </row>
    <row r="19" spans="1:19" ht="7.5" customHeight="1">
      <c r="C19" s="258"/>
      <c r="D19" s="258"/>
      <c r="E19" s="258"/>
      <c r="F19" s="258"/>
      <c r="G19" s="194"/>
      <c r="H19" s="194"/>
      <c r="I19" s="194"/>
      <c r="J19" s="194"/>
      <c r="K19" s="194"/>
      <c r="L19" s="194"/>
      <c r="M19" s="194"/>
      <c r="N19" s="194"/>
      <c r="O19" s="194"/>
      <c r="P19" s="194"/>
      <c r="Q19" s="194"/>
    </row>
    <row r="20" spans="1:19">
      <c r="B20" s="237" t="s">
        <v>125</v>
      </c>
      <c r="C20" s="370">
        <v>7139046.5899999933</v>
      </c>
      <c r="D20" s="194">
        <v>11072547</v>
      </c>
      <c r="E20" s="194">
        <v>8429206.9700000007</v>
      </c>
      <c r="F20" s="194">
        <v>9174578</v>
      </c>
      <c r="G20" s="194">
        <v>10847630</v>
      </c>
      <c r="H20" s="194">
        <v>17836560.809999999</v>
      </c>
      <c r="I20" s="194">
        <v>18281035.739999998</v>
      </c>
      <c r="J20" s="194">
        <v>13726829.310000001</v>
      </c>
      <c r="K20" s="194">
        <v>15455053.789999999</v>
      </c>
      <c r="L20" s="194">
        <v>11875775</v>
      </c>
      <c r="M20" s="194">
        <v>12451687.119999999</v>
      </c>
      <c r="N20" s="194">
        <v>11779934</v>
      </c>
      <c r="O20" s="194">
        <v>11128381.119999999</v>
      </c>
      <c r="P20" s="194">
        <v>15378235</v>
      </c>
      <c r="Q20" s="194">
        <v>12697808</v>
      </c>
      <c r="S20" s="194"/>
    </row>
    <row r="21" spans="1:19">
      <c r="B21" s="237" t="s">
        <v>124</v>
      </c>
      <c r="C21" s="370">
        <v>91398.37</v>
      </c>
      <c r="D21" s="194">
        <v>84952</v>
      </c>
      <c r="E21" s="194">
        <v>91275.06</v>
      </c>
      <c r="F21" s="194">
        <v>66967</v>
      </c>
      <c r="G21" s="194"/>
      <c r="H21" s="194"/>
      <c r="I21" s="194"/>
      <c r="J21" s="194"/>
      <c r="K21" s="194"/>
      <c r="L21" s="194"/>
      <c r="M21" s="194"/>
      <c r="N21" s="194"/>
      <c r="O21" s="194"/>
      <c r="P21" s="194">
        <v>0</v>
      </c>
      <c r="Q21" s="194"/>
    </row>
    <row r="22" spans="1:19">
      <c r="B22" s="237" t="s">
        <v>123</v>
      </c>
      <c r="C22" s="370"/>
      <c r="D22" s="194">
        <v>199247</v>
      </c>
      <c r="E22" s="194">
        <v>923271.99</v>
      </c>
      <c r="F22" s="194">
        <v>1397773</v>
      </c>
      <c r="G22" s="194">
        <v>2551533</v>
      </c>
      <c r="H22" s="194">
        <v>2487432.84</v>
      </c>
      <c r="I22" s="194">
        <v>2905499.55</v>
      </c>
      <c r="J22" s="194">
        <v>1368456.31</v>
      </c>
      <c r="K22" s="194">
        <v>2742180.2</v>
      </c>
      <c r="L22" s="194">
        <v>3352210</v>
      </c>
      <c r="M22" s="194">
        <v>4013413.03</v>
      </c>
      <c r="N22" s="194">
        <v>4107184</v>
      </c>
      <c r="O22" s="194">
        <v>2658008.98</v>
      </c>
      <c r="P22" s="194">
        <v>2871776</v>
      </c>
      <c r="Q22" s="194">
        <v>3309193</v>
      </c>
      <c r="S22" s="194"/>
    </row>
    <row r="23" spans="1:19">
      <c r="B23" s="245" t="s">
        <v>122</v>
      </c>
      <c r="C23" s="246">
        <f t="shared" ref="C23:F23" si="4">SUM(C20:C22)</f>
        <v>7230444.9599999934</v>
      </c>
      <c r="D23" s="246">
        <f t="shared" si="4"/>
        <v>11356746</v>
      </c>
      <c r="E23" s="246">
        <f t="shared" si="4"/>
        <v>9443754.0200000014</v>
      </c>
      <c r="F23" s="246">
        <f t="shared" si="4"/>
        <v>10639318</v>
      </c>
      <c r="G23" s="246">
        <f t="shared" ref="G23:Q23" si="5">SUM(G20:G22)</f>
        <v>13399163</v>
      </c>
      <c r="H23" s="246">
        <f t="shared" si="5"/>
        <v>20323993.649999999</v>
      </c>
      <c r="I23" s="246">
        <f t="shared" si="5"/>
        <v>21186535.289999999</v>
      </c>
      <c r="J23" s="246">
        <f t="shared" si="5"/>
        <v>15095285.620000001</v>
      </c>
      <c r="K23" s="246">
        <f t="shared" si="5"/>
        <v>18197233.989999998</v>
      </c>
      <c r="L23" s="246">
        <f t="shared" si="5"/>
        <v>15227985</v>
      </c>
      <c r="M23" s="246">
        <f t="shared" si="5"/>
        <v>16465100.149999999</v>
      </c>
      <c r="N23" s="246">
        <f t="shared" si="5"/>
        <v>15887118</v>
      </c>
      <c r="O23" s="246">
        <v>13786390.1</v>
      </c>
      <c r="P23" s="246">
        <f t="shared" si="5"/>
        <v>18250011</v>
      </c>
      <c r="Q23" s="246">
        <f t="shared" si="5"/>
        <v>16007001</v>
      </c>
    </row>
    <row r="24" spans="1:19" ht="6" customHeight="1">
      <c r="C24" s="258"/>
      <c r="D24" s="258"/>
      <c r="E24" s="258"/>
      <c r="F24" s="258"/>
      <c r="G24" s="194"/>
      <c r="H24" s="194"/>
      <c r="I24" s="194"/>
      <c r="J24" s="194"/>
      <c r="K24" s="194"/>
      <c r="L24" s="194"/>
      <c r="M24" s="194"/>
      <c r="N24" s="194"/>
      <c r="O24" s="194"/>
      <c r="P24" s="194"/>
      <c r="Q24" s="194"/>
    </row>
    <row r="25" spans="1:19">
      <c r="B25" s="237" t="s">
        <v>121</v>
      </c>
      <c r="C25" s="370">
        <v>6615256.2299999977</v>
      </c>
      <c r="D25" s="194">
        <v>5912604</v>
      </c>
      <c r="E25" s="194">
        <v>6134349.6300000008</v>
      </c>
      <c r="F25" s="194">
        <v>7712743</v>
      </c>
      <c r="G25" s="194">
        <v>9148722</v>
      </c>
      <c r="H25" s="194">
        <v>11855753.15</v>
      </c>
      <c r="I25" s="194">
        <v>10691474.27</v>
      </c>
      <c r="J25" s="194">
        <v>12164790.199999999</v>
      </c>
      <c r="K25" s="194">
        <v>11894739.43</v>
      </c>
      <c r="L25" s="194">
        <v>12793663</v>
      </c>
      <c r="M25" s="194">
        <v>10976873.369999997</v>
      </c>
      <c r="N25" s="194">
        <v>11026037</v>
      </c>
      <c r="O25" s="194">
        <v>11069042.779999999</v>
      </c>
      <c r="P25" s="194">
        <v>11813405</v>
      </c>
      <c r="Q25" s="194">
        <v>12161212</v>
      </c>
      <c r="S25" s="194"/>
    </row>
    <row r="26" spans="1:19">
      <c r="B26" s="237" t="s">
        <v>120</v>
      </c>
      <c r="C26" s="370">
        <v>90223.01</v>
      </c>
      <c r="D26" s="194">
        <v>211309</v>
      </c>
      <c r="E26" s="194">
        <v>150323.82999999999</v>
      </c>
      <c r="F26" s="194">
        <v>181562</v>
      </c>
      <c r="G26" s="194">
        <v>43689</v>
      </c>
      <c r="H26" s="194"/>
      <c r="I26" s="194"/>
      <c r="J26" s="194"/>
      <c r="K26" s="194"/>
      <c r="L26" s="194"/>
      <c r="M26" s="194"/>
      <c r="N26" s="194"/>
      <c r="O26" s="194"/>
      <c r="P26" s="194">
        <v>0</v>
      </c>
      <c r="Q26" s="194">
        <v>0</v>
      </c>
    </row>
    <row r="27" spans="1:19">
      <c r="B27" s="245" t="s">
        <v>119</v>
      </c>
      <c r="C27" s="246">
        <f t="shared" ref="C27:F27" si="6">SUM(C25:C26)</f>
        <v>6705479.2399999974</v>
      </c>
      <c r="D27" s="246">
        <f t="shared" si="6"/>
        <v>6123913</v>
      </c>
      <c r="E27" s="246">
        <f t="shared" si="6"/>
        <v>6284673.4600000009</v>
      </c>
      <c r="F27" s="246">
        <f t="shared" si="6"/>
        <v>7894305</v>
      </c>
      <c r="G27" s="246">
        <f t="shared" ref="G27:Q27" si="7">SUM(G25:G26)</f>
        <v>9192411</v>
      </c>
      <c r="H27" s="246">
        <f t="shared" si="7"/>
        <v>11855753.15</v>
      </c>
      <c r="I27" s="246">
        <f t="shared" si="7"/>
        <v>10691474.27</v>
      </c>
      <c r="J27" s="246">
        <f t="shared" si="7"/>
        <v>12164790.199999999</v>
      </c>
      <c r="K27" s="246">
        <f t="shared" si="7"/>
        <v>11894739.43</v>
      </c>
      <c r="L27" s="246">
        <f t="shared" si="7"/>
        <v>12793663</v>
      </c>
      <c r="M27" s="246">
        <f t="shared" si="7"/>
        <v>10976873.369999997</v>
      </c>
      <c r="N27" s="246">
        <f t="shared" si="7"/>
        <v>11026037</v>
      </c>
      <c r="O27" s="246">
        <f t="shared" si="7"/>
        <v>11069042.779999999</v>
      </c>
      <c r="P27" s="246">
        <f t="shared" si="7"/>
        <v>11813405</v>
      </c>
      <c r="Q27" s="246">
        <f t="shared" si="7"/>
        <v>12161212</v>
      </c>
    </row>
    <row r="28" spans="1:19" ht="6.75" customHeight="1">
      <c r="C28" s="258"/>
      <c r="D28" s="258"/>
      <c r="E28" s="258"/>
      <c r="F28" s="258"/>
      <c r="G28" s="194"/>
      <c r="H28" s="194"/>
      <c r="I28" s="194"/>
      <c r="J28" s="194"/>
      <c r="K28" s="194"/>
      <c r="L28" s="194"/>
      <c r="M28" s="194"/>
      <c r="N28" s="194"/>
      <c r="O28" s="194"/>
      <c r="P28" s="194"/>
      <c r="Q28" s="194"/>
    </row>
    <row r="29" spans="1:19">
      <c r="B29" s="237" t="s">
        <v>118</v>
      </c>
      <c r="C29" s="370">
        <v>2234653.27</v>
      </c>
      <c r="D29" s="194">
        <v>2762721</v>
      </c>
      <c r="E29" s="194">
        <v>2829532.73</v>
      </c>
      <c r="F29" s="194">
        <v>2913118</v>
      </c>
      <c r="G29" s="194">
        <v>2414914</v>
      </c>
      <c r="H29" s="194">
        <v>2382531.36</v>
      </c>
      <c r="I29" s="194">
        <v>2777167.37</v>
      </c>
      <c r="J29" s="194">
        <v>3063650.19</v>
      </c>
      <c r="K29" s="194">
        <v>3051536.75</v>
      </c>
      <c r="L29" s="194">
        <v>3810995</v>
      </c>
      <c r="M29" s="194">
        <v>3076776</v>
      </c>
      <c r="N29" s="194">
        <v>3185901</v>
      </c>
      <c r="O29" s="194">
        <v>2087883.66</v>
      </c>
      <c r="P29" s="194">
        <v>3809330</v>
      </c>
      <c r="Q29" s="194">
        <v>2402503</v>
      </c>
      <c r="S29" s="194"/>
    </row>
    <row r="30" spans="1:19">
      <c r="B30" s="245" t="s">
        <v>117</v>
      </c>
      <c r="C30" s="246">
        <f t="shared" ref="C30:F30" si="8">SUM(C29:C29)</f>
        <v>2234653.27</v>
      </c>
      <c r="D30" s="246">
        <f t="shared" si="8"/>
        <v>2762721</v>
      </c>
      <c r="E30" s="246">
        <f t="shared" si="8"/>
        <v>2829532.73</v>
      </c>
      <c r="F30" s="246">
        <f t="shared" si="8"/>
        <v>2913118</v>
      </c>
      <c r="G30" s="246">
        <f t="shared" ref="G30:Q30" si="9">SUM(G29:G29)</f>
        <v>2414914</v>
      </c>
      <c r="H30" s="246">
        <f t="shared" si="9"/>
        <v>2382531.36</v>
      </c>
      <c r="I30" s="246">
        <f t="shared" si="9"/>
        <v>2777167.37</v>
      </c>
      <c r="J30" s="246">
        <f t="shared" si="9"/>
        <v>3063650.19</v>
      </c>
      <c r="K30" s="246">
        <f t="shared" si="9"/>
        <v>3051536.75</v>
      </c>
      <c r="L30" s="246">
        <f t="shared" si="9"/>
        <v>3810995</v>
      </c>
      <c r="M30" s="246">
        <f t="shared" si="9"/>
        <v>3076776</v>
      </c>
      <c r="N30" s="246">
        <f t="shared" si="9"/>
        <v>3185901</v>
      </c>
      <c r="O30" s="246">
        <f t="shared" si="9"/>
        <v>2087883.66</v>
      </c>
      <c r="P30" s="246">
        <f t="shared" si="9"/>
        <v>3809330</v>
      </c>
      <c r="Q30" s="246">
        <f t="shared" si="9"/>
        <v>2402503</v>
      </c>
    </row>
    <row r="31" spans="1:19" ht="18" customHeight="1">
      <c r="A31" s="398" t="s">
        <v>116</v>
      </c>
      <c r="B31" s="398"/>
      <c r="C31" s="244">
        <f t="shared" ref="C31:F31" si="10">SUM(C30,C27,C23,C18)</f>
        <v>27284707.649999991</v>
      </c>
      <c r="D31" s="244">
        <f t="shared" si="10"/>
        <v>30480390</v>
      </c>
      <c r="E31" s="244">
        <f t="shared" si="10"/>
        <v>28728349.009999998</v>
      </c>
      <c r="F31" s="244">
        <f t="shared" si="10"/>
        <v>34716691</v>
      </c>
      <c r="G31" s="244">
        <f t="shared" ref="G31:Q31" si="11">SUM(G30,G27,G23,G18)</f>
        <v>35244814</v>
      </c>
      <c r="H31" s="244">
        <f t="shared" si="11"/>
        <v>50427303.489999995</v>
      </c>
      <c r="I31" s="244">
        <f t="shared" si="11"/>
        <v>47979617.969999999</v>
      </c>
      <c r="J31" s="244">
        <f t="shared" si="11"/>
        <v>44680902.799999997</v>
      </c>
      <c r="K31" s="244">
        <f t="shared" si="11"/>
        <v>47648119.789999999</v>
      </c>
      <c r="L31" s="244">
        <f t="shared" si="11"/>
        <v>47134334</v>
      </c>
      <c r="M31" s="244">
        <f t="shared" si="11"/>
        <v>45201861.079999998</v>
      </c>
      <c r="N31" s="244">
        <f t="shared" si="11"/>
        <v>45550075</v>
      </c>
      <c r="O31" s="244">
        <f t="shared" si="11"/>
        <v>40782728.619999997</v>
      </c>
      <c r="P31" s="244">
        <f t="shared" si="11"/>
        <v>47210608</v>
      </c>
      <c r="Q31" s="244">
        <f t="shared" si="11"/>
        <v>43591429</v>
      </c>
    </row>
    <row r="32" spans="1:19">
      <c r="B32" s="243"/>
      <c r="C32" s="243"/>
      <c r="D32" s="243"/>
      <c r="E32" s="243"/>
      <c r="F32" s="243"/>
      <c r="G32" s="194"/>
      <c r="H32" s="194"/>
      <c r="I32" s="194"/>
      <c r="J32" s="194"/>
      <c r="K32" s="194"/>
      <c r="L32" s="194"/>
      <c r="M32" s="194"/>
      <c r="N32" s="194"/>
      <c r="O32" s="194"/>
      <c r="P32" s="194"/>
      <c r="Q32" s="194"/>
    </row>
    <row r="33" spans="1:19">
      <c r="A33" s="243" t="s">
        <v>115</v>
      </c>
      <c r="B33" s="237" t="s">
        <v>114</v>
      </c>
      <c r="C33" s="370">
        <v>733424.01</v>
      </c>
      <c r="D33" s="194">
        <v>687603</v>
      </c>
      <c r="E33" s="194">
        <v>636144.29</v>
      </c>
      <c r="F33" s="194">
        <v>716460</v>
      </c>
      <c r="G33" s="194">
        <v>658775</v>
      </c>
      <c r="H33" s="194">
        <v>831696.91</v>
      </c>
      <c r="I33" s="194">
        <v>610971.79</v>
      </c>
      <c r="J33" s="194">
        <v>761026.25</v>
      </c>
      <c r="K33" s="194">
        <v>1081654.73</v>
      </c>
      <c r="L33" s="194">
        <v>797849</v>
      </c>
      <c r="M33" s="194">
        <v>811009.52</v>
      </c>
      <c r="N33" s="194">
        <v>828953</v>
      </c>
      <c r="O33" s="194">
        <v>738429.14999999991</v>
      </c>
      <c r="P33" s="194">
        <v>851605.42999999993</v>
      </c>
      <c r="Q33" s="194">
        <v>779002</v>
      </c>
      <c r="S33" s="194"/>
    </row>
    <row r="34" spans="1:19">
      <c r="B34" s="237" t="s">
        <v>113</v>
      </c>
      <c r="C34" s="370">
        <v>2148587.04</v>
      </c>
      <c r="D34" s="194">
        <v>2537247</v>
      </c>
      <c r="E34" s="194">
        <v>2552550.41</v>
      </c>
      <c r="F34" s="194">
        <v>2444908</v>
      </c>
      <c r="G34" s="194">
        <v>2340704</v>
      </c>
      <c r="H34" s="194">
        <v>2668551.16</v>
      </c>
      <c r="I34" s="194">
        <v>2714055.36</v>
      </c>
      <c r="J34" s="194">
        <v>2606885.94</v>
      </c>
      <c r="K34" s="194">
        <v>2686195.65</v>
      </c>
      <c r="L34" s="194">
        <v>2722811</v>
      </c>
      <c r="M34" s="194">
        <v>2717874.71</v>
      </c>
      <c r="N34" s="194">
        <v>2726337</v>
      </c>
      <c r="O34" s="194">
        <v>2742503.0500000003</v>
      </c>
      <c r="P34" s="194">
        <v>2722870.8299999996</v>
      </c>
      <c r="Q34" s="194">
        <v>2810591</v>
      </c>
      <c r="S34" s="194"/>
    </row>
    <row r="35" spans="1:19">
      <c r="B35" s="237" t="s">
        <v>112</v>
      </c>
      <c r="C35" s="370">
        <v>1005653.24</v>
      </c>
      <c r="D35" s="194">
        <v>1776526</v>
      </c>
      <c r="E35" s="194">
        <v>4329842.21</v>
      </c>
      <c r="F35" s="194">
        <v>6034143</v>
      </c>
      <c r="G35" s="194">
        <v>7660904</v>
      </c>
      <c r="H35" s="194">
        <v>8747388.2599999998</v>
      </c>
      <c r="I35" s="194">
        <v>7939587.2699999996</v>
      </c>
      <c r="J35" s="194">
        <v>8553076.3699999992</v>
      </c>
      <c r="K35" s="194">
        <v>9041925.8399999999</v>
      </c>
      <c r="L35" s="194">
        <v>9140737</v>
      </c>
      <c r="M35" s="194">
        <v>9740397.0799999982</v>
      </c>
      <c r="N35" s="194">
        <v>8413360</v>
      </c>
      <c r="O35" s="194">
        <v>8244084.9399999976</v>
      </c>
      <c r="P35" s="194">
        <v>8724318.0399999991</v>
      </c>
      <c r="Q35" s="194">
        <v>9239916</v>
      </c>
      <c r="S35" s="194"/>
    </row>
    <row r="36" spans="1:19">
      <c r="B36" s="237" t="s">
        <v>111</v>
      </c>
      <c r="C36" s="370">
        <v>6570667</v>
      </c>
      <c r="D36" s="194">
        <v>4519814</v>
      </c>
      <c r="E36" s="194">
        <v>10594008.399999999</v>
      </c>
      <c r="F36" s="194">
        <v>10278445</v>
      </c>
      <c r="G36" s="194">
        <v>16189398</v>
      </c>
      <c r="H36" s="194">
        <v>21993515.789999999</v>
      </c>
      <c r="I36" s="194">
        <v>16872697.670000002</v>
      </c>
      <c r="J36" s="194">
        <v>15116518.9</v>
      </c>
      <c r="K36" s="194">
        <v>14293923.970000001</v>
      </c>
      <c r="L36" s="194">
        <v>15137000</v>
      </c>
      <c r="M36" s="194">
        <v>20566434.849999998</v>
      </c>
      <c r="N36" s="194">
        <v>16674160</v>
      </c>
      <c r="O36" s="194">
        <v>16547621.699999996</v>
      </c>
      <c r="P36" s="194">
        <v>15721688.430000002</v>
      </c>
      <c r="Q36" s="194">
        <v>13837756.299999995</v>
      </c>
      <c r="S36" s="194"/>
    </row>
    <row r="37" spans="1:19">
      <c r="B37" s="237" t="s">
        <v>110</v>
      </c>
      <c r="C37" s="370"/>
      <c r="F37" s="194">
        <v>93475</v>
      </c>
      <c r="G37" s="194">
        <v>124703</v>
      </c>
      <c r="H37" s="194">
        <v>158296.26999999999</v>
      </c>
      <c r="I37" s="194">
        <v>110571.35</v>
      </c>
      <c r="J37" s="194">
        <v>140397.85999999999</v>
      </c>
      <c r="K37" s="194">
        <v>134869.24</v>
      </c>
      <c r="L37" s="194">
        <v>163102</v>
      </c>
      <c r="M37" s="194">
        <v>234021</v>
      </c>
      <c r="N37" s="194">
        <v>138705</v>
      </c>
      <c r="O37" s="194">
        <v>132666.63</v>
      </c>
      <c r="P37" s="194">
        <v>136493.07</v>
      </c>
      <c r="Q37" s="194">
        <v>144914.25</v>
      </c>
      <c r="S37" s="194"/>
    </row>
    <row r="38" spans="1:19">
      <c r="B38" s="237" t="s">
        <v>109</v>
      </c>
      <c r="C38" s="370"/>
      <c r="F38" s="194"/>
      <c r="G38" s="194"/>
      <c r="H38" s="194"/>
      <c r="I38" s="194">
        <v>68133.8</v>
      </c>
      <c r="J38" s="194">
        <v>52779.89</v>
      </c>
      <c r="K38" s="194">
        <v>140868.88</v>
      </c>
      <c r="L38" s="194">
        <v>124210</v>
      </c>
      <c r="M38" s="194">
        <v>102394</v>
      </c>
      <c r="N38" s="194">
        <v>130034</v>
      </c>
      <c r="O38" s="194">
        <v>104183.70999999999</v>
      </c>
      <c r="P38" s="194">
        <v>119555.17</v>
      </c>
      <c r="Q38" s="194">
        <v>113767</v>
      </c>
      <c r="S38" s="194"/>
    </row>
    <row r="39" spans="1:19">
      <c r="B39" s="237" t="s">
        <v>108</v>
      </c>
      <c r="C39" s="370">
        <v>5441199.1399999997</v>
      </c>
      <c r="D39" s="194">
        <v>3373196</v>
      </c>
      <c r="E39" s="194">
        <v>6142649.6599999983</v>
      </c>
      <c r="F39" s="194">
        <v>6078270</v>
      </c>
      <c r="G39" s="194">
        <v>6859314</v>
      </c>
      <c r="H39" s="194">
        <v>7223658.5800000001</v>
      </c>
      <c r="I39" s="194">
        <v>11203329.99</v>
      </c>
      <c r="J39" s="194">
        <v>5691055.3700000001</v>
      </c>
      <c r="K39" s="194">
        <v>12065436.449999999</v>
      </c>
      <c r="L39" s="194">
        <v>6615140</v>
      </c>
      <c r="M39" s="194">
        <v>8271585.4100000001</v>
      </c>
      <c r="N39" s="194">
        <v>8173784</v>
      </c>
      <c r="O39" s="194">
        <v>7077489.7400000012</v>
      </c>
      <c r="P39" s="194">
        <v>7546706.6000000006</v>
      </c>
      <c r="Q39" s="194">
        <v>6178473.4800000004</v>
      </c>
      <c r="S39" s="194"/>
    </row>
    <row r="40" spans="1:19">
      <c r="B40" s="237" t="s">
        <v>107</v>
      </c>
      <c r="C40" s="370"/>
      <c r="F40" s="194"/>
      <c r="G40" s="194">
        <v>34325</v>
      </c>
      <c r="H40" s="194">
        <v>118229.05</v>
      </c>
      <c r="I40" s="194">
        <v>364936.65</v>
      </c>
      <c r="J40" s="194">
        <v>453801.49</v>
      </c>
      <c r="K40" s="194">
        <v>633054.71999999997</v>
      </c>
      <c r="L40" s="194">
        <v>661308</v>
      </c>
      <c r="M40" s="194">
        <v>614064.73</v>
      </c>
      <c r="N40" s="194">
        <v>545674</v>
      </c>
      <c r="O40" s="194">
        <v>282488.83999999997</v>
      </c>
      <c r="P40" s="194">
        <v>206252.25</v>
      </c>
      <c r="Q40" s="194">
        <v>182518.16999999998</v>
      </c>
      <c r="S40" s="194"/>
    </row>
    <row r="41" spans="1:19">
      <c r="B41" s="237" t="s">
        <v>204</v>
      </c>
      <c r="C41" s="370"/>
      <c r="F41" s="194"/>
      <c r="G41" s="194"/>
      <c r="H41" s="194"/>
      <c r="I41" s="194"/>
      <c r="J41" s="194"/>
      <c r="K41" s="194"/>
      <c r="L41" s="194">
        <v>4650</v>
      </c>
      <c r="M41" s="194">
        <v>-4650</v>
      </c>
      <c r="N41" s="194"/>
      <c r="O41" s="194"/>
      <c r="P41" s="194">
        <v>0</v>
      </c>
      <c r="Q41" s="194">
        <v>0</v>
      </c>
      <c r="S41" s="194"/>
    </row>
    <row r="42" spans="1:19">
      <c r="B42" s="237" t="s">
        <v>106</v>
      </c>
      <c r="C42" s="370">
        <v>1752833.81</v>
      </c>
      <c r="D42" s="194">
        <v>1633522</v>
      </c>
      <c r="E42" s="194">
        <v>1790851.57</v>
      </c>
      <c r="F42" s="194">
        <v>1928048</v>
      </c>
      <c r="G42" s="194">
        <v>2066331</v>
      </c>
      <c r="H42" s="194">
        <v>2575344.41</v>
      </c>
      <c r="I42" s="194">
        <v>2709447.93</v>
      </c>
      <c r="J42" s="194">
        <v>2962457.34</v>
      </c>
      <c r="K42" s="194">
        <v>3133721.78</v>
      </c>
      <c r="L42" s="194">
        <v>3359054</v>
      </c>
      <c r="M42" s="194">
        <v>4505004.3800000008</v>
      </c>
      <c r="N42" s="194">
        <v>4568749</v>
      </c>
      <c r="O42" s="194">
        <v>4048020.7299999995</v>
      </c>
      <c r="P42" s="194">
        <v>4047469.5899999994</v>
      </c>
      <c r="Q42" s="194">
        <v>3834949.34</v>
      </c>
      <c r="S42" s="194"/>
    </row>
    <row r="43" spans="1:19">
      <c r="B43" s="237" t="s">
        <v>105</v>
      </c>
      <c r="C43" s="370">
        <v>5491017</v>
      </c>
      <c r="D43" s="194">
        <v>7402457</v>
      </c>
      <c r="E43" s="194">
        <v>6541035</v>
      </c>
      <c r="F43" s="194">
        <v>6938439</v>
      </c>
      <c r="G43" s="194">
        <v>8537716</v>
      </c>
      <c r="H43" s="194">
        <v>12321474</v>
      </c>
      <c r="I43" s="194">
        <v>15094787.6</v>
      </c>
      <c r="J43" s="194">
        <v>21941730.670000002</v>
      </c>
      <c r="K43" s="194">
        <v>11586883.73</v>
      </c>
      <c r="L43" s="194">
        <v>15188307</v>
      </c>
      <c r="M43" s="194">
        <v>11041579.77</v>
      </c>
      <c r="N43" s="194">
        <v>12755152</v>
      </c>
      <c r="O43" s="194">
        <v>10441818.99</v>
      </c>
      <c r="P43" s="194">
        <v>9704134.8000000007</v>
      </c>
      <c r="Q43" s="194">
        <v>9936263.2300000004</v>
      </c>
      <c r="S43" s="194"/>
    </row>
    <row r="44" spans="1:19">
      <c r="B44" s="237" t="s">
        <v>104</v>
      </c>
      <c r="C44" s="370">
        <v>11959023.269999998</v>
      </c>
      <c r="D44" s="194">
        <v>11552934</v>
      </c>
      <c r="E44" s="194">
        <v>12037026.67</v>
      </c>
      <c r="F44" s="194">
        <v>12664313</v>
      </c>
      <c r="G44" s="194">
        <v>15349520</v>
      </c>
      <c r="H44" s="194">
        <v>16073605.48</v>
      </c>
      <c r="I44" s="194">
        <v>15800876.02</v>
      </c>
      <c r="J44" s="194">
        <v>15294864.880000001</v>
      </c>
      <c r="K44" s="194">
        <v>16713068.199999999</v>
      </c>
      <c r="L44" s="194">
        <v>16526287</v>
      </c>
      <c r="M44" s="194">
        <v>18138282.009999998</v>
      </c>
      <c r="N44" s="194">
        <v>16731875</v>
      </c>
      <c r="O44" s="194">
        <v>15000943.699999999</v>
      </c>
      <c r="P44" s="194">
        <v>14435811.690000001</v>
      </c>
      <c r="Q44" s="194">
        <v>15683579.810000001</v>
      </c>
      <c r="S44" s="194"/>
    </row>
    <row r="45" spans="1:19">
      <c r="B45" s="237" t="s">
        <v>103</v>
      </c>
      <c r="C45" s="370">
        <v>39626.519999999997</v>
      </c>
      <c r="D45" s="194">
        <v>1176490</v>
      </c>
      <c r="E45" s="194">
        <v>483878.49</v>
      </c>
      <c r="F45" s="194">
        <v>560467</v>
      </c>
      <c r="G45" s="194">
        <v>430107</v>
      </c>
      <c r="H45" s="194">
        <v>453174.96</v>
      </c>
      <c r="I45" s="194">
        <v>755838.51</v>
      </c>
      <c r="J45" s="194">
        <v>664291.94999999995</v>
      </c>
      <c r="K45" s="194">
        <v>684144.2</v>
      </c>
      <c r="L45" s="194">
        <v>632232</v>
      </c>
      <c r="M45" s="194">
        <v>613878.14000000013</v>
      </c>
      <c r="N45" s="194">
        <v>629823</v>
      </c>
      <c r="O45" s="194">
        <v>566427.66</v>
      </c>
      <c r="P45" s="194">
        <v>553284.52999999991</v>
      </c>
      <c r="Q45" s="194">
        <v>1223514.2299999997</v>
      </c>
      <c r="S45" s="194"/>
    </row>
    <row r="46" spans="1:19">
      <c r="B46" s="237" t="s">
        <v>102</v>
      </c>
      <c r="C46" s="370">
        <v>1114873.6399999999</v>
      </c>
      <c r="D46" s="194">
        <v>1749602</v>
      </c>
      <c r="E46" s="194">
        <v>1579828.93</v>
      </c>
      <c r="F46" s="194">
        <v>2438482</v>
      </c>
      <c r="G46" s="194">
        <v>2830660</v>
      </c>
      <c r="H46" s="194">
        <v>2837601.3</v>
      </c>
      <c r="I46" s="194">
        <v>4009231.03</v>
      </c>
      <c r="J46" s="194">
        <v>3551517.74</v>
      </c>
      <c r="K46" s="194">
        <v>3477187.41</v>
      </c>
      <c r="L46" s="194">
        <v>3422313</v>
      </c>
      <c r="M46" s="194">
        <v>3912663.8599999994</v>
      </c>
      <c r="N46" s="194">
        <v>3607056</v>
      </c>
      <c r="O46" s="194">
        <v>3891274.99</v>
      </c>
      <c r="P46" s="194">
        <v>4618923.32</v>
      </c>
      <c r="Q46" s="194">
        <v>6080797.4800000004</v>
      </c>
      <c r="S46" s="194"/>
    </row>
    <row r="47" spans="1:19">
      <c r="B47" s="237" t="s">
        <v>101</v>
      </c>
      <c r="C47" s="370">
        <v>742121</v>
      </c>
      <c r="D47" s="194">
        <v>684324</v>
      </c>
      <c r="E47" s="194">
        <v>790837</v>
      </c>
      <c r="F47" s="194">
        <v>749767</v>
      </c>
      <c r="G47" s="194">
        <v>841382</v>
      </c>
      <c r="H47" s="194">
        <v>1147875</v>
      </c>
      <c r="I47" s="194">
        <v>694692.43</v>
      </c>
      <c r="J47" s="194">
        <v>626509.31000000006</v>
      </c>
      <c r="K47" s="194">
        <v>1086909.6599999999</v>
      </c>
      <c r="L47" s="194">
        <v>936944</v>
      </c>
      <c r="M47" s="194">
        <v>1023666</v>
      </c>
      <c r="N47" s="194">
        <v>1028574</v>
      </c>
      <c r="O47" s="194">
        <v>1221590.6500000001</v>
      </c>
      <c r="P47" s="194">
        <v>973600.29999999993</v>
      </c>
      <c r="Q47" s="194">
        <v>1083954.03</v>
      </c>
      <c r="S47" s="194"/>
    </row>
    <row r="48" spans="1:19">
      <c r="B48" s="237" t="s">
        <v>100</v>
      </c>
      <c r="C48" s="370">
        <v>2420625</v>
      </c>
      <c r="D48" s="194">
        <v>2726944</v>
      </c>
      <c r="E48" s="194">
        <v>2744980.75</v>
      </c>
      <c r="F48" s="194">
        <v>2761856</v>
      </c>
      <c r="G48" s="194">
        <v>2803647</v>
      </c>
      <c r="H48" s="194">
        <v>2932795.66</v>
      </c>
      <c r="I48" s="194">
        <v>2709869.99</v>
      </c>
      <c r="J48" s="194">
        <v>3314938.77</v>
      </c>
      <c r="K48" s="194">
        <v>2989703.16</v>
      </c>
      <c r="L48" s="194">
        <v>3403933</v>
      </c>
      <c r="M48" s="194">
        <v>3673493.3099999996</v>
      </c>
      <c r="N48" s="194">
        <v>5267198</v>
      </c>
      <c r="O48" s="194">
        <v>3464330.9700000007</v>
      </c>
      <c r="P48" s="194">
        <v>3740162.64</v>
      </c>
      <c r="Q48" s="194">
        <v>4535506.05</v>
      </c>
      <c r="S48" s="194"/>
    </row>
    <row r="49" spans="1:19">
      <c r="B49" s="237" t="s">
        <v>99</v>
      </c>
      <c r="C49" s="370">
        <v>5421899.2400000012</v>
      </c>
      <c r="D49" s="194">
        <v>6158492</v>
      </c>
      <c r="E49" s="194">
        <v>6593549.7200000016</v>
      </c>
      <c r="F49" s="194">
        <v>8881642</v>
      </c>
      <c r="G49" s="194">
        <v>11365123</v>
      </c>
      <c r="H49" s="194">
        <v>9951477.0299999993</v>
      </c>
      <c r="I49" s="194">
        <v>12122356.76</v>
      </c>
      <c r="J49" s="194">
        <v>12088601.689999999</v>
      </c>
      <c r="K49" s="194">
        <v>11248947.369999999</v>
      </c>
      <c r="L49" s="194">
        <v>10584971</v>
      </c>
      <c r="M49" s="194">
        <v>11987367.720000001</v>
      </c>
      <c r="N49" s="194">
        <v>13963980</v>
      </c>
      <c r="O49" s="194">
        <v>14080297.659999996</v>
      </c>
      <c r="P49" s="194">
        <v>13264626.269999998</v>
      </c>
      <c r="Q49" s="194">
        <v>19209106.000000004</v>
      </c>
      <c r="S49"/>
    </row>
    <row r="50" spans="1:19" ht="16.5" customHeight="1">
      <c r="B50" s="237" t="s">
        <v>98</v>
      </c>
      <c r="C50" s="370"/>
      <c r="D50" s="194">
        <v>162707</v>
      </c>
      <c r="E50" s="194">
        <v>251326.72</v>
      </c>
      <c r="F50" s="194">
        <v>516803</v>
      </c>
      <c r="G50" s="194">
        <v>427731</v>
      </c>
      <c r="H50" s="194">
        <v>403540.21</v>
      </c>
      <c r="I50" s="194">
        <v>389914</v>
      </c>
      <c r="J50" s="194">
        <v>448433.02</v>
      </c>
      <c r="K50" s="194">
        <v>542524.98</v>
      </c>
      <c r="L50" s="194">
        <v>466896</v>
      </c>
      <c r="M50" s="194">
        <v>537684</v>
      </c>
      <c r="N50" s="194">
        <v>506008</v>
      </c>
      <c r="O50" s="194">
        <v>507759.98</v>
      </c>
      <c r="P50" s="194">
        <v>504365.08999999997</v>
      </c>
      <c r="Q50" s="194">
        <v>512415.86</v>
      </c>
      <c r="S50"/>
    </row>
    <row r="51" spans="1:19" ht="16.5" customHeight="1">
      <c r="B51" s="237" t="s">
        <v>97</v>
      </c>
      <c r="C51" s="370"/>
      <c r="D51" s="194">
        <v>20776</v>
      </c>
      <c r="E51" s="194">
        <v>145822.15</v>
      </c>
      <c r="F51" s="194">
        <v>131067</v>
      </c>
      <c r="G51" s="194">
        <v>148610</v>
      </c>
      <c r="H51" s="194">
        <v>162735.01</v>
      </c>
      <c r="I51" s="194">
        <v>206529.12</v>
      </c>
      <c r="J51" s="194">
        <v>340149.56</v>
      </c>
      <c r="K51" s="194">
        <v>393094.87</v>
      </c>
      <c r="L51" s="194">
        <v>381505</v>
      </c>
      <c r="M51" s="194">
        <v>316905</v>
      </c>
      <c r="N51" s="194">
        <v>396708</v>
      </c>
      <c r="O51" s="194">
        <v>371180.75</v>
      </c>
      <c r="P51" s="194">
        <v>391429.16</v>
      </c>
      <c r="Q51" s="194">
        <v>390031.47</v>
      </c>
      <c r="S51"/>
    </row>
    <row r="52" spans="1:19">
      <c r="B52" s="237" t="s">
        <v>96</v>
      </c>
      <c r="C52" s="370">
        <v>10974056.929999998</v>
      </c>
      <c r="D52" s="194">
        <v>10793537</v>
      </c>
      <c r="E52" s="194">
        <v>17438231.43</v>
      </c>
      <c r="F52" s="194">
        <v>24319364</v>
      </c>
      <c r="G52" s="194">
        <v>32944242</v>
      </c>
      <c r="H52" s="194">
        <v>25813515.890000001</v>
      </c>
      <c r="I52" s="194">
        <v>25447028.68</v>
      </c>
      <c r="J52" s="194">
        <v>23930423.989999998</v>
      </c>
      <c r="K52" s="194">
        <v>27481990.550000001</v>
      </c>
      <c r="L52" s="194">
        <v>27344154</v>
      </c>
      <c r="M52" s="194">
        <v>23095849.280000001</v>
      </c>
      <c r="N52" s="194">
        <v>30088177</v>
      </c>
      <c r="O52" s="194">
        <v>23060163.939999994</v>
      </c>
      <c r="P52" s="194">
        <v>24699925.880000006</v>
      </c>
      <c r="Q52" s="194">
        <v>25502528.089999992</v>
      </c>
      <c r="S52"/>
    </row>
    <row r="53" spans="1:19">
      <c r="A53" s="398" t="s">
        <v>95</v>
      </c>
      <c r="B53" s="398"/>
      <c r="C53" s="244">
        <f t="shared" ref="C53:F53" si="12">SUM(C33:C52)</f>
        <v>55815606.840000004</v>
      </c>
      <c r="D53" s="244">
        <f t="shared" si="12"/>
        <v>56956171</v>
      </c>
      <c r="E53" s="244">
        <f t="shared" si="12"/>
        <v>74652563.400000006</v>
      </c>
      <c r="F53" s="244">
        <f t="shared" si="12"/>
        <v>87535949</v>
      </c>
      <c r="G53" s="244">
        <f t="shared" ref="G53:Q53" si="13">SUM(G33:G52)</f>
        <v>111613192</v>
      </c>
      <c r="H53" s="244">
        <f t="shared" si="13"/>
        <v>116414474.96999998</v>
      </c>
      <c r="I53" s="244">
        <f t="shared" si="13"/>
        <v>119824855.95000002</v>
      </c>
      <c r="J53" s="244">
        <f t="shared" si="13"/>
        <v>118539460.98999998</v>
      </c>
      <c r="K53" s="244">
        <f t="shared" si="13"/>
        <v>119416105.39</v>
      </c>
      <c r="L53" s="244">
        <f t="shared" si="13"/>
        <v>117613403</v>
      </c>
      <c r="M53" s="244">
        <f t="shared" si="13"/>
        <v>121899504.76999998</v>
      </c>
      <c r="N53" s="244">
        <f t="shared" si="13"/>
        <v>127174307</v>
      </c>
      <c r="O53" s="244">
        <f t="shared" si="13"/>
        <v>112523277.77999999</v>
      </c>
      <c r="P53" s="244">
        <f t="shared" si="13"/>
        <v>112963223.09</v>
      </c>
      <c r="Q53" s="244">
        <f t="shared" si="13"/>
        <v>121279583.78999998</v>
      </c>
      <c r="S53"/>
    </row>
    <row r="54" spans="1:19">
      <c r="B54" s="247"/>
      <c r="C54" s="247"/>
      <c r="D54" s="247"/>
      <c r="E54" s="247"/>
      <c r="F54" s="247"/>
      <c r="G54" s="194"/>
      <c r="H54" s="194"/>
      <c r="I54" s="194"/>
      <c r="J54" s="194"/>
      <c r="K54" s="194"/>
      <c r="L54" s="194"/>
      <c r="M54" s="194"/>
      <c r="N54" s="194"/>
      <c r="O54" s="194"/>
      <c r="P54" s="194"/>
      <c r="Q54" s="194"/>
      <c r="S54"/>
    </row>
    <row r="55" spans="1:19" ht="27.6">
      <c r="A55" s="142" t="s">
        <v>94</v>
      </c>
      <c r="B55" s="248" t="s">
        <v>93</v>
      </c>
      <c r="C55" s="371">
        <v>13690124.909999996</v>
      </c>
      <c r="D55" s="244">
        <v>13283337</v>
      </c>
      <c r="E55" s="244">
        <v>14452103.52</v>
      </c>
      <c r="F55" s="244">
        <v>13812821</v>
      </c>
      <c r="G55" s="244">
        <v>13908430</v>
      </c>
      <c r="H55" s="244">
        <v>14053990.26</v>
      </c>
      <c r="I55" s="244">
        <v>12711728.189999999</v>
      </c>
      <c r="J55" s="244">
        <v>13671164.91</v>
      </c>
      <c r="K55" s="244">
        <v>13923765.529999999</v>
      </c>
      <c r="L55" s="244">
        <v>13908920</v>
      </c>
      <c r="M55" s="244">
        <v>14114665.6</v>
      </c>
      <c r="N55" s="244">
        <v>13517548</v>
      </c>
      <c r="O55" s="244">
        <v>16836697.550000001</v>
      </c>
      <c r="P55" s="244">
        <v>12198315</v>
      </c>
      <c r="Q55" s="244">
        <v>14429786</v>
      </c>
      <c r="S55"/>
    </row>
    <row r="56" spans="1:19">
      <c r="C56" s="258"/>
      <c r="D56" s="258"/>
      <c r="E56" s="258"/>
      <c r="F56" s="258"/>
      <c r="G56" s="194"/>
      <c r="H56" s="194"/>
      <c r="I56" s="194"/>
      <c r="J56" s="194"/>
      <c r="K56" s="194"/>
      <c r="L56" s="194"/>
      <c r="M56" s="194"/>
      <c r="N56" s="194"/>
      <c r="O56" s="194"/>
      <c r="P56" s="194"/>
      <c r="Q56" s="194"/>
      <c r="S56"/>
    </row>
    <row r="57" spans="1:19">
      <c r="A57" s="238" t="s">
        <v>92</v>
      </c>
      <c r="B57" s="248" t="s">
        <v>205</v>
      </c>
      <c r="C57" s="371">
        <v>4252998.68</v>
      </c>
      <c r="D57" s="244">
        <v>3461552</v>
      </c>
      <c r="E57" s="244">
        <v>4355304.3099999996</v>
      </c>
      <c r="F57" s="244">
        <v>3939562</v>
      </c>
      <c r="G57" s="244">
        <v>3662199</v>
      </c>
      <c r="H57" s="244">
        <v>3384748.36</v>
      </c>
      <c r="I57" s="244">
        <v>2800349.96</v>
      </c>
      <c r="J57" s="244">
        <v>3123239.52</v>
      </c>
      <c r="K57" s="244">
        <v>3143475.74</v>
      </c>
      <c r="L57" s="244">
        <v>3036343</v>
      </c>
      <c r="M57" s="244">
        <v>3102343.58</v>
      </c>
      <c r="N57" s="244">
        <v>3019916</v>
      </c>
      <c r="O57" s="244">
        <v>2897182.59</v>
      </c>
      <c r="P57" s="244">
        <v>2789751</v>
      </c>
      <c r="Q57" s="244">
        <v>2985133</v>
      </c>
      <c r="S57"/>
    </row>
    <row r="58" spans="1:19">
      <c r="C58" s="258"/>
      <c r="D58" s="258"/>
      <c r="E58" s="258"/>
      <c r="F58" s="258"/>
      <c r="G58" s="194"/>
      <c r="H58" s="194"/>
      <c r="I58" s="194"/>
      <c r="J58" s="194"/>
      <c r="K58" s="194"/>
      <c r="L58" s="194"/>
      <c r="M58" s="194"/>
      <c r="N58" s="194"/>
      <c r="O58" s="194"/>
      <c r="P58" s="194"/>
      <c r="Q58" s="194"/>
      <c r="S58"/>
    </row>
    <row r="59" spans="1:19" ht="16.8">
      <c r="A59" s="243" t="s">
        <v>91</v>
      </c>
      <c r="B59" s="237" t="s">
        <v>419</v>
      </c>
      <c r="C59" s="370">
        <v>9329689.5599999987</v>
      </c>
      <c r="D59" s="194">
        <v>15999893</v>
      </c>
      <c r="E59" s="194">
        <v>16476097</v>
      </c>
      <c r="F59" s="194">
        <f>13319184-2162548-3471611+16877853</f>
        <v>24562878</v>
      </c>
      <c r="G59" s="194">
        <v>51870632</v>
      </c>
      <c r="H59" s="194">
        <v>37603354.659999996</v>
      </c>
      <c r="I59" s="194">
        <v>36314947.420000002</v>
      </c>
      <c r="J59" s="194">
        <v>21464270.649999999</v>
      </c>
      <c r="K59" s="194">
        <v>24068856.09</v>
      </c>
      <c r="L59" s="194">
        <v>25183984.759999998</v>
      </c>
      <c r="M59" s="194">
        <v>24010159.039999999</v>
      </c>
      <c r="N59" s="194">
        <v>22142181</v>
      </c>
      <c r="O59" s="194">
        <v>26273412.68</v>
      </c>
      <c r="P59" s="194">
        <v>40817153</v>
      </c>
      <c r="Q59" s="194">
        <v>38993432</v>
      </c>
      <c r="S59"/>
    </row>
    <row r="60" spans="1:19" ht="16.8">
      <c r="B60" s="237" t="s">
        <v>89</v>
      </c>
      <c r="C60" s="258"/>
      <c r="D60" s="194">
        <v>16605994</v>
      </c>
      <c r="E60" s="194">
        <v>16937766</v>
      </c>
      <c r="F60" s="194">
        <v>26741905</v>
      </c>
      <c r="G60" s="194">
        <v>52203712</v>
      </c>
      <c r="H60" s="194">
        <v>38048399.530000001</v>
      </c>
      <c r="I60" s="194">
        <v>23741722.07</v>
      </c>
      <c r="J60" s="194">
        <v>20104220.399999999</v>
      </c>
      <c r="K60" s="194">
        <v>22112085.41</v>
      </c>
      <c r="L60" s="194">
        <v>18204478</v>
      </c>
      <c r="M60" s="194">
        <v>8998595</v>
      </c>
      <c r="N60" s="194">
        <v>26702585</v>
      </c>
      <c r="O60" s="194">
        <v>12768517.42</v>
      </c>
      <c r="P60" s="194">
        <v>12846602</v>
      </c>
      <c r="Q60" s="194">
        <v>21559373</v>
      </c>
      <c r="S60"/>
    </row>
    <row r="61" spans="1:19" ht="16.8">
      <c r="B61" s="237" t="s">
        <v>427</v>
      </c>
      <c r="C61" s="370">
        <v>4257817.18</v>
      </c>
      <c r="D61" s="194">
        <v>5628187</v>
      </c>
      <c r="E61" s="370">
        <v>8355797</v>
      </c>
      <c r="F61" s="370">
        <f>52603+4188123+2901156</f>
        <v>7141882</v>
      </c>
      <c r="G61" s="249">
        <v>5933917</v>
      </c>
      <c r="H61" s="249">
        <v>8235814.3799999999</v>
      </c>
      <c r="I61" s="249">
        <v>7854727.4900000002</v>
      </c>
      <c r="J61" s="249">
        <v>8969539.379999999</v>
      </c>
      <c r="K61" s="249">
        <v>10995773.41</v>
      </c>
      <c r="L61" s="249">
        <v>7743398.8499999996</v>
      </c>
      <c r="M61" s="249">
        <v>4497166.07</v>
      </c>
      <c r="N61" s="249">
        <v>6471900</v>
      </c>
      <c r="O61" s="249">
        <v>5682822.5</v>
      </c>
      <c r="P61" s="249">
        <v>5002530</v>
      </c>
      <c r="Q61" s="194">
        <v>5186211</v>
      </c>
      <c r="S61"/>
    </row>
    <row r="62" spans="1:19">
      <c r="B62" s="237" t="s">
        <v>87</v>
      </c>
      <c r="C62" s="370">
        <v>3613019.9</v>
      </c>
      <c r="D62" s="194">
        <v>3964862</v>
      </c>
      <c r="E62" s="194">
        <v>3561562.21</v>
      </c>
      <c r="F62" s="194">
        <v>3471611</v>
      </c>
      <c r="G62" s="194">
        <v>4778134</v>
      </c>
      <c r="H62" s="194">
        <v>4833194.43</v>
      </c>
      <c r="I62" s="194">
        <v>5528549.8099999996</v>
      </c>
      <c r="J62" s="194">
        <v>4191459.14</v>
      </c>
      <c r="K62" s="194">
        <v>5148896.25</v>
      </c>
      <c r="L62" s="194">
        <v>4792260</v>
      </c>
      <c r="M62" s="194">
        <v>4538278</v>
      </c>
      <c r="N62" s="194">
        <v>4643486</v>
      </c>
      <c r="O62" s="194">
        <v>4504494.53</v>
      </c>
      <c r="P62" s="194">
        <v>2996964</v>
      </c>
      <c r="Q62" s="194">
        <v>3976707</v>
      </c>
      <c r="S62"/>
    </row>
    <row r="63" spans="1:19">
      <c r="B63" s="237" t="s">
        <v>88</v>
      </c>
      <c r="C63" s="370">
        <v>1207766.03</v>
      </c>
      <c r="D63" s="194">
        <v>897497</v>
      </c>
      <c r="E63" s="194">
        <v>36104.379999999997</v>
      </c>
      <c r="F63" s="194">
        <v>44731</v>
      </c>
      <c r="G63" s="194">
        <v>935038</v>
      </c>
      <c r="H63" s="194">
        <v>1802447.45</v>
      </c>
      <c r="I63" s="194">
        <v>1810123.48</v>
      </c>
      <c r="J63" s="194">
        <v>1862081.77</v>
      </c>
      <c r="K63" s="194">
        <v>2058244.58</v>
      </c>
      <c r="L63" s="194">
        <v>1989826</v>
      </c>
      <c r="M63" s="194">
        <v>2318310.46</v>
      </c>
      <c r="N63" s="194">
        <v>1690830</v>
      </c>
      <c r="O63" s="194">
        <v>1322507.22</v>
      </c>
      <c r="P63" s="194">
        <v>1352094</v>
      </c>
      <c r="Q63" s="194">
        <v>2866184</v>
      </c>
      <c r="S63"/>
    </row>
    <row r="64" spans="1:19" ht="16.5" customHeight="1">
      <c r="B64" s="237" t="s">
        <v>322</v>
      </c>
      <c r="C64" s="258"/>
      <c r="D64" s="258"/>
      <c r="E64" s="258"/>
      <c r="F64" s="258"/>
      <c r="G64" s="194">
        <v>-5658821</v>
      </c>
      <c r="H64" s="194">
        <v>-3141637.28</v>
      </c>
      <c r="I64" s="194"/>
      <c r="J64" s="194"/>
      <c r="K64" s="194">
        <v>-1875149.14</v>
      </c>
      <c r="L64" s="194">
        <v>-774836</v>
      </c>
      <c r="M64" s="194">
        <v>-836214</v>
      </c>
      <c r="N64" s="194">
        <v>-944940</v>
      </c>
      <c r="O64" s="194">
        <v>-830904.81</v>
      </c>
      <c r="P64" s="194">
        <v>-128660</v>
      </c>
      <c r="Q64" s="194">
        <v>-1390104</v>
      </c>
      <c r="S64"/>
    </row>
    <row r="65" spans="1:21">
      <c r="B65" s="237" t="s">
        <v>90</v>
      </c>
      <c r="C65" s="370">
        <v>3220918.04</v>
      </c>
      <c r="D65" s="194">
        <v>2875372</v>
      </c>
      <c r="E65" s="194">
        <v>2102582.02</v>
      </c>
      <c r="F65" s="194">
        <v>2162548</v>
      </c>
      <c r="G65" s="194">
        <v>1748321</v>
      </c>
      <c r="H65" s="194">
        <v>1611165.69</v>
      </c>
      <c r="I65" s="194">
        <v>1231259.69</v>
      </c>
      <c r="J65" s="194">
        <v>544683.72</v>
      </c>
      <c r="K65" s="194">
        <v>-53709.74</v>
      </c>
      <c r="L65" s="194"/>
      <c r="M65" s="194"/>
      <c r="N65" s="194"/>
      <c r="O65" s="194"/>
      <c r="P65" s="194"/>
      <c r="Q65" s="194"/>
      <c r="S65"/>
    </row>
    <row r="66" spans="1:21">
      <c r="A66" s="398" t="s">
        <v>86</v>
      </c>
      <c r="B66" s="398"/>
      <c r="C66" s="244">
        <f t="shared" ref="C66:F66" si="14">SUM(C59:C65)</f>
        <v>21629210.709999997</v>
      </c>
      <c r="D66" s="244">
        <f t="shared" si="14"/>
        <v>45971805</v>
      </c>
      <c r="E66" s="244">
        <f t="shared" si="14"/>
        <v>47469908.610000007</v>
      </c>
      <c r="F66" s="244">
        <f t="shared" si="14"/>
        <v>64125555</v>
      </c>
      <c r="G66" s="244">
        <f t="shared" ref="G66:Q66" si="15">SUM(G59:G65)</f>
        <v>111810933</v>
      </c>
      <c r="H66" s="244">
        <f t="shared" si="15"/>
        <v>88992738.859999999</v>
      </c>
      <c r="I66" s="244">
        <f t="shared" si="15"/>
        <v>76481329.960000008</v>
      </c>
      <c r="J66" s="244">
        <f t="shared" si="15"/>
        <v>57136255.059999995</v>
      </c>
      <c r="K66" s="244">
        <f t="shared" si="15"/>
        <v>62454996.859999992</v>
      </c>
      <c r="L66" s="244">
        <f t="shared" si="15"/>
        <v>57139111.609999999</v>
      </c>
      <c r="M66" s="244">
        <f t="shared" si="15"/>
        <v>43526294.57</v>
      </c>
      <c r="N66" s="244">
        <f t="shared" si="15"/>
        <v>60706042</v>
      </c>
      <c r="O66" s="244">
        <f t="shared" si="15"/>
        <v>49720849.539999999</v>
      </c>
      <c r="P66" s="244">
        <f t="shared" si="15"/>
        <v>62886683</v>
      </c>
      <c r="Q66" s="244">
        <f t="shared" si="15"/>
        <v>71191803</v>
      </c>
      <c r="S66"/>
    </row>
    <row r="67" spans="1:21">
      <c r="B67" s="243"/>
      <c r="C67" s="243"/>
      <c r="D67" s="243"/>
      <c r="E67" s="243"/>
      <c r="F67" s="243"/>
      <c r="G67" s="246"/>
      <c r="H67" s="246"/>
      <c r="I67" s="246"/>
      <c r="J67" s="246"/>
      <c r="K67" s="246"/>
      <c r="L67" s="246"/>
      <c r="M67" s="246"/>
      <c r="N67" s="246"/>
      <c r="O67" s="246"/>
      <c r="P67" s="246"/>
      <c r="Q67" s="246"/>
      <c r="S67"/>
    </row>
    <row r="68" spans="1:21">
      <c r="A68" s="171" t="s">
        <v>244</v>
      </c>
      <c r="B68" s="171"/>
      <c r="C68" s="171"/>
      <c r="D68" s="171"/>
      <c r="E68" s="171"/>
      <c r="F68" s="171"/>
      <c r="G68" s="250"/>
      <c r="H68" s="250"/>
      <c r="I68" s="250"/>
      <c r="J68" s="250"/>
      <c r="K68" s="250"/>
      <c r="L68" s="250"/>
      <c r="M68" s="250"/>
      <c r="N68" s="250">
        <v>10367580</v>
      </c>
      <c r="O68" s="250">
        <v>11607301</v>
      </c>
      <c r="P68" s="250">
        <v>11601030</v>
      </c>
      <c r="Q68" s="250">
        <v>12327352</v>
      </c>
      <c r="R68"/>
      <c r="S68"/>
      <c r="T68"/>
      <c r="U68"/>
    </row>
    <row r="69" spans="1:21">
      <c r="A69" s="90" t="s">
        <v>239</v>
      </c>
      <c r="B69" s="90"/>
      <c r="C69" s="90"/>
      <c r="D69" s="90"/>
      <c r="E69" s="90"/>
      <c r="F69" s="90"/>
      <c r="G69" s="251"/>
      <c r="H69" s="251"/>
      <c r="I69" s="251"/>
      <c r="J69" s="251"/>
      <c r="K69" s="251"/>
      <c r="L69" s="251"/>
      <c r="M69" s="251"/>
      <c r="N69" s="251">
        <v>304457</v>
      </c>
      <c r="O69" s="251">
        <v>254958</v>
      </c>
      <c r="P69" s="251">
        <v>213881</v>
      </c>
      <c r="Q69" s="251">
        <v>179587</v>
      </c>
      <c r="R69"/>
      <c r="S69"/>
      <c r="T69"/>
      <c r="U69"/>
    </row>
    <row r="70" spans="1:21">
      <c r="A70" s="90"/>
      <c r="B70" s="90"/>
      <c r="C70" s="369"/>
      <c r="D70" s="369"/>
      <c r="E70" s="369"/>
      <c r="F70" s="369"/>
      <c r="G70" s="194"/>
      <c r="H70" s="194"/>
      <c r="I70" s="194"/>
      <c r="J70" s="194"/>
      <c r="K70" s="194"/>
      <c r="L70" s="194"/>
      <c r="M70" s="194"/>
      <c r="N70" s="194"/>
      <c r="O70" s="194"/>
      <c r="P70" s="194"/>
      <c r="Q70" s="194"/>
      <c r="S70"/>
    </row>
    <row r="71" spans="1:21">
      <c r="A71" s="398" t="s">
        <v>85</v>
      </c>
      <c r="B71" s="398"/>
      <c r="C71" s="244">
        <f t="shared" ref="C71:F71" si="16">C13+C31+C53+C55+C57+C66+C68+C69</f>
        <v>151238054.59999999</v>
      </c>
      <c r="D71" s="244">
        <f t="shared" si="16"/>
        <v>174413007</v>
      </c>
      <c r="E71" s="244">
        <f t="shared" si="16"/>
        <v>205271805.09000003</v>
      </c>
      <c r="F71" s="244">
        <f t="shared" si="16"/>
        <v>239587953</v>
      </c>
      <c r="G71" s="244">
        <f t="shared" ref="G71:Q71" si="17">G13+G31+G53+G55+G57+G66+G68+G69</f>
        <v>311214895</v>
      </c>
      <c r="H71" s="244">
        <f t="shared" si="17"/>
        <v>306409771.88</v>
      </c>
      <c r="I71" s="244">
        <f t="shared" si="17"/>
        <v>291101892.47000003</v>
      </c>
      <c r="J71" s="244">
        <f t="shared" si="17"/>
        <v>269134109.65999997</v>
      </c>
      <c r="K71" s="244">
        <f t="shared" si="17"/>
        <v>279550549.25</v>
      </c>
      <c r="L71" s="244">
        <f t="shared" si="17"/>
        <v>274172173.63</v>
      </c>
      <c r="M71" s="244">
        <f t="shared" si="17"/>
        <v>259957536.01999998</v>
      </c>
      <c r="N71" s="244">
        <f t="shared" si="17"/>
        <v>289372127</v>
      </c>
      <c r="O71" s="244">
        <f t="shared" si="17"/>
        <v>262715159.58999997</v>
      </c>
      <c r="P71" s="244">
        <f t="shared" si="17"/>
        <v>278235868.09000003</v>
      </c>
      <c r="Q71" s="244">
        <f t="shared" si="17"/>
        <v>295513264.01999998</v>
      </c>
      <c r="S71"/>
    </row>
    <row r="73" spans="1:21">
      <c r="A73" s="243" t="s">
        <v>0</v>
      </c>
      <c r="Q73" s="194"/>
    </row>
    <row r="74" spans="1:21" ht="16.5" customHeight="1">
      <c r="A74" s="239" t="s">
        <v>342</v>
      </c>
      <c r="B74" s="239"/>
      <c r="C74" s="239"/>
      <c r="D74" s="239"/>
      <c r="E74" s="239"/>
      <c r="S74" s="194"/>
    </row>
    <row r="75" spans="1:21">
      <c r="A75" s="239" t="s">
        <v>435</v>
      </c>
      <c r="B75" s="239"/>
      <c r="C75" s="239"/>
      <c r="D75" s="239"/>
      <c r="E75" s="239"/>
    </row>
    <row r="76" spans="1:21">
      <c r="A76" s="239" t="s">
        <v>446</v>
      </c>
      <c r="B76" s="239"/>
      <c r="C76" s="239"/>
      <c r="D76" s="239"/>
      <c r="E76" s="239"/>
    </row>
    <row r="77" spans="1:21">
      <c r="A77" s="239" t="s">
        <v>428</v>
      </c>
      <c r="B77" s="239"/>
      <c r="C77" s="239"/>
      <c r="D77" s="239"/>
      <c r="E77" s="239"/>
    </row>
    <row r="78" spans="1:21">
      <c r="A78" s="239" t="s">
        <v>388</v>
      </c>
      <c r="B78" s="239"/>
      <c r="C78" s="239"/>
      <c r="D78" s="239"/>
      <c r="E78" s="239"/>
    </row>
    <row r="79" spans="1:21" ht="35.25" customHeight="1">
      <c r="A79" s="252"/>
      <c r="B79" s="252"/>
      <c r="C79" s="252"/>
      <c r="D79" s="252"/>
      <c r="E79" s="252"/>
      <c r="F79" s="252"/>
      <c r="G79" s="252"/>
    </row>
    <row r="80" spans="1:21">
      <c r="G80" s="253" t="s">
        <v>74</v>
      </c>
      <c r="H80" s="239" t="str">
        <f>subtitle&amp;", Chief Joseph Cost Share (not included)"</f>
        <v>Total: $295.5 million includes $41.9 million in obligations to capital projects, plus General and Administrative (G&amp;A) expenses ($12.3 million, not included), and Columbia River System Operations Review/Environmental Impact Statement expenses ($0.2 million, not included), Chief Joseph Cost Share (not included)</v>
      </c>
    </row>
    <row r="81" spans="1:6">
      <c r="A81" s="257" t="s">
        <v>341</v>
      </c>
      <c r="B81" s="254"/>
    </row>
    <row r="83" spans="1:6">
      <c r="A83" s="237" t="s">
        <v>139</v>
      </c>
      <c r="B83" s="255" t="s">
        <v>436</v>
      </c>
      <c r="C83" s="194">
        <v>16332918.360000001</v>
      </c>
      <c r="D83" s="255"/>
      <c r="E83" s="239"/>
      <c r="F83" s="194"/>
    </row>
    <row r="84" spans="1:6">
      <c r="A84" s="237" t="s">
        <v>139</v>
      </c>
      <c r="B84" s="255" t="s">
        <v>144</v>
      </c>
      <c r="C84" s="194">
        <v>6918081.5200000014</v>
      </c>
      <c r="D84" s="255"/>
      <c r="E84" s="239"/>
      <c r="F84" s="194"/>
    </row>
    <row r="85" spans="1:6">
      <c r="A85" s="237" t="s">
        <v>139</v>
      </c>
      <c r="B85" s="255" t="s">
        <v>393</v>
      </c>
      <c r="C85" s="194">
        <v>2322393.5100000007</v>
      </c>
      <c r="D85" s="255"/>
      <c r="E85" s="239"/>
      <c r="F85" s="194"/>
    </row>
    <row r="86" spans="1:6">
      <c r="A86" s="237" t="s">
        <v>139</v>
      </c>
      <c r="B86" s="255" t="s">
        <v>206</v>
      </c>
      <c r="C86" s="194">
        <v>1972918.5199999996</v>
      </c>
      <c r="D86" s="255"/>
      <c r="E86" s="239"/>
      <c r="F86" s="194"/>
    </row>
    <row r="87" spans="1:6">
      <c r="A87" s="237" t="s">
        <v>139</v>
      </c>
      <c r="B87" s="255" t="s">
        <v>145</v>
      </c>
      <c r="C87" s="194">
        <v>1013255.5699999998</v>
      </c>
      <c r="D87" s="255"/>
      <c r="E87" s="239"/>
      <c r="F87" s="194"/>
    </row>
    <row r="88" spans="1:6">
      <c r="A88" s="237" t="s">
        <v>139</v>
      </c>
      <c r="B88" s="255" t="s">
        <v>394</v>
      </c>
      <c r="C88" s="194">
        <v>661454.89000000013</v>
      </c>
      <c r="D88" s="255"/>
      <c r="E88" s="239"/>
      <c r="F88" s="194"/>
    </row>
    <row r="89" spans="1:6">
      <c r="A89" s="237" t="s">
        <v>139</v>
      </c>
      <c r="B89" s="255" t="s">
        <v>146</v>
      </c>
      <c r="C89" s="194">
        <v>307567</v>
      </c>
      <c r="D89" s="255"/>
      <c r="E89" s="239"/>
      <c r="F89" s="194"/>
    </row>
    <row r="90" spans="1:6">
      <c r="A90" s="237" t="s">
        <v>140</v>
      </c>
      <c r="B90" s="255" t="s">
        <v>147</v>
      </c>
      <c r="C90" s="194">
        <v>13020713</v>
      </c>
      <c r="D90" s="255"/>
      <c r="E90" s="239"/>
      <c r="F90" s="194"/>
    </row>
    <row r="91" spans="1:6">
      <c r="A91" s="237" t="s">
        <v>140</v>
      </c>
      <c r="B91" s="255" t="s">
        <v>148</v>
      </c>
      <c r="C91" s="194">
        <v>12697808</v>
      </c>
      <c r="D91" s="255"/>
      <c r="F91" s="194"/>
    </row>
    <row r="92" spans="1:6">
      <c r="A92" s="237" t="s">
        <v>140</v>
      </c>
      <c r="B92" s="255" t="s">
        <v>149</v>
      </c>
      <c r="C92" s="194">
        <v>12161212</v>
      </c>
      <c r="D92" s="255"/>
    </row>
    <row r="93" spans="1:6">
      <c r="A93" s="237" t="s">
        <v>140</v>
      </c>
      <c r="B93" s="255" t="s">
        <v>151</v>
      </c>
      <c r="C93" s="194">
        <v>3309193</v>
      </c>
    </row>
    <row r="94" spans="1:6">
      <c r="A94" s="237" t="s">
        <v>140</v>
      </c>
      <c r="B94" s="255" t="s">
        <v>150</v>
      </c>
      <c r="C94" s="194">
        <v>2402503</v>
      </c>
    </row>
    <row r="95" spans="1:6">
      <c r="A95" s="237" t="s">
        <v>141</v>
      </c>
      <c r="B95" s="255" t="s">
        <v>152</v>
      </c>
      <c r="C95" s="194">
        <v>25502528.089999992</v>
      </c>
      <c r="D95" s="239"/>
    </row>
    <row r="96" spans="1:6">
      <c r="A96" s="237" t="s">
        <v>141</v>
      </c>
      <c r="B96" s="255" t="s">
        <v>156</v>
      </c>
      <c r="C96" s="194">
        <v>19209106.000000004</v>
      </c>
      <c r="D96" s="255"/>
      <c r="E96" s="255"/>
    </row>
    <row r="97" spans="1:5">
      <c r="A97" s="237" t="s">
        <v>141</v>
      </c>
      <c r="B97" s="255" t="s">
        <v>154</v>
      </c>
      <c r="C97" s="194">
        <v>15683579.810000001</v>
      </c>
      <c r="D97" s="239"/>
    </row>
    <row r="98" spans="1:5">
      <c r="A98" s="237" t="s">
        <v>141</v>
      </c>
      <c r="B98" s="255" t="s">
        <v>155</v>
      </c>
      <c r="C98" s="194">
        <v>13837756.299999995</v>
      </c>
      <c r="D98" s="239"/>
    </row>
    <row r="99" spans="1:5">
      <c r="A99" s="237" t="s">
        <v>141</v>
      </c>
      <c r="B99" s="255" t="s">
        <v>153</v>
      </c>
      <c r="C99" s="194">
        <v>9936263.2300000004</v>
      </c>
      <c r="D99" s="239"/>
    </row>
    <row r="100" spans="1:5">
      <c r="A100" s="237" t="s">
        <v>141</v>
      </c>
      <c r="B100" s="255" t="s">
        <v>157</v>
      </c>
      <c r="C100" s="194">
        <v>9239916</v>
      </c>
      <c r="D100" s="239"/>
    </row>
    <row r="101" spans="1:5">
      <c r="A101" s="237" t="s">
        <v>141</v>
      </c>
      <c r="B101" s="255" t="s">
        <v>158</v>
      </c>
      <c r="C101" s="194">
        <v>6178473.4800000004</v>
      </c>
      <c r="D101" s="239"/>
    </row>
    <row r="102" spans="1:5">
      <c r="A102" s="237" t="s">
        <v>141</v>
      </c>
      <c r="B102" s="255" t="s">
        <v>159</v>
      </c>
      <c r="C102" s="194">
        <v>6080797.4800000004</v>
      </c>
      <c r="D102" s="255"/>
      <c r="E102" s="255"/>
    </row>
    <row r="103" spans="1:5">
      <c r="A103" s="237" t="s">
        <v>141</v>
      </c>
      <c r="B103" s="255" t="s">
        <v>160</v>
      </c>
      <c r="C103" s="194">
        <v>4535506.05</v>
      </c>
      <c r="D103" s="239"/>
    </row>
    <row r="104" spans="1:5">
      <c r="A104" s="237" t="s">
        <v>141</v>
      </c>
      <c r="B104" s="255" t="s">
        <v>161</v>
      </c>
      <c r="C104" s="194">
        <v>3834949.34</v>
      </c>
      <c r="D104" s="239"/>
      <c r="E104" s="255"/>
    </row>
    <row r="105" spans="1:5">
      <c r="A105" s="237" t="s">
        <v>141</v>
      </c>
      <c r="B105" s="255" t="s">
        <v>162</v>
      </c>
      <c r="C105" s="194">
        <v>2810591</v>
      </c>
      <c r="D105" s="239"/>
    </row>
    <row r="106" spans="1:5">
      <c r="A106" s="237" t="s">
        <v>141</v>
      </c>
      <c r="B106" s="255" t="s">
        <v>395</v>
      </c>
      <c r="C106" s="194">
        <v>1223514.2299999997</v>
      </c>
      <c r="D106" s="239"/>
    </row>
    <row r="107" spans="1:5">
      <c r="A107" s="237" t="s">
        <v>141</v>
      </c>
      <c r="B107" s="255" t="s">
        <v>201</v>
      </c>
      <c r="C107" s="194">
        <v>1083954.03</v>
      </c>
      <c r="D107" s="239"/>
    </row>
    <row r="108" spans="1:5" ht="12.6" customHeight="1">
      <c r="A108" s="237" t="s">
        <v>141</v>
      </c>
      <c r="B108" s="255" t="s">
        <v>163</v>
      </c>
      <c r="C108" s="194">
        <v>2122648</v>
      </c>
      <c r="D108" s="239"/>
    </row>
    <row r="109" spans="1:5">
      <c r="A109" s="237" t="s">
        <v>142</v>
      </c>
      <c r="B109" s="255" t="s">
        <v>164</v>
      </c>
      <c r="C109" s="194">
        <v>14429786</v>
      </c>
      <c r="D109" s="239"/>
    </row>
    <row r="110" spans="1:5">
      <c r="A110" s="237" t="s">
        <v>143</v>
      </c>
      <c r="B110" s="255" t="s">
        <v>143</v>
      </c>
      <c r="C110" s="194">
        <v>2985133</v>
      </c>
      <c r="D110" s="239"/>
    </row>
    <row r="111" spans="1:5">
      <c r="A111" s="237" t="s">
        <v>51</v>
      </c>
      <c r="B111" s="255" t="s">
        <v>165</v>
      </c>
      <c r="C111" s="194">
        <v>38993432</v>
      </c>
      <c r="D111" s="255"/>
    </row>
    <row r="112" spans="1:5">
      <c r="A112" s="237" t="s">
        <v>51</v>
      </c>
      <c r="B112" s="255" t="s">
        <v>166</v>
      </c>
      <c r="C112" s="194">
        <v>21559373</v>
      </c>
      <c r="D112" s="239"/>
    </row>
    <row r="113" spans="1:4">
      <c r="A113" s="237" t="s">
        <v>51</v>
      </c>
      <c r="B113" s="255" t="s">
        <v>167</v>
      </c>
      <c r="C113" s="194">
        <v>5186211</v>
      </c>
      <c r="D113" s="239"/>
    </row>
    <row r="114" spans="1:4">
      <c r="A114" s="237" t="s">
        <v>51</v>
      </c>
      <c r="B114" s="255" t="s">
        <v>168</v>
      </c>
      <c r="C114" s="249">
        <v>3976707</v>
      </c>
      <c r="D114" s="239"/>
    </row>
    <row r="115" spans="1:4">
      <c r="A115" s="237" t="s">
        <v>51</v>
      </c>
      <c r="B115" s="255" t="s">
        <v>207</v>
      </c>
      <c r="C115" s="194">
        <v>2866184</v>
      </c>
    </row>
    <row r="116" spans="1:4">
      <c r="B116" s="255"/>
    </row>
    <row r="117" spans="1:4">
      <c r="B117" s="255"/>
    </row>
    <row r="123" spans="1:4">
      <c r="B123"/>
      <c r="C123" s="375"/>
    </row>
    <row r="124" spans="1:4">
      <c r="B124"/>
      <c r="C124"/>
    </row>
    <row r="125" spans="1:4">
      <c r="B125"/>
      <c r="C125"/>
    </row>
    <row r="126" spans="1:4">
      <c r="B126"/>
      <c r="C126"/>
    </row>
    <row r="127" spans="1:4">
      <c r="B127"/>
      <c r="C127"/>
    </row>
    <row r="128" spans="1:4">
      <c r="B128"/>
      <c r="C128"/>
    </row>
    <row r="129" spans="2:3">
      <c r="B129"/>
      <c r="C129"/>
    </row>
    <row r="130" spans="2:3">
      <c r="B130"/>
      <c r="C130"/>
    </row>
    <row r="131" spans="2:3">
      <c r="B131"/>
      <c r="C131"/>
    </row>
    <row r="132" spans="2:3">
      <c r="B132"/>
      <c r="C132"/>
    </row>
    <row r="133" spans="2:3">
      <c r="B133"/>
      <c r="C133"/>
    </row>
    <row r="134" spans="2:3">
      <c r="B134"/>
      <c r="C134"/>
    </row>
    <row r="135" spans="2:3">
      <c r="B135"/>
      <c r="C135"/>
    </row>
    <row r="136" spans="2:3">
      <c r="B136"/>
      <c r="C136"/>
    </row>
    <row r="137" spans="2:3">
      <c r="B137"/>
      <c r="C137"/>
    </row>
    <row r="138" spans="2:3">
      <c r="B138"/>
      <c r="C138"/>
    </row>
    <row r="139" spans="2:3">
      <c r="B139"/>
      <c r="C139"/>
    </row>
    <row r="140" spans="2:3">
      <c r="B140"/>
      <c r="C140"/>
    </row>
    <row r="141" spans="2:3">
      <c r="B141"/>
      <c r="C141"/>
    </row>
    <row r="142" spans="2:3">
      <c r="B142"/>
      <c r="C142"/>
    </row>
    <row r="143" spans="2:3">
      <c r="B143"/>
      <c r="C143"/>
    </row>
    <row r="144" spans="2:3">
      <c r="B144"/>
      <c r="C144"/>
    </row>
    <row r="145" spans="2:3">
      <c r="B145"/>
      <c r="C145"/>
    </row>
    <row r="146" spans="2:3">
      <c r="B146"/>
      <c r="C146"/>
    </row>
    <row r="147" spans="2:3">
      <c r="B147"/>
      <c r="C147"/>
    </row>
    <row r="148" spans="2:3">
      <c r="B148"/>
      <c r="C148"/>
    </row>
    <row r="149" spans="2:3">
      <c r="B149"/>
      <c r="C149"/>
    </row>
    <row r="150" spans="2:3">
      <c r="B150"/>
      <c r="C150"/>
    </row>
    <row r="151" spans="2:3">
      <c r="B151"/>
      <c r="C151"/>
    </row>
    <row r="152" spans="2:3">
      <c r="B152"/>
      <c r="C152"/>
    </row>
    <row r="153" spans="2:3">
      <c r="B153"/>
      <c r="C153"/>
    </row>
    <row r="154" spans="2:3">
      <c r="B154"/>
      <c r="C154"/>
    </row>
    <row r="155" spans="2:3">
      <c r="B155"/>
      <c r="C155"/>
    </row>
    <row r="156" spans="2:3">
      <c r="B156"/>
      <c r="C156"/>
    </row>
    <row r="157" spans="2:3">
      <c r="B157"/>
      <c r="C157"/>
    </row>
    <row r="158" spans="2:3">
      <c r="B158"/>
      <c r="C158"/>
    </row>
    <row r="159" spans="2:3">
      <c r="B159"/>
      <c r="C159"/>
    </row>
    <row r="160" spans="2:3">
      <c r="B160"/>
      <c r="C160"/>
    </row>
    <row r="161" spans="2:3">
      <c r="B161"/>
      <c r="C161"/>
    </row>
    <row r="162" spans="2:3">
      <c r="B162"/>
      <c r="C162"/>
    </row>
    <row r="163" spans="2:3">
      <c r="B163"/>
      <c r="C163"/>
    </row>
    <row r="164" spans="2:3">
      <c r="B164"/>
      <c r="C164"/>
    </row>
    <row r="165" spans="2:3">
      <c r="B165"/>
      <c r="C165"/>
    </row>
    <row r="166" spans="2:3">
      <c r="B166"/>
      <c r="C166"/>
    </row>
  </sheetData>
  <sortState xmlns:xlrd2="http://schemas.microsoft.com/office/spreadsheetml/2017/richdata2" ref="B33:Q52">
    <sortCondition ref="B33:B52"/>
  </sortState>
  <mergeCells count="5">
    <mergeCell ref="A71:B71"/>
    <mergeCell ref="A13:B13"/>
    <mergeCell ref="A31:B31"/>
    <mergeCell ref="A53:B53"/>
    <mergeCell ref="A66:B66"/>
  </mergeCells>
  <pageMargins left="0.25" right="0.25" top="0.75" bottom="0.75" header="0.3" footer="0.3"/>
  <pageSetup scale="36" fitToHeight="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63"/>
  <sheetViews>
    <sheetView topLeftCell="A37" workbookViewId="0">
      <selection activeCell="A45" sqref="A45:A50"/>
    </sheetView>
  </sheetViews>
  <sheetFormatPr defaultRowHeight="12.6"/>
  <cols>
    <col min="1" max="1" width="58" customWidth="1"/>
    <col min="2" max="12" width="15.5546875" customWidth="1"/>
  </cols>
  <sheetData>
    <row r="1" spans="1:12" ht="15">
      <c r="A1" s="207" t="str">
        <f>"Figure 10: Land Purchases Costs for Fish and Wildlife Habitat, FY"&amp;L3</f>
        <v>Figure 10: Land Purchases Costs for Fish and Wildlife Habitat, FY2021</v>
      </c>
    </row>
    <row r="3" spans="1:12" ht="13.8">
      <c r="A3" s="91" t="s">
        <v>52</v>
      </c>
      <c r="B3" s="92">
        <v>2011</v>
      </c>
      <c r="C3" s="92">
        <v>2012</v>
      </c>
      <c r="D3" s="92">
        <v>2013</v>
      </c>
      <c r="E3" s="92">
        <v>2014</v>
      </c>
      <c r="F3" s="92">
        <v>2015</v>
      </c>
      <c r="G3" s="92">
        <v>2016</v>
      </c>
      <c r="H3" s="92">
        <v>2017</v>
      </c>
      <c r="I3" s="92">
        <v>2018</v>
      </c>
      <c r="J3" s="92">
        <v>2019</v>
      </c>
      <c r="K3" s="92">
        <v>2020</v>
      </c>
      <c r="L3" s="92">
        <v>2021</v>
      </c>
    </row>
    <row r="4" spans="1:12" ht="16.5" customHeight="1">
      <c r="A4" s="93" t="s">
        <v>53</v>
      </c>
      <c r="B4" s="84"/>
      <c r="C4" s="84">
        <v>5306043</v>
      </c>
      <c r="D4" s="84">
        <v>1711234.64</v>
      </c>
      <c r="E4" s="84">
        <v>693095.5</v>
      </c>
      <c r="F4" s="84">
        <v>144278.15999999992</v>
      </c>
      <c r="G4" s="84">
        <v>40307.800000000003</v>
      </c>
      <c r="H4" s="84">
        <v>99543</v>
      </c>
      <c r="I4" s="84">
        <v>170178</v>
      </c>
      <c r="J4" s="84">
        <v>492294</v>
      </c>
      <c r="K4" s="84">
        <v>204337</v>
      </c>
      <c r="L4" s="366">
        <v>84663.38</v>
      </c>
    </row>
    <row r="5" spans="1:12" ht="13.8">
      <c r="A5" s="93" t="s">
        <v>54</v>
      </c>
      <c r="B5" s="84">
        <v>720811</v>
      </c>
      <c r="C5" s="84">
        <v>1743906.48</v>
      </c>
      <c r="D5" s="84">
        <v>1611629.5</v>
      </c>
      <c r="E5" s="84">
        <v>283048.12</v>
      </c>
      <c r="F5" s="84"/>
      <c r="G5" s="84"/>
      <c r="H5" s="84"/>
      <c r="I5" s="84"/>
      <c r="J5" s="84"/>
      <c r="K5" s="84"/>
      <c r="L5" s="84">
        <v>212725</v>
      </c>
    </row>
    <row r="6" spans="1:12" ht="13.8">
      <c r="A6" s="93" t="s">
        <v>199</v>
      </c>
      <c r="B6" s="84"/>
      <c r="C6" s="84"/>
      <c r="D6" s="84"/>
      <c r="E6" s="84"/>
      <c r="F6" s="84"/>
      <c r="G6" s="84"/>
      <c r="H6" s="84"/>
      <c r="I6" s="84"/>
      <c r="J6" s="84">
        <v>1387</v>
      </c>
      <c r="K6" s="84"/>
      <c r="L6" s="84">
        <v>227790</v>
      </c>
    </row>
    <row r="7" spans="1:12" ht="13.8">
      <c r="A7" s="93" t="s">
        <v>55</v>
      </c>
      <c r="B7" s="84">
        <v>1750665</v>
      </c>
      <c r="C7" s="84">
        <v>5384783</v>
      </c>
      <c r="D7" s="84"/>
      <c r="E7" s="84">
        <v>14000000</v>
      </c>
      <c r="F7" s="84"/>
      <c r="G7" s="84">
        <v>1877580.5</v>
      </c>
      <c r="H7" s="84"/>
      <c r="I7" s="84">
        <v>7369712</v>
      </c>
      <c r="J7" s="84">
        <v>1580664</v>
      </c>
      <c r="K7" s="84">
        <v>3892087</v>
      </c>
      <c r="L7" s="84">
        <v>8533771.6500000004</v>
      </c>
    </row>
    <row r="8" spans="1:12" ht="13.8">
      <c r="A8" s="93" t="s">
        <v>56</v>
      </c>
      <c r="B8" s="84"/>
      <c r="C8" s="84"/>
      <c r="D8" s="84"/>
      <c r="E8" s="84"/>
      <c r="F8" s="84">
        <v>7980000</v>
      </c>
      <c r="G8" s="84">
        <v>680000</v>
      </c>
      <c r="H8" s="84">
        <v>2438220</v>
      </c>
      <c r="I8" s="84"/>
      <c r="J8" s="84"/>
      <c r="K8" s="84"/>
      <c r="L8" s="84"/>
    </row>
    <row r="9" spans="1:12" ht="13.8">
      <c r="A9" s="93" t="s">
        <v>241</v>
      </c>
      <c r="B9" s="84"/>
      <c r="C9" s="84">
        <v>928718</v>
      </c>
      <c r="D9" s="84">
        <v>348570</v>
      </c>
      <c r="E9" s="84"/>
      <c r="F9" s="84"/>
      <c r="G9" s="84">
        <v>85217</v>
      </c>
      <c r="H9" s="84">
        <v>72676</v>
      </c>
      <c r="I9" s="84">
        <v>203432</v>
      </c>
      <c r="J9" s="84">
        <v>166061</v>
      </c>
      <c r="K9" s="84">
        <v>184205</v>
      </c>
      <c r="L9" s="84">
        <v>669.5</v>
      </c>
    </row>
    <row r="10" spans="1:12" ht="13.8">
      <c r="A10" s="93" t="s">
        <v>242</v>
      </c>
      <c r="B10" s="84"/>
      <c r="C10" s="84">
        <v>420929</v>
      </c>
      <c r="D10" s="84"/>
      <c r="E10" s="84"/>
      <c r="F10" s="84"/>
      <c r="G10" s="84"/>
      <c r="H10" s="84"/>
      <c r="I10" s="84"/>
      <c r="J10" s="84"/>
      <c r="K10" s="84"/>
      <c r="L10" s="84"/>
    </row>
    <row r="11" spans="1:12" ht="13.8">
      <c r="A11" s="93" t="s">
        <v>386</v>
      </c>
      <c r="B11" s="84"/>
      <c r="C11" s="84">
        <v>946738.51</v>
      </c>
      <c r="D11" s="84"/>
      <c r="E11" s="84"/>
      <c r="F11" s="84"/>
      <c r="G11" s="84"/>
      <c r="H11" s="84">
        <v>500</v>
      </c>
      <c r="I11" s="84">
        <v>500</v>
      </c>
      <c r="J11" s="84"/>
      <c r="K11" s="84">
        <v>627892</v>
      </c>
      <c r="L11" s="84"/>
    </row>
    <row r="12" spans="1:12" ht="13.8">
      <c r="A12" s="93" t="s">
        <v>169</v>
      </c>
      <c r="B12" s="84">
        <v>9750112</v>
      </c>
      <c r="C12" s="84">
        <v>1349403</v>
      </c>
      <c r="D12" s="84">
        <v>642763</v>
      </c>
      <c r="E12" s="84">
        <v>1610425</v>
      </c>
      <c r="F12" s="84">
        <v>154274</v>
      </c>
      <c r="G12" s="84"/>
      <c r="H12" s="84"/>
      <c r="I12" s="84">
        <v>10733065</v>
      </c>
      <c r="J12" s="84"/>
      <c r="K12" s="84"/>
      <c r="L12" s="84"/>
    </row>
    <row r="13" spans="1:12" ht="13.8">
      <c r="A13" s="93" t="s">
        <v>57</v>
      </c>
      <c r="B13" s="84">
        <v>20851010</v>
      </c>
      <c r="C13" s="84"/>
      <c r="D13" s="84">
        <v>3412000</v>
      </c>
      <c r="E13" s="84"/>
      <c r="F13" s="84"/>
      <c r="G13" s="84"/>
      <c r="H13" s="84"/>
      <c r="I13" s="84"/>
      <c r="J13" s="84"/>
      <c r="K13" s="84"/>
      <c r="L13" s="84"/>
    </row>
    <row r="14" spans="1:12" ht="13.8">
      <c r="A14" s="93" t="s">
        <v>58</v>
      </c>
      <c r="B14" s="84">
        <v>5788</v>
      </c>
      <c r="C14" s="84">
        <v>820.08</v>
      </c>
      <c r="D14" s="84">
        <v>5000</v>
      </c>
      <c r="E14" s="84">
        <v>5000</v>
      </c>
      <c r="F14" s="84">
        <v>5729</v>
      </c>
      <c r="G14" s="84">
        <v>5899.13</v>
      </c>
      <c r="H14" s="84">
        <v>5980</v>
      </c>
      <c r="I14" s="84">
        <v>5980</v>
      </c>
      <c r="J14" s="84">
        <v>5000</v>
      </c>
      <c r="K14" s="84">
        <v>9037</v>
      </c>
      <c r="L14" s="84">
        <v>5000</v>
      </c>
    </row>
    <row r="15" spans="1:12" ht="13.8">
      <c r="A15" s="93" t="s">
        <v>170</v>
      </c>
      <c r="B15" s="84">
        <v>9716071</v>
      </c>
      <c r="C15" s="84">
        <v>1954790.5</v>
      </c>
      <c r="D15" s="84">
        <v>12908339</v>
      </c>
      <c r="E15" s="84">
        <v>1316455</v>
      </c>
      <c r="F15" s="84">
        <v>12003446.75</v>
      </c>
      <c r="G15" s="84">
        <v>10868814</v>
      </c>
      <c r="H15" s="84">
        <v>5038680</v>
      </c>
      <c r="I15" s="84">
        <v>6978254</v>
      </c>
      <c r="J15" s="84">
        <v>9629687</v>
      </c>
      <c r="K15" s="84">
        <v>5592447</v>
      </c>
      <c r="L15" s="84">
        <v>2173554</v>
      </c>
    </row>
    <row r="16" spans="1:12" ht="13.8">
      <c r="A16" s="93" t="s">
        <v>59</v>
      </c>
      <c r="B16" s="84"/>
      <c r="C16" s="84"/>
      <c r="D16" s="84">
        <v>600000</v>
      </c>
      <c r="E16" s="84"/>
      <c r="F16" s="84"/>
      <c r="G16" s="84"/>
      <c r="H16" s="84"/>
      <c r="I16" s="84"/>
      <c r="J16" s="84"/>
      <c r="K16" s="84"/>
      <c r="L16" s="84"/>
    </row>
    <row r="17" spans="1:16" ht="13.8">
      <c r="A17" s="93" t="s">
        <v>60</v>
      </c>
      <c r="B17" s="84">
        <v>4068146</v>
      </c>
      <c r="C17" s="84">
        <v>6370225.5</v>
      </c>
      <c r="D17" s="84">
        <v>1596594</v>
      </c>
      <c r="E17" s="84">
        <v>2196196.7799999998</v>
      </c>
      <c r="F17" s="84">
        <v>490964.5</v>
      </c>
      <c r="G17" s="84">
        <v>1815933.75</v>
      </c>
      <c r="H17" s="84">
        <v>476466</v>
      </c>
      <c r="I17" s="84">
        <v>524163</v>
      </c>
      <c r="J17" s="84">
        <v>440084</v>
      </c>
      <c r="K17" s="84">
        <v>1698152</v>
      </c>
      <c r="L17" s="84">
        <v>10320000</v>
      </c>
    </row>
    <row r="18" spans="1:16" ht="13.8">
      <c r="A18" s="93" t="s">
        <v>61</v>
      </c>
      <c r="B18" s="84">
        <v>1996948</v>
      </c>
      <c r="C18" s="84">
        <v>3666163</v>
      </c>
      <c r="D18" s="84"/>
      <c r="E18" s="84"/>
      <c r="F18" s="84"/>
      <c r="G18" s="84">
        <v>786320</v>
      </c>
      <c r="H18" s="84"/>
      <c r="I18" s="84"/>
      <c r="J18" s="84"/>
      <c r="K18" s="84"/>
      <c r="L18" s="84"/>
    </row>
    <row r="19" spans="1:16" ht="13.8">
      <c r="A19" s="93" t="s">
        <v>62</v>
      </c>
      <c r="B19" s="84"/>
      <c r="C19" s="84">
        <v>3156008</v>
      </c>
      <c r="D19" s="84"/>
      <c r="E19" s="84"/>
      <c r="F19" s="84"/>
      <c r="G19" s="84"/>
      <c r="H19" s="84"/>
      <c r="I19" s="84"/>
      <c r="J19" s="84"/>
      <c r="K19" s="84"/>
      <c r="L19" s="84"/>
    </row>
    <row r="20" spans="1:16" ht="13.8">
      <c r="A20" s="93" t="s">
        <v>63</v>
      </c>
      <c r="B20" s="84"/>
      <c r="C20" s="84">
        <v>15381.84</v>
      </c>
      <c r="D20" s="84"/>
      <c r="E20" s="84"/>
      <c r="F20" s="84">
        <v>1333393</v>
      </c>
      <c r="G20" s="84">
        <v>1783866</v>
      </c>
      <c r="H20" s="84"/>
      <c r="I20" s="84">
        <v>491757</v>
      </c>
      <c r="J20" s="84">
        <v>280574</v>
      </c>
      <c r="K20" s="84"/>
      <c r="L20" s="84"/>
    </row>
    <row r="21" spans="1:16" s="367" customFormat="1" ht="13.8">
      <c r="A21" s="93" t="s">
        <v>171</v>
      </c>
      <c r="B21" s="84"/>
      <c r="C21" s="84">
        <v>2365285.0499999998</v>
      </c>
      <c r="D21" s="84">
        <v>572468.53</v>
      </c>
      <c r="E21" s="84"/>
      <c r="F21" s="84"/>
      <c r="G21" s="84"/>
      <c r="H21" s="84"/>
      <c r="I21" s="84"/>
      <c r="J21" s="84">
        <v>171567</v>
      </c>
      <c r="K21" s="84"/>
      <c r="L21" s="84"/>
    </row>
    <row r="22" spans="1:16" s="367" customFormat="1" ht="13.8">
      <c r="A22" s="93" t="s">
        <v>64</v>
      </c>
      <c r="B22" s="84">
        <v>3344161</v>
      </c>
      <c r="C22" s="84">
        <v>4437146.2</v>
      </c>
      <c r="D22" s="84">
        <v>333123.40000000002</v>
      </c>
      <c r="E22" s="84"/>
      <c r="F22" s="84"/>
      <c r="G22" s="84">
        <v>260540</v>
      </c>
      <c r="H22" s="84">
        <v>866530</v>
      </c>
      <c r="I22" s="84">
        <v>225545</v>
      </c>
      <c r="J22" s="84">
        <v>1200</v>
      </c>
      <c r="K22" s="84">
        <v>638445</v>
      </c>
      <c r="L22" s="84">
        <v>1200</v>
      </c>
    </row>
    <row r="23" spans="1:16" ht="13.8">
      <c r="A23" s="208" t="s">
        <v>85</v>
      </c>
      <c r="B23" s="365">
        <f t="shared" ref="B23:K23" si="0">SUM(B4:B22)</f>
        <v>52203712</v>
      </c>
      <c r="C23" s="365">
        <f t="shared" si="0"/>
        <v>38046341.160000004</v>
      </c>
      <c r="D23" s="365">
        <f t="shared" si="0"/>
        <v>23741722.07</v>
      </c>
      <c r="E23" s="365">
        <f t="shared" si="0"/>
        <v>20104220.399999999</v>
      </c>
      <c r="F23" s="365">
        <f t="shared" si="0"/>
        <v>22112085.41</v>
      </c>
      <c r="G23" s="365">
        <f t="shared" si="0"/>
        <v>18204478.18</v>
      </c>
      <c r="H23" s="365">
        <f t="shared" si="0"/>
        <v>8998595</v>
      </c>
      <c r="I23" s="365">
        <f t="shared" si="0"/>
        <v>26702586</v>
      </c>
      <c r="J23" s="365">
        <f t="shared" si="0"/>
        <v>12768518</v>
      </c>
      <c r="K23" s="365">
        <f t="shared" si="0"/>
        <v>12846602</v>
      </c>
      <c r="L23" s="365">
        <f>SUM(L4:L22)</f>
        <v>21559373.530000001</v>
      </c>
    </row>
    <row r="24" spans="1:16" ht="14.25" customHeight="1"/>
    <row r="25" spans="1:16" ht="13.8">
      <c r="A25" s="94" t="s">
        <v>173</v>
      </c>
    </row>
    <row r="26" spans="1:16" ht="13.8">
      <c r="A26" s="144" t="s">
        <v>172</v>
      </c>
      <c r="B26" s="144"/>
      <c r="C26" s="144"/>
      <c r="D26" s="144"/>
      <c r="E26" s="144"/>
      <c r="F26" s="144"/>
      <c r="G26" s="144"/>
      <c r="H26" s="144"/>
      <c r="I26" s="144"/>
      <c r="J26" s="144"/>
      <c r="K26" s="144"/>
      <c r="L26" s="144"/>
    </row>
    <row r="27" spans="1:16" ht="13.8">
      <c r="A27" s="144" t="s">
        <v>437</v>
      </c>
      <c r="B27" s="144"/>
      <c r="C27" s="144"/>
      <c r="D27" s="144"/>
      <c r="E27" s="144"/>
      <c r="F27" s="144"/>
      <c r="G27" s="144"/>
      <c r="H27" s="144"/>
      <c r="I27" s="144"/>
      <c r="J27" s="144"/>
      <c r="K27" s="144"/>
      <c r="L27" s="144"/>
      <c r="M27" s="144"/>
      <c r="N27" s="144"/>
      <c r="O27" s="144"/>
    </row>
    <row r="28" spans="1:16" ht="13.8">
      <c r="A28" s="144" t="s">
        <v>420</v>
      </c>
      <c r="B28" s="144"/>
      <c r="C28" s="144"/>
      <c r="D28" s="144"/>
      <c r="E28" s="144"/>
      <c r="F28" s="144"/>
      <c r="G28" s="144"/>
      <c r="H28" s="144"/>
      <c r="I28" s="144"/>
      <c r="J28" s="144"/>
      <c r="K28" s="144"/>
      <c r="L28" s="144"/>
      <c r="M28" s="144"/>
      <c r="N28" s="144"/>
      <c r="O28" s="144"/>
      <c r="P28" s="162"/>
    </row>
    <row r="29" spans="1:16" ht="13.8">
      <c r="A29" s="144" t="s">
        <v>438</v>
      </c>
      <c r="B29" s="144"/>
      <c r="C29" s="144"/>
      <c r="D29" s="144"/>
      <c r="E29" s="144"/>
      <c r="F29" s="144"/>
      <c r="G29" s="144"/>
      <c r="H29" s="144"/>
      <c r="I29" s="144"/>
      <c r="J29" s="144"/>
      <c r="K29" s="144"/>
      <c r="L29" s="144"/>
      <c r="M29" s="144"/>
      <c r="N29" s="144"/>
      <c r="O29" s="144"/>
      <c r="P29" s="162"/>
    </row>
    <row r="30" spans="1:16" ht="13.95" customHeight="1">
      <c r="M30" s="236"/>
      <c r="N30" s="236"/>
      <c r="O30" s="143"/>
    </row>
    <row r="32" spans="1:16" ht="13.8">
      <c r="A32" s="94" t="s">
        <v>392</v>
      </c>
    </row>
    <row r="33" spans="1:2" ht="13.8">
      <c r="A33" s="93" t="s">
        <v>60</v>
      </c>
      <c r="B33" s="84">
        <v>10320000</v>
      </c>
    </row>
    <row r="34" spans="1:2" ht="13.8">
      <c r="A34" s="93" t="s">
        <v>55</v>
      </c>
      <c r="B34" s="84">
        <v>8533771.6500000004</v>
      </c>
    </row>
    <row r="35" spans="1:2" ht="13.8">
      <c r="A35" s="93" t="s">
        <v>170</v>
      </c>
      <c r="B35" s="84">
        <v>2173554</v>
      </c>
    </row>
    <row r="36" spans="1:2" ht="13.8">
      <c r="A36" s="93" t="s">
        <v>199</v>
      </c>
      <c r="B36" s="84">
        <v>227790</v>
      </c>
    </row>
    <row r="37" spans="1:2" ht="13.8">
      <c r="A37" s="93" t="s">
        <v>54</v>
      </c>
      <c r="B37" s="84">
        <v>212725</v>
      </c>
    </row>
    <row r="38" spans="1:2" ht="13.8">
      <c r="A38" s="93" t="s">
        <v>53</v>
      </c>
      <c r="B38" s="84">
        <v>84663.38</v>
      </c>
    </row>
    <row r="39" spans="1:2" ht="13.8">
      <c r="A39" s="93"/>
      <c r="B39" s="84"/>
    </row>
    <row r="40" spans="1:2" ht="13.8">
      <c r="A40" s="93"/>
      <c r="B40" s="84"/>
    </row>
    <row r="41" spans="1:2" ht="13.8">
      <c r="A41" s="93"/>
      <c r="B41" s="84"/>
    </row>
    <row r="42" spans="1:2" ht="13.8">
      <c r="A42" s="208" t="s">
        <v>74</v>
      </c>
      <c r="B42" s="84"/>
    </row>
    <row r="43" spans="1:2" ht="13.8">
      <c r="A43" s="93" t="str">
        <f>"Total: $" &amp; TEXT(L23,"#0.0,,") &amp; " million"</f>
        <v>Total: $21.6 million</v>
      </c>
      <c r="B43" s="84"/>
    </row>
    <row r="44" spans="1:2" ht="13.8">
      <c r="B44" s="84"/>
    </row>
    <row r="45" spans="1:2" ht="13.8">
      <c r="A45" s="364"/>
      <c r="B45" s="84"/>
    </row>
    <row r="46" spans="1:2" ht="13.8">
      <c r="A46" s="93"/>
      <c r="B46" s="84"/>
    </row>
    <row r="47" spans="1:2" ht="13.8">
      <c r="A47" s="93"/>
      <c r="B47" s="84"/>
    </row>
    <row r="48" spans="1:2" ht="13.8">
      <c r="A48" s="93"/>
      <c r="B48" s="84"/>
    </row>
    <row r="49" spans="1:2" ht="13.8">
      <c r="A49" s="93"/>
      <c r="B49" s="84"/>
    </row>
    <row r="50" spans="1:2" ht="13.8">
      <c r="A50" s="368"/>
      <c r="B50" s="84"/>
    </row>
    <row r="51" spans="1:2" ht="13.8">
      <c r="B51" s="84"/>
    </row>
    <row r="52" spans="1:2" ht="13.8">
      <c r="B52" s="84"/>
    </row>
    <row r="53" spans="1:2" ht="13.8">
      <c r="A53" s="93"/>
    </row>
    <row r="54" spans="1:2" ht="13.8">
      <c r="A54" s="93"/>
    </row>
    <row r="55" spans="1:2" ht="13.8">
      <c r="A55" s="93"/>
    </row>
    <row r="56" spans="1:2" ht="13.8">
      <c r="A56" s="93"/>
    </row>
    <row r="57" spans="1:2" ht="13.8">
      <c r="A57" s="93"/>
    </row>
    <row r="58" spans="1:2" ht="13.8">
      <c r="A58" s="93"/>
    </row>
    <row r="59" spans="1:2" ht="13.8">
      <c r="A59" s="93"/>
    </row>
    <row r="60" spans="1:2" ht="13.8">
      <c r="A60" s="93"/>
    </row>
    <row r="61" spans="1:2" ht="13.8">
      <c r="A61" s="93"/>
    </row>
    <row r="62" spans="1:2" ht="13.8">
      <c r="A62" s="93"/>
    </row>
    <row r="63" spans="1:2" ht="13.8">
      <c r="A63" s="93"/>
    </row>
  </sheetData>
  <sortState xmlns:xlrd2="http://schemas.microsoft.com/office/spreadsheetml/2017/richdata2" ref="A4:L22">
    <sortCondition ref="A4:A22"/>
  </sortState>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S54"/>
  <sheetViews>
    <sheetView workbookViewId="0">
      <selection activeCell="A17" sqref="A17"/>
    </sheetView>
  </sheetViews>
  <sheetFormatPr defaultColWidth="9.109375" defaultRowHeight="13.2"/>
  <cols>
    <col min="1" max="1" width="33.33203125" style="40" customWidth="1"/>
    <col min="2" max="2" width="9.33203125" style="40" customWidth="1"/>
    <col min="3" max="3" width="10.109375" style="40" customWidth="1"/>
    <col min="4" max="29" width="9.33203125" style="40" customWidth="1"/>
    <col min="30" max="30" width="10.33203125" style="40" customWidth="1"/>
    <col min="31" max="31" width="11.5546875" style="40" customWidth="1"/>
    <col min="32" max="36" width="10.33203125" style="40" bestFit="1" customWidth="1"/>
    <col min="37" max="37" width="10.33203125" style="40" customWidth="1"/>
    <col min="38" max="38" width="9.109375" style="40"/>
    <col min="39" max="40" width="9.44140625" style="40" bestFit="1" customWidth="1"/>
    <col min="41" max="16384" width="9.109375" style="40"/>
  </cols>
  <sheetData>
    <row r="1" spans="1:42">
      <c r="A1" s="195" t="s">
        <v>323</v>
      </c>
      <c r="B1" s="196"/>
      <c r="C1" s="196"/>
      <c r="D1" s="196"/>
    </row>
    <row r="3" spans="1:42" s="103" customFormat="1" ht="15">
      <c r="A3" s="20" t="s">
        <v>439</v>
      </c>
    </row>
    <row r="4" spans="1:42" s="103" customFormat="1"/>
    <row r="5" spans="1:42" s="103" customFormat="1">
      <c r="B5" s="106" t="s">
        <v>70</v>
      </c>
      <c r="C5" s="106">
        <v>1981</v>
      </c>
      <c r="D5" s="106">
        <v>1982</v>
      </c>
      <c r="E5" s="106">
        <v>1983</v>
      </c>
      <c r="F5" s="106">
        <v>1984</v>
      </c>
      <c r="G5" s="106">
        <v>1985</v>
      </c>
      <c r="H5" s="106">
        <v>1986</v>
      </c>
      <c r="I5" s="106">
        <v>1987</v>
      </c>
      <c r="J5" s="106">
        <v>1988</v>
      </c>
      <c r="K5" s="106">
        <v>1989</v>
      </c>
      <c r="L5" s="106">
        <v>1990</v>
      </c>
      <c r="M5" s="106">
        <v>1991</v>
      </c>
      <c r="N5" s="106">
        <v>1992</v>
      </c>
      <c r="O5" s="106">
        <v>1993</v>
      </c>
      <c r="P5" s="106">
        <v>1994</v>
      </c>
      <c r="Q5" s="106">
        <v>1995</v>
      </c>
      <c r="R5" s="106">
        <v>1996</v>
      </c>
      <c r="S5" s="106">
        <v>1997</v>
      </c>
      <c r="T5" s="106">
        <v>1998</v>
      </c>
      <c r="U5" s="106">
        <v>1999</v>
      </c>
      <c r="V5" s="106">
        <v>2000</v>
      </c>
      <c r="W5" s="106">
        <v>2001</v>
      </c>
      <c r="X5" s="106">
        <v>2002</v>
      </c>
      <c r="Y5" s="106">
        <v>2003</v>
      </c>
      <c r="Z5" s="106">
        <v>2004</v>
      </c>
      <c r="AA5" s="106">
        <v>2005</v>
      </c>
      <c r="AB5" s="106">
        <v>2006</v>
      </c>
      <c r="AC5" s="106">
        <v>2007</v>
      </c>
      <c r="AD5" s="106">
        <v>2008</v>
      </c>
      <c r="AE5" s="106">
        <v>2009</v>
      </c>
      <c r="AF5" s="106">
        <v>2010</v>
      </c>
      <c r="AG5" s="106">
        <v>2011</v>
      </c>
      <c r="AH5" s="106">
        <v>2012</v>
      </c>
      <c r="AI5" s="106">
        <v>2013</v>
      </c>
      <c r="AJ5" s="106">
        <v>2014</v>
      </c>
      <c r="AK5" s="106">
        <v>2015</v>
      </c>
      <c r="AL5" s="106">
        <v>2016</v>
      </c>
      <c r="AM5" s="106">
        <v>2017</v>
      </c>
      <c r="AN5" s="105">
        <v>2018</v>
      </c>
      <c r="AO5" s="103" t="s">
        <v>247</v>
      </c>
    </row>
    <row r="6" spans="1:42" s="103" customFormat="1">
      <c r="A6" s="103" t="s">
        <v>69</v>
      </c>
      <c r="B6" s="104">
        <f>B18</f>
        <v>0</v>
      </c>
      <c r="C6" s="104">
        <f t="shared" ref="C6:AN6" si="0">B6+C18</f>
        <v>0</v>
      </c>
      <c r="D6" s="104">
        <f t="shared" si="0"/>
        <v>0</v>
      </c>
      <c r="E6" s="104">
        <f t="shared" si="0"/>
        <v>0</v>
      </c>
      <c r="F6" s="104">
        <f t="shared" si="0"/>
        <v>12</v>
      </c>
      <c r="G6" s="104">
        <f t="shared" si="0"/>
        <v>29</v>
      </c>
      <c r="H6" s="104">
        <f t="shared" si="0"/>
        <v>103</v>
      </c>
      <c r="I6" s="104">
        <f t="shared" si="0"/>
        <v>114</v>
      </c>
      <c r="J6" s="104">
        <f t="shared" si="0"/>
        <v>154</v>
      </c>
      <c r="K6" s="104">
        <f t="shared" si="0"/>
        <v>194</v>
      </c>
      <c r="L6" s="104">
        <f t="shared" si="0"/>
        <v>234</v>
      </c>
      <c r="M6" s="104">
        <f t="shared" si="0"/>
        <v>274</v>
      </c>
      <c r="N6" s="104">
        <f t="shared" si="0"/>
        <v>333</v>
      </c>
      <c r="O6" s="104">
        <f t="shared" si="0"/>
        <v>437</v>
      </c>
      <c r="P6" s="104">
        <f t="shared" si="0"/>
        <v>548.70000000000005</v>
      </c>
      <c r="Q6" s="104">
        <f t="shared" si="0"/>
        <v>612.20000000000005</v>
      </c>
      <c r="R6" s="104">
        <f t="shared" si="0"/>
        <v>612.20000000000005</v>
      </c>
      <c r="S6" s="104">
        <f t="shared" si="0"/>
        <v>612.20000000000005</v>
      </c>
      <c r="T6" s="104">
        <f t="shared" si="0"/>
        <v>617.6</v>
      </c>
      <c r="U6" s="104">
        <f t="shared" si="0"/>
        <v>665.2</v>
      </c>
      <c r="V6" s="104">
        <f t="shared" si="0"/>
        <v>730</v>
      </c>
      <c r="W6" s="104">
        <f t="shared" si="0"/>
        <v>2119.6</v>
      </c>
      <c r="X6" s="104">
        <f t="shared" si="0"/>
        <v>2267.4</v>
      </c>
      <c r="Y6" s="104">
        <f t="shared" si="0"/>
        <v>2438.5</v>
      </c>
      <c r="Z6" s="104">
        <f t="shared" si="0"/>
        <v>2629.5</v>
      </c>
      <c r="AA6" s="104">
        <f t="shared" si="0"/>
        <v>2740.3</v>
      </c>
      <c r="AB6" s="104">
        <f t="shared" si="0"/>
        <v>2908.4776403128003</v>
      </c>
      <c r="AC6" s="104">
        <f t="shared" si="0"/>
        <v>3029.1676403128004</v>
      </c>
      <c r="AD6" s="104">
        <f t="shared" si="0"/>
        <v>3304.1151715013721</v>
      </c>
      <c r="AE6" s="104">
        <f t="shared" si="0"/>
        <v>3544.4265926055655</v>
      </c>
      <c r="AF6" s="104">
        <f t="shared" si="0"/>
        <v>3854.4929987687915</v>
      </c>
      <c r="AG6" s="104">
        <f t="shared" si="0"/>
        <v>3925.1834749287914</v>
      </c>
      <c r="AH6" s="104">
        <f t="shared" si="0"/>
        <v>3963.6334749287912</v>
      </c>
      <c r="AI6" s="104">
        <f t="shared" si="0"/>
        <v>4049.4374749287913</v>
      </c>
      <c r="AJ6" s="104">
        <f t="shared" si="0"/>
        <v>4245.589253548791</v>
      </c>
      <c r="AK6" s="104">
        <f t="shared" si="0"/>
        <v>4313.070576635243</v>
      </c>
      <c r="AL6" s="104">
        <f t="shared" si="0"/>
        <v>4363.3616128404046</v>
      </c>
      <c r="AM6" s="104">
        <f t="shared" si="0"/>
        <v>4342.8256128404046</v>
      </c>
      <c r="AN6" s="104">
        <f t="shared" si="0"/>
        <v>4367.086273836534</v>
      </c>
    </row>
    <row r="7" spans="1:42" s="103" customFormat="1">
      <c r="A7" s="103" t="s">
        <v>68</v>
      </c>
      <c r="B7" s="104">
        <f t="shared" ref="B7:B10" si="1">B19</f>
        <v>0</v>
      </c>
      <c r="C7" s="104">
        <f t="shared" ref="C7:AN7" si="2">B7+C19</f>
        <v>3</v>
      </c>
      <c r="D7" s="104">
        <f t="shared" si="2"/>
        <v>17</v>
      </c>
      <c r="E7" s="104">
        <f t="shared" si="2"/>
        <v>18</v>
      </c>
      <c r="F7" s="104">
        <f t="shared" si="2"/>
        <v>26</v>
      </c>
      <c r="G7" s="104">
        <f t="shared" si="2"/>
        <v>53</v>
      </c>
      <c r="H7" s="104">
        <f t="shared" si="2"/>
        <v>72</v>
      </c>
      <c r="I7" s="104">
        <f t="shared" si="2"/>
        <v>81</v>
      </c>
      <c r="J7" s="104">
        <f t="shared" si="2"/>
        <v>91</v>
      </c>
      <c r="K7" s="104">
        <f t="shared" si="2"/>
        <v>106</v>
      </c>
      <c r="L7" s="104">
        <f t="shared" si="2"/>
        <v>121</v>
      </c>
      <c r="M7" s="104">
        <f t="shared" si="2"/>
        <v>136</v>
      </c>
      <c r="N7" s="104">
        <f t="shared" si="2"/>
        <v>159</v>
      </c>
      <c r="O7" s="104">
        <f t="shared" si="2"/>
        <v>204</v>
      </c>
      <c r="P7" s="104">
        <f t="shared" si="2"/>
        <v>266</v>
      </c>
      <c r="Q7" s="104">
        <f t="shared" si="2"/>
        <v>273.10000000000002</v>
      </c>
      <c r="R7" s="104">
        <f t="shared" si="2"/>
        <v>354.8</v>
      </c>
      <c r="S7" s="104">
        <f t="shared" si="2"/>
        <v>462.6</v>
      </c>
      <c r="T7" s="104">
        <f t="shared" si="2"/>
        <v>579.1</v>
      </c>
      <c r="U7" s="104">
        <f t="shared" si="2"/>
        <v>776.90000000000009</v>
      </c>
      <c r="V7" s="104">
        <f t="shared" si="2"/>
        <v>970.00000000000011</v>
      </c>
      <c r="W7" s="104">
        <f t="shared" si="2"/>
        <v>1085.9000000000001</v>
      </c>
      <c r="X7" s="104">
        <f t="shared" si="2"/>
        <v>1098.5</v>
      </c>
      <c r="Y7" s="104">
        <f t="shared" si="2"/>
        <v>1177.7</v>
      </c>
      <c r="Z7" s="104">
        <f t="shared" si="2"/>
        <v>1199.4000000000001</v>
      </c>
      <c r="AA7" s="104">
        <f t="shared" si="2"/>
        <v>1381.5</v>
      </c>
      <c r="AB7" s="104">
        <f t="shared" si="2"/>
        <v>1778.9380996800001</v>
      </c>
      <c r="AC7" s="104">
        <f t="shared" si="2"/>
        <v>2061.5630996800001</v>
      </c>
      <c r="AD7" s="104">
        <f t="shared" si="2"/>
        <v>2335.0825265371427</v>
      </c>
      <c r="AE7" s="104">
        <f t="shared" si="2"/>
        <v>2477.8965265371426</v>
      </c>
      <c r="AF7" s="104">
        <f t="shared" si="2"/>
        <v>2577.3274901139166</v>
      </c>
      <c r="AG7" s="104">
        <f t="shared" si="2"/>
        <v>2734.0094936139167</v>
      </c>
      <c r="AH7" s="104">
        <f t="shared" si="2"/>
        <v>2886.2094936139165</v>
      </c>
      <c r="AI7" s="104">
        <f t="shared" si="2"/>
        <v>3021.7174936139163</v>
      </c>
      <c r="AJ7" s="104">
        <f t="shared" si="2"/>
        <v>3144.4618380929487</v>
      </c>
      <c r="AK7" s="104">
        <f t="shared" si="2"/>
        <v>3340.2572852013359</v>
      </c>
      <c r="AL7" s="104">
        <f t="shared" si="2"/>
        <v>3416.8991706426264</v>
      </c>
      <c r="AM7" s="104">
        <f t="shared" si="2"/>
        <v>3426.4991706426263</v>
      </c>
      <c r="AN7" s="104">
        <f t="shared" si="2"/>
        <v>3429.3991706426264</v>
      </c>
    </row>
    <row r="8" spans="1:42" s="103" customFormat="1">
      <c r="A8" s="103" t="s">
        <v>67</v>
      </c>
      <c r="B8" s="104">
        <f t="shared" si="1"/>
        <v>15</v>
      </c>
      <c r="C8" s="104">
        <f t="shared" ref="C8:AN8" si="3">B8+C20</f>
        <v>21.1</v>
      </c>
      <c r="D8" s="104">
        <f t="shared" si="3"/>
        <v>32.6</v>
      </c>
      <c r="E8" s="104">
        <f t="shared" si="3"/>
        <v>46.8</v>
      </c>
      <c r="F8" s="104">
        <f t="shared" si="3"/>
        <v>62.8</v>
      </c>
      <c r="G8" s="104">
        <f t="shared" si="3"/>
        <v>82.699999999999989</v>
      </c>
      <c r="H8" s="104">
        <f t="shared" si="3"/>
        <v>106.39999999999999</v>
      </c>
      <c r="I8" s="104">
        <f t="shared" si="3"/>
        <v>136.1</v>
      </c>
      <c r="J8" s="104">
        <f t="shared" si="3"/>
        <v>155.1</v>
      </c>
      <c r="K8" s="104">
        <f t="shared" si="3"/>
        <v>178.7</v>
      </c>
      <c r="L8" s="104">
        <f t="shared" si="3"/>
        <v>202.1</v>
      </c>
      <c r="M8" s="104">
        <f t="shared" si="3"/>
        <v>226.4</v>
      </c>
      <c r="N8" s="104">
        <f t="shared" si="3"/>
        <v>254.8</v>
      </c>
      <c r="O8" s="104">
        <f t="shared" si="3"/>
        <v>285.3</v>
      </c>
      <c r="P8" s="104">
        <f t="shared" si="3"/>
        <v>320.2</v>
      </c>
      <c r="Q8" s="104">
        <f t="shared" si="3"/>
        <v>356.3</v>
      </c>
      <c r="R8" s="104">
        <f t="shared" si="3"/>
        <v>391.7</v>
      </c>
      <c r="S8" s="104">
        <f t="shared" si="3"/>
        <v>427.6</v>
      </c>
      <c r="T8" s="104">
        <f t="shared" si="3"/>
        <v>463.98</v>
      </c>
      <c r="U8" s="104">
        <f t="shared" si="3"/>
        <v>502.88</v>
      </c>
      <c r="V8" s="104">
        <f t="shared" si="3"/>
        <v>540.48</v>
      </c>
      <c r="W8" s="104">
        <f t="shared" si="3"/>
        <v>582.98</v>
      </c>
      <c r="X8" s="104">
        <f t="shared" si="3"/>
        <v>633.89</v>
      </c>
      <c r="Y8" s="104">
        <f t="shared" si="3"/>
        <v>686.44499999999994</v>
      </c>
      <c r="Z8" s="104">
        <f t="shared" si="3"/>
        <v>743.64499999999998</v>
      </c>
      <c r="AA8" s="104">
        <f t="shared" si="3"/>
        <v>801.56499999999994</v>
      </c>
      <c r="AB8" s="104">
        <f t="shared" si="3"/>
        <v>862.21499999999992</v>
      </c>
      <c r="AC8" s="104">
        <f t="shared" si="3"/>
        <v>922.4799999999999</v>
      </c>
      <c r="AD8" s="104">
        <f t="shared" si="3"/>
        <v>984.70249999999987</v>
      </c>
      <c r="AE8" s="104">
        <f t="shared" si="3"/>
        <v>1048.9724999999999</v>
      </c>
      <c r="AF8" s="104">
        <f t="shared" si="3"/>
        <v>1118.6734873599999</v>
      </c>
      <c r="AG8" s="104">
        <f t="shared" si="3"/>
        <v>1192.9385881399999</v>
      </c>
      <c r="AH8" s="104">
        <f t="shared" si="3"/>
        <v>1265.9485881399999</v>
      </c>
      <c r="AI8" s="104">
        <f t="shared" si="3"/>
        <v>1344.4485881399999</v>
      </c>
      <c r="AJ8" s="104">
        <f t="shared" si="3"/>
        <v>1434.7485881399998</v>
      </c>
      <c r="AK8" s="104">
        <f t="shared" si="3"/>
        <v>1519.6140736399998</v>
      </c>
      <c r="AL8" s="104">
        <f t="shared" si="3"/>
        <v>1607.7994219599998</v>
      </c>
      <c r="AM8" s="104">
        <f t="shared" si="3"/>
        <v>1693.0222221549998</v>
      </c>
      <c r="AN8" s="104">
        <f t="shared" si="3"/>
        <v>1782.8988112399998</v>
      </c>
    </row>
    <row r="9" spans="1:42" s="103" customFormat="1">
      <c r="A9" s="103" t="s">
        <v>66</v>
      </c>
      <c r="B9" s="104">
        <f t="shared" si="1"/>
        <v>2.2999999999999998</v>
      </c>
      <c r="C9" s="104">
        <f t="shared" ref="C9:AN9" si="4">B9+C21</f>
        <v>4.5999999999999996</v>
      </c>
      <c r="D9" s="104">
        <f t="shared" si="4"/>
        <v>9.1999999999999993</v>
      </c>
      <c r="E9" s="104">
        <f t="shared" si="4"/>
        <v>18.299999999999997</v>
      </c>
      <c r="F9" s="104">
        <f t="shared" si="4"/>
        <v>37.9</v>
      </c>
      <c r="G9" s="104">
        <f t="shared" si="4"/>
        <v>53.8</v>
      </c>
      <c r="H9" s="104">
        <f t="shared" si="4"/>
        <v>73.400000000000006</v>
      </c>
      <c r="I9" s="104">
        <f t="shared" si="4"/>
        <v>95.600000000000009</v>
      </c>
      <c r="J9" s="104">
        <f t="shared" si="4"/>
        <v>114.4</v>
      </c>
      <c r="K9" s="104">
        <f t="shared" si="4"/>
        <v>137.4</v>
      </c>
      <c r="L9" s="104">
        <f t="shared" si="4"/>
        <v>170.2</v>
      </c>
      <c r="M9" s="104">
        <f t="shared" si="4"/>
        <v>203.2</v>
      </c>
      <c r="N9" s="104">
        <f t="shared" si="4"/>
        <v>270.2</v>
      </c>
      <c r="O9" s="104">
        <f t="shared" si="4"/>
        <v>319.8</v>
      </c>
      <c r="P9" s="104">
        <f t="shared" si="4"/>
        <v>375.7</v>
      </c>
      <c r="Q9" s="104">
        <f t="shared" si="4"/>
        <v>447.1</v>
      </c>
      <c r="R9" s="104">
        <f t="shared" si="4"/>
        <v>515.6</v>
      </c>
      <c r="S9" s="104">
        <f t="shared" si="4"/>
        <v>597.80000000000007</v>
      </c>
      <c r="T9" s="104">
        <f t="shared" si="4"/>
        <v>702.7</v>
      </c>
      <c r="U9" s="104">
        <f t="shared" si="4"/>
        <v>810.90000000000009</v>
      </c>
      <c r="V9" s="104">
        <f t="shared" si="4"/>
        <v>919.10000000000014</v>
      </c>
      <c r="W9" s="104">
        <f t="shared" si="4"/>
        <v>1020.2000000000002</v>
      </c>
      <c r="X9" s="104">
        <f t="shared" si="4"/>
        <v>1157.3000000000002</v>
      </c>
      <c r="Y9" s="104">
        <f t="shared" si="4"/>
        <v>1298.0000000000002</v>
      </c>
      <c r="Z9" s="104">
        <f t="shared" si="4"/>
        <v>1435.9000000000003</v>
      </c>
      <c r="AA9" s="104">
        <f t="shared" si="4"/>
        <v>1571.7000000000003</v>
      </c>
      <c r="AB9" s="104">
        <f t="shared" si="4"/>
        <v>1709.6000000000004</v>
      </c>
      <c r="AC9" s="104">
        <f t="shared" si="4"/>
        <v>1849.0820000000003</v>
      </c>
      <c r="AD9" s="104">
        <f t="shared" si="4"/>
        <v>1997.9794339400003</v>
      </c>
      <c r="AE9" s="104">
        <f t="shared" si="4"/>
        <v>2175.8388767700003</v>
      </c>
      <c r="AF9" s="104">
        <f t="shared" si="4"/>
        <v>2375.4210898000001</v>
      </c>
      <c r="AG9" s="104">
        <f t="shared" si="4"/>
        <v>2596.47471404</v>
      </c>
      <c r="AH9" s="104">
        <f t="shared" si="4"/>
        <v>2845.4047140399998</v>
      </c>
      <c r="AI9" s="104">
        <f t="shared" si="4"/>
        <v>3084.4047140399998</v>
      </c>
      <c r="AJ9" s="104">
        <f t="shared" si="4"/>
        <v>3316.2061960399997</v>
      </c>
      <c r="AK9" s="104">
        <f t="shared" si="4"/>
        <v>3574.3834078699997</v>
      </c>
      <c r="AL9" s="104">
        <f t="shared" si="4"/>
        <v>3832.5255977999996</v>
      </c>
      <c r="AM9" s="104">
        <f t="shared" si="4"/>
        <v>4087.2298052899996</v>
      </c>
      <c r="AN9" s="104">
        <f t="shared" si="4"/>
        <v>4345.9344566299997</v>
      </c>
    </row>
    <row r="10" spans="1:42" s="103" customFormat="1">
      <c r="A10" s="103" t="s">
        <v>65</v>
      </c>
      <c r="B10" s="104">
        <f t="shared" si="1"/>
        <v>24</v>
      </c>
      <c r="C10" s="104">
        <f t="shared" ref="C10:AN10" si="5">B10+C22</f>
        <v>32.799999999999997</v>
      </c>
      <c r="D10" s="104">
        <f t="shared" si="5"/>
        <v>45.199999999999996</v>
      </c>
      <c r="E10" s="104">
        <f t="shared" si="5"/>
        <v>61.099999999999994</v>
      </c>
      <c r="F10" s="104">
        <f t="shared" si="5"/>
        <v>77.699999999999989</v>
      </c>
      <c r="G10" s="104">
        <f t="shared" si="5"/>
        <v>97.399999999999991</v>
      </c>
      <c r="H10" s="104">
        <f t="shared" si="5"/>
        <v>119.5</v>
      </c>
      <c r="I10" s="104">
        <f t="shared" si="5"/>
        <v>148</v>
      </c>
      <c r="J10" s="104">
        <f t="shared" si="5"/>
        <v>179</v>
      </c>
      <c r="K10" s="104">
        <f t="shared" si="5"/>
        <v>210.9</v>
      </c>
      <c r="L10" s="104">
        <f t="shared" si="5"/>
        <v>245.2</v>
      </c>
      <c r="M10" s="104">
        <f t="shared" si="5"/>
        <v>283.39999999999998</v>
      </c>
      <c r="N10" s="104">
        <f t="shared" si="5"/>
        <v>325.29999999999995</v>
      </c>
      <c r="O10" s="104">
        <f t="shared" si="5"/>
        <v>378.9</v>
      </c>
      <c r="P10" s="104">
        <f t="shared" si="5"/>
        <v>440.2</v>
      </c>
      <c r="Q10" s="104">
        <f t="shared" si="5"/>
        <v>503.79999999999995</v>
      </c>
      <c r="R10" s="104">
        <f t="shared" si="5"/>
        <v>576.9</v>
      </c>
      <c r="S10" s="104">
        <f t="shared" si="5"/>
        <v>653.19999999999993</v>
      </c>
      <c r="T10" s="104">
        <f t="shared" si="5"/>
        <v>727.3</v>
      </c>
      <c r="U10" s="104">
        <f t="shared" si="5"/>
        <v>803.4</v>
      </c>
      <c r="V10" s="104">
        <f t="shared" si="5"/>
        <v>879.69999999999993</v>
      </c>
      <c r="W10" s="104">
        <f t="shared" si="5"/>
        <v>957.9</v>
      </c>
      <c r="X10" s="104">
        <f t="shared" si="5"/>
        <v>1036.0999999999999</v>
      </c>
      <c r="Y10" s="104">
        <f t="shared" si="5"/>
        <v>1116.5999999999999</v>
      </c>
      <c r="Z10" s="104">
        <f t="shared" si="5"/>
        <v>1202</v>
      </c>
      <c r="AA10" s="104">
        <f t="shared" si="5"/>
        <v>1291.7</v>
      </c>
      <c r="AB10" s="104">
        <f t="shared" si="5"/>
        <v>1379.2</v>
      </c>
      <c r="AC10" s="104">
        <f t="shared" si="5"/>
        <v>1492.1100000000001</v>
      </c>
      <c r="AD10" s="104">
        <f t="shared" si="5"/>
        <v>1608.3100000000002</v>
      </c>
      <c r="AE10" s="104">
        <f t="shared" si="5"/>
        <v>1728.3100000000002</v>
      </c>
      <c r="AF10" s="104">
        <f t="shared" si="5"/>
        <v>1851.8261102145098</v>
      </c>
      <c r="AG10" s="104">
        <f t="shared" si="5"/>
        <v>1978.9986920591759</v>
      </c>
      <c r="AH10" s="104">
        <f t="shared" si="5"/>
        <v>2110.4986920591759</v>
      </c>
      <c r="AI10" s="104">
        <f t="shared" si="5"/>
        <v>2253.898692059176</v>
      </c>
      <c r="AJ10" s="104">
        <f t="shared" si="5"/>
        <v>2395.1986920591762</v>
      </c>
      <c r="AK10" s="104">
        <f t="shared" si="5"/>
        <v>2545.7774713522472</v>
      </c>
      <c r="AL10" s="104">
        <f t="shared" si="5"/>
        <v>2693.99445848705</v>
      </c>
      <c r="AM10" s="104">
        <f t="shared" si="5"/>
        <v>2815.371941085838</v>
      </c>
      <c r="AN10" s="104">
        <f t="shared" si="5"/>
        <v>2920.4450397831351</v>
      </c>
    </row>
    <row r="11" spans="1:42" s="103" customFormat="1">
      <c r="A11" s="105" t="s">
        <v>200</v>
      </c>
      <c r="B11" s="104">
        <f>SUM(B6:B10)</f>
        <v>41.3</v>
      </c>
      <c r="C11" s="104">
        <v>76.599999999999994</v>
      </c>
      <c r="D11" s="104">
        <v>168.4</v>
      </c>
      <c r="E11" s="104">
        <v>247.8</v>
      </c>
      <c r="F11" s="104">
        <v>312.39999999999998</v>
      </c>
      <c r="G11" s="104">
        <v>448.8</v>
      </c>
      <c r="H11" s="104">
        <v>602.20000000000005</v>
      </c>
      <c r="I11" s="104">
        <v>757.4</v>
      </c>
      <c r="J11" s="104">
        <v>860.5</v>
      </c>
      <c r="K11" s="104">
        <v>975.7</v>
      </c>
      <c r="L11" s="104">
        <v>1107.5999999999999</v>
      </c>
      <c r="M11" s="104">
        <v>1241.5999999999999</v>
      </c>
      <c r="N11" s="104">
        <v>1431.1</v>
      </c>
      <c r="O11" s="104">
        <v>1763.3</v>
      </c>
      <c r="P11" s="104">
        <v>2087.6999999999998</v>
      </c>
      <c r="Q11" s="104">
        <v>2337.4</v>
      </c>
      <c r="R11" s="104">
        <v>2594.1</v>
      </c>
      <c r="S11" s="104">
        <v>2805.5</v>
      </c>
      <c r="T11" s="104">
        <v>3090.7</v>
      </c>
      <c r="U11" s="104">
        <v>3512</v>
      </c>
      <c r="V11" s="104">
        <v>3992</v>
      </c>
      <c r="W11" s="104">
        <v>5719.3</v>
      </c>
      <c r="X11" s="104">
        <v>6146.1</v>
      </c>
      <c r="Y11" s="104">
        <v>6670.2</v>
      </c>
      <c r="Z11" s="104">
        <v>7163.4</v>
      </c>
      <c r="AA11" s="104">
        <v>7738.7</v>
      </c>
      <c r="AB11" s="104">
        <v>8590.4</v>
      </c>
      <c r="AC11" s="104">
        <v>9306.4</v>
      </c>
      <c r="AD11" s="104">
        <v>10182.1</v>
      </c>
      <c r="AE11" s="104">
        <v>10927.4</v>
      </c>
      <c r="AF11" s="104">
        <v>11729.7</v>
      </c>
      <c r="AG11" s="104">
        <v>12435.3</v>
      </c>
      <c r="AH11" s="104">
        <f t="shared" ref="AH11:AN11" si="6">SUM(AH6:AH10)</f>
        <v>13071.694962781883</v>
      </c>
      <c r="AI11" s="104">
        <f t="shared" si="6"/>
        <v>13753.906962781883</v>
      </c>
      <c r="AJ11" s="104">
        <f t="shared" si="6"/>
        <v>14536.204567880915</v>
      </c>
      <c r="AK11" s="104">
        <f t="shared" si="6"/>
        <v>15293.102814698825</v>
      </c>
      <c r="AL11" s="104">
        <f t="shared" si="6"/>
        <v>15914.58026173008</v>
      </c>
      <c r="AM11" s="104">
        <f t="shared" si="6"/>
        <v>16364.948752013866</v>
      </c>
      <c r="AN11" s="104">
        <f t="shared" si="6"/>
        <v>16845.763752132294</v>
      </c>
      <c r="AP11" s="103">
        <v>16845.763752132294</v>
      </c>
    </row>
    <row r="12" spans="1:42" s="103" customFormat="1">
      <c r="A12" s="105"/>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row>
    <row r="13" spans="1:42" s="103" customFormat="1">
      <c r="A13" s="103" t="s">
        <v>248</v>
      </c>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row>
    <row r="14" spans="1:42" s="103" customFormat="1">
      <c r="A14" s="172" t="s">
        <v>249</v>
      </c>
      <c r="B14" s="104">
        <f>B24</f>
        <v>30</v>
      </c>
      <c r="C14" s="104">
        <f>B14+C24</f>
        <v>47.9</v>
      </c>
      <c r="D14" s="104">
        <f t="shared" ref="D14:AN14" si="7">C14+D24</f>
        <v>109.6</v>
      </c>
      <c r="E14" s="104">
        <f t="shared" si="7"/>
        <v>164.7</v>
      </c>
      <c r="F14" s="104">
        <f t="shared" si="7"/>
        <v>173.7</v>
      </c>
      <c r="G14" s="104">
        <f t="shared" si="7"/>
        <v>230.29999999999998</v>
      </c>
      <c r="H14" s="104">
        <f t="shared" si="7"/>
        <v>247.39999999999998</v>
      </c>
      <c r="I14" s="104">
        <f t="shared" si="7"/>
        <v>330.7</v>
      </c>
      <c r="J14" s="104">
        <f t="shared" si="7"/>
        <v>346</v>
      </c>
      <c r="K14" s="104">
        <f t="shared" si="7"/>
        <v>359.6</v>
      </c>
      <c r="L14" s="104">
        <f t="shared" si="7"/>
        <v>380.3</v>
      </c>
      <c r="M14" s="104">
        <f t="shared" si="7"/>
        <v>402</v>
      </c>
      <c r="N14" s="104">
        <f t="shared" si="7"/>
        <v>414.1</v>
      </c>
      <c r="O14" s="104">
        <f t="shared" si="7"/>
        <v>517.20000000000005</v>
      </c>
      <c r="P14" s="104">
        <f t="shared" si="7"/>
        <v>577.1</v>
      </c>
      <c r="Q14" s="104">
        <f t="shared" si="7"/>
        <v>648.9</v>
      </c>
      <c r="R14" s="104">
        <f t="shared" si="7"/>
        <v>720</v>
      </c>
      <c r="S14" s="104">
        <f t="shared" si="7"/>
        <v>705.5</v>
      </c>
      <c r="T14" s="104">
        <f t="shared" si="7"/>
        <v>727.5</v>
      </c>
      <c r="U14" s="104">
        <f t="shared" si="7"/>
        <v>756.3</v>
      </c>
      <c r="V14" s="104">
        <f t="shared" si="7"/>
        <v>817.19999999999993</v>
      </c>
      <c r="W14" s="104">
        <f t="shared" si="7"/>
        <v>839.9</v>
      </c>
      <c r="X14" s="104">
        <f t="shared" si="7"/>
        <v>854.8</v>
      </c>
      <c r="Y14" s="104">
        <f t="shared" si="7"/>
        <v>934.8</v>
      </c>
      <c r="Z14" s="104">
        <f t="shared" si="7"/>
        <v>1019.1999999999999</v>
      </c>
      <c r="AA14" s="104">
        <f t="shared" si="7"/>
        <v>1085.1999999999998</v>
      </c>
      <c r="AB14" s="104">
        <f t="shared" si="7"/>
        <v>1481.4999999999998</v>
      </c>
      <c r="AC14" s="104">
        <f t="shared" si="7"/>
        <v>1578.1059999999998</v>
      </c>
      <c r="AD14" s="104">
        <f t="shared" si="7"/>
        <v>1642.2773130699998</v>
      </c>
      <c r="AE14" s="104">
        <f t="shared" si="7"/>
        <v>1805.9887742999997</v>
      </c>
      <c r="AF14" s="104">
        <f t="shared" si="7"/>
        <v>1903.6048668099997</v>
      </c>
      <c r="AG14" s="104">
        <f t="shared" si="7"/>
        <v>2097.5427319999999</v>
      </c>
      <c r="AH14" s="104">
        <f t="shared" si="7"/>
        <v>2269.8730289999999</v>
      </c>
      <c r="AI14" s="104">
        <f t="shared" si="7"/>
        <v>2425.5630289999999</v>
      </c>
      <c r="AJ14" s="104">
        <f t="shared" si="7"/>
        <v>2564.71637732</v>
      </c>
      <c r="AK14" s="104">
        <f t="shared" si="7"/>
        <v>2668.8422863199999</v>
      </c>
      <c r="AL14" s="104">
        <f t="shared" si="7"/>
        <v>2720.2148798200001</v>
      </c>
      <c r="AM14" s="104">
        <f t="shared" si="7"/>
        <v>2785.8487883600001</v>
      </c>
      <c r="AN14" s="104">
        <f t="shared" si="7"/>
        <v>2869.0654863600002</v>
      </c>
    </row>
    <row r="15" spans="1:42" s="103" customFormat="1">
      <c r="A15" s="103" t="s">
        <v>250</v>
      </c>
      <c r="B15" s="104">
        <f>B25</f>
        <v>0</v>
      </c>
      <c r="C15" s="104">
        <f>B15+C25</f>
        <v>0</v>
      </c>
      <c r="D15" s="104">
        <f t="shared" ref="D15:AN15" si="8">C15+D25</f>
        <v>0</v>
      </c>
      <c r="E15" s="104">
        <f t="shared" si="8"/>
        <v>0</v>
      </c>
      <c r="F15" s="104">
        <f t="shared" si="8"/>
        <v>0</v>
      </c>
      <c r="G15" s="104">
        <f t="shared" si="8"/>
        <v>0</v>
      </c>
      <c r="H15" s="104">
        <f t="shared" si="8"/>
        <v>0</v>
      </c>
      <c r="I15" s="104">
        <f t="shared" si="8"/>
        <v>0</v>
      </c>
      <c r="J15" s="104">
        <f t="shared" si="8"/>
        <v>0</v>
      </c>
      <c r="K15" s="104">
        <f t="shared" si="8"/>
        <v>0</v>
      </c>
      <c r="L15" s="104">
        <f t="shared" si="8"/>
        <v>0</v>
      </c>
      <c r="M15" s="104">
        <f t="shared" si="8"/>
        <v>0</v>
      </c>
      <c r="N15" s="104">
        <f t="shared" si="8"/>
        <v>0</v>
      </c>
      <c r="O15" s="104">
        <f t="shared" si="8"/>
        <v>0</v>
      </c>
      <c r="P15" s="104">
        <f t="shared" si="8"/>
        <v>0</v>
      </c>
      <c r="Q15" s="104">
        <f t="shared" si="8"/>
        <v>-45.2</v>
      </c>
      <c r="R15" s="104">
        <f t="shared" si="8"/>
        <v>-70.7</v>
      </c>
      <c r="S15" s="104">
        <f t="shared" si="8"/>
        <v>-100.4</v>
      </c>
      <c r="T15" s="104">
        <f t="shared" si="8"/>
        <v>-136.10000000000002</v>
      </c>
      <c r="U15" s="104">
        <f t="shared" si="8"/>
        <v>-182.10000000000002</v>
      </c>
      <c r="V15" s="104">
        <f t="shared" si="8"/>
        <v>-232.50000000000003</v>
      </c>
      <c r="W15" s="104">
        <f t="shared" si="8"/>
        <v>-815.6</v>
      </c>
      <c r="X15" s="104">
        <f t="shared" si="8"/>
        <v>-882</v>
      </c>
      <c r="Y15" s="104">
        <f t="shared" si="8"/>
        <v>-1034.3</v>
      </c>
      <c r="Z15" s="104">
        <f t="shared" si="8"/>
        <v>-1111.3</v>
      </c>
      <c r="AA15" s="104">
        <f t="shared" si="8"/>
        <v>-1169</v>
      </c>
      <c r="AB15" s="104">
        <f t="shared" si="8"/>
        <v>-1245.3528333016243</v>
      </c>
      <c r="AC15" s="104">
        <f t="shared" si="8"/>
        <v>-1311.4528333016242</v>
      </c>
      <c r="AD15" s="104">
        <f t="shared" si="8"/>
        <v>-1411.9625633399057</v>
      </c>
      <c r="AE15" s="104">
        <f t="shared" si="8"/>
        <v>-1511.461221851521</v>
      </c>
      <c r="AF15" s="104">
        <f t="shared" si="8"/>
        <v>-1634.3040526929101</v>
      </c>
      <c r="AG15" s="104">
        <f t="shared" si="8"/>
        <v>-1719.6532810194801</v>
      </c>
      <c r="AH15" s="104">
        <f t="shared" si="8"/>
        <v>-1796.6351772504802</v>
      </c>
      <c r="AI15" s="104">
        <f t="shared" si="8"/>
        <v>-1880.7293692504802</v>
      </c>
      <c r="AJ15" s="104">
        <f t="shared" si="8"/>
        <v>-1984.5819430441002</v>
      </c>
      <c r="AK15" s="104">
        <f t="shared" si="8"/>
        <v>-2062.300201343689</v>
      </c>
      <c r="AL15" s="104">
        <f t="shared" si="8"/>
        <v>-2134.9278487874799</v>
      </c>
      <c r="AM15" s="104">
        <f t="shared" si="8"/>
        <v>-2188.65618192584</v>
      </c>
      <c r="AN15" s="104">
        <f t="shared" si="8"/>
        <v>-2258.7561819258399</v>
      </c>
    </row>
    <row r="16" spans="1:42" s="103" customFormat="1">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row>
    <row r="17" spans="1:45" s="103" customFormat="1">
      <c r="A17" s="145"/>
      <c r="B17" s="146"/>
      <c r="C17" s="146"/>
      <c r="D17" s="146"/>
      <c r="E17" s="146"/>
      <c r="F17" s="146"/>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row>
    <row r="18" spans="1:45" s="103" customFormat="1">
      <c r="A18" s="103" t="s">
        <v>225</v>
      </c>
      <c r="B18" s="104">
        <v>0</v>
      </c>
      <c r="C18" s="104">
        <v>0</v>
      </c>
      <c r="D18" s="104">
        <v>0</v>
      </c>
      <c r="E18" s="104">
        <v>0</v>
      </c>
      <c r="F18" s="104">
        <v>12</v>
      </c>
      <c r="G18" s="104">
        <v>17</v>
      </c>
      <c r="H18" s="104">
        <v>74</v>
      </c>
      <c r="I18" s="104">
        <v>11</v>
      </c>
      <c r="J18" s="104">
        <v>40</v>
      </c>
      <c r="K18" s="104">
        <v>40</v>
      </c>
      <c r="L18" s="104">
        <v>40</v>
      </c>
      <c r="M18" s="104">
        <v>40</v>
      </c>
      <c r="N18" s="104">
        <v>59</v>
      </c>
      <c r="O18" s="104">
        <v>104</v>
      </c>
      <c r="P18" s="104">
        <v>111.7</v>
      </c>
      <c r="Q18" s="104">
        <v>63.5</v>
      </c>
      <c r="R18" s="104">
        <v>0</v>
      </c>
      <c r="S18" s="104">
        <v>0</v>
      </c>
      <c r="T18" s="104">
        <v>5.4</v>
      </c>
      <c r="U18" s="104">
        <v>47.6</v>
      </c>
      <c r="V18" s="104">
        <v>64.8</v>
      </c>
      <c r="W18" s="104">
        <v>1389.6</v>
      </c>
      <c r="X18" s="104">
        <v>147.80000000000001</v>
      </c>
      <c r="Y18" s="104">
        <v>171.1</v>
      </c>
      <c r="Z18" s="104">
        <v>191</v>
      </c>
      <c r="AA18" s="104">
        <v>110.8</v>
      </c>
      <c r="AB18" s="104">
        <v>168.17764031279995</v>
      </c>
      <c r="AC18" s="104">
        <v>120.69</v>
      </c>
      <c r="AD18" s="104">
        <v>274.94753118857147</v>
      </c>
      <c r="AE18" s="104">
        <v>240.31142110419358</v>
      </c>
      <c r="AF18" s="104">
        <v>310.06640616322585</v>
      </c>
      <c r="AG18" s="104">
        <v>70.690476160000003</v>
      </c>
      <c r="AH18" s="104">
        <v>38.450000000000003</v>
      </c>
      <c r="AI18" s="104">
        <v>85.804000000000002</v>
      </c>
      <c r="AJ18" s="104">
        <v>196.15177862000002</v>
      </c>
      <c r="AK18" s="104">
        <v>67.48132308645161</v>
      </c>
      <c r="AL18" s="104">
        <v>50.291036205161291</v>
      </c>
      <c r="AM18" s="104">
        <v>-20.536000000000001</v>
      </c>
      <c r="AN18" s="108">
        <v>24.260660996129033</v>
      </c>
      <c r="AO18" s="103" t="s">
        <v>246</v>
      </c>
    </row>
    <row r="19" spans="1:45" s="103" customFormat="1">
      <c r="A19" s="103" t="s">
        <v>226</v>
      </c>
      <c r="B19" s="104">
        <v>0</v>
      </c>
      <c r="C19" s="104">
        <v>3</v>
      </c>
      <c r="D19" s="104">
        <v>14</v>
      </c>
      <c r="E19" s="104">
        <v>1</v>
      </c>
      <c r="F19" s="104">
        <v>8</v>
      </c>
      <c r="G19" s="104">
        <v>27</v>
      </c>
      <c r="H19" s="104">
        <v>19</v>
      </c>
      <c r="I19" s="104">
        <v>9</v>
      </c>
      <c r="J19" s="104">
        <v>10</v>
      </c>
      <c r="K19" s="104">
        <v>15</v>
      </c>
      <c r="L19" s="104">
        <v>15</v>
      </c>
      <c r="M19" s="104">
        <v>15</v>
      </c>
      <c r="N19" s="104">
        <v>23</v>
      </c>
      <c r="O19" s="104">
        <v>45</v>
      </c>
      <c r="P19" s="104">
        <v>62</v>
      </c>
      <c r="Q19" s="104">
        <v>7.1</v>
      </c>
      <c r="R19" s="104">
        <v>81.7</v>
      </c>
      <c r="S19" s="104">
        <v>107.8</v>
      </c>
      <c r="T19" s="104">
        <v>116.5</v>
      </c>
      <c r="U19" s="104">
        <v>197.8</v>
      </c>
      <c r="V19" s="104">
        <v>193.1</v>
      </c>
      <c r="W19" s="104">
        <v>115.9</v>
      </c>
      <c r="X19" s="104">
        <v>12.6</v>
      </c>
      <c r="Y19" s="104">
        <v>79.2</v>
      </c>
      <c r="Z19" s="104">
        <v>21.7</v>
      </c>
      <c r="AA19" s="104">
        <v>182.1</v>
      </c>
      <c r="AB19" s="104">
        <v>397.43809968000011</v>
      </c>
      <c r="AC19" s="104">
        <v>282.625</v>
      </c>
      <c r="AD19" s="104">
        <v>273.51942685714278</v>
      </c>
      <c r="AE19" s="104">
        <v>142.81399999999999</v>
      </c>
      <c r="AF19" s="104">
        <v>99.430963576774104</v>
      </c>
      <c r="AG19" s="104">
        <v>156.68200350000001</v>
      </c>
      <c r="AH19" s="104">
        <v>152.19999999999999</v>
      </c>
      <c r="AI19" s="104">
        <v>135.50800000000001</v>
      </c>
      <c r="AJ19" s="104">
        <v>122.74434447903229</v>
      </c>
      <c r="AK19" s="104">
        <v>195.79544710838707</v>
      </c>
      <c r="AL19" s="104">
        <v>76.641885441290313</v>
      </c>
      <c r="AM19" s="104">
        <v>9.6</v>
      </c>
      <c r="AN19" s="108">
        <v>2.9</v>
      </c>
      <c r="AO19" s="103" t="s">
        <v>246</v>
      </c>
    </row>
    <row r="20" spans="1:45" s="103" customFormat="1">
      <c r="A20" s="103" t="s">
        <v>227</v>
      </c>
      <c r="B20" s="104">
        <v>15</v>
      </c>
      <c r="C20" s="104">
        <v>6.1</v>
      </c>
      <c r="D20" s="104">
        <v>11.5</v>
      </c>
      <c r="E20" s="104">
        <v>14.2</v>
      </c>
      <c r="F20" s="104">
        <v>16</v>
      </c>
      <c r="G20" s="104">
        <v>19.899999999999999</v>
      </c>
      <c r="H20" s="104">
        <v>23.7</v>
      </c>
      <c r="I20" s="104">
        <v>29.7</v>
      </c>
      <c r="J20" s="104">
        <v>19</v>
      </c>
      <c r="K20" s="104">
        <v>23.6</v>
      </c>
      <c r="L20" s="104">
        <v>23.4</v>
      </c>
      <c r="M20" s="104">
        <v>24.3</v>
      </c>
      <c r="N20" s="104">
        <v>28.4</v>
      </c>
      <c r="O20" s="104">
        <v>30.5</v>
      </c>
      <c r="P20" s="104">
        <v>34.9</v>
      </c>
      <c r="Q20" s="104">
        <v>36.1</v>
      </c>
      <c r="R20" s="104">
        <v>35.4</v>
      </c>
      <c r="S20" s="104">
        <v>35.900000000000006</v>
      </c>
      <c r="T20" s="104">
        <v>36.380000000000003</v>
      </c>
      <c r="U20" s="104">
        <v>38.9</v>
      </c>
      <c r="V20" s="104">
        <v>37.6</v>
      </c>
      <c r="W20" s="104">
        <v>42.5</v>
      </c>
      <c r="X20" s="104">
        <v>50.910000000000004</v>
      </c>
      <c r="Y20" s="104">
        <v>52.555</v>
      </c>
      <c r="Z20" s="104">
        <v>57.199999999999996</v>
      </c>
      <c r="AA20" s="104">
        <v>57.92</v>
      </c>
      <c r="AB20" s="104">
        <v>60.650000000000006</v>
      </c>
      <c r="AC20" s="104">
        <v>60.265000000000001</v>
      </c>
      <c r="AD20" s="104">
        <v>62.222499999999997</v>
      </c>
      <c r="AE20" s="104">
        <v>64.27</v>
      </c>
      <c r="AF20" s="104">
        <v>69.700987359999999</v>
      </c>
      <c r="AG20" s="104">
        <v>74.265100779999997</v>
      </c>
      <c r="AH20" s="104">
        <v>73.010000000000005</v>
      </c>
      <c r="AI20" s="104">
        <v>78.5</v>
      </c>
      <c r="AJ20" s="104">
        <v>90.3</v>
      </c>
      <c r="AK20" s="104">
        <v>84.865485499999991</v>
      </c>
      <c r="AL20" s="104">
        <v>88.185348320000003</v>
      </c>
      <c r="AM20" s="104">
        <v>85.222800195000005</v>
      </c>
      <c r="AN20" s="108">
        <v>89.876589085000006</v>
      </c>
      <c r="AO20" s="103" t="s">
        <v>246</v>
      </c>
    </row>
    <row r="21" spans="1:45" s="103" customFormat="1">
      <c r="A21" s="103" t="s">
        <v>228</v>
      </c>
      <c r="B21" s="104">
        <v>2.2999999999999998</v>
      </c>
      <c r="C21" s="108">
        <v>2.2999999999999998</v>
      </c>
      <c r="D21" s="108">
        <v>4.5999999999999996</v>
      </c>
      <c r="E21" s="108">
        <v>9.1</v>
      </c>
      <c r="F21" s="108">
        <v>19.600000000000001</v>
      </c>
      <c r="G21" s="108">
        <v>15.9</v>
      </c>
      <c r="H21" s="108">
        <v>19.600000000000001</v>
      </c>
      <c r="I21" s="108">
        <v>22.2</v>
      </c>
      <c r="J21" s="108">
        <v>18.8</v>
      </c>
      <c r="K21" s="108">
        <v>23</v>
      </c>
      <c r="L21" s="108">
        <v>32.799999999999997</v>
      </c>
      <c r="M21" s="108">
        <v>33</v>
      </c>
      <c r="N21" s="108">
        <v>67</v>
      </c>
      <c r="O21" s="108">
        <v>49.6</v>
      </c>
      <c r="P21" s="108">
        <v>55.9</v>
      </c>
      <c r="Q21" s="108">
        <v>71.400000000000006</v>
      </c>
      <c r="R21" s="108">
        <v>68.5</v>
      </c>
      <c r="S21" s="108">
        <v>82.2</v>
      </c>
      <c r="T21" s="108">
        <v>104.9</v>
      </c>
      <c r="U21" s="108">
        <v>108.2</v>
      </c>
      <c r="V21" s="108">
        <v>108.2</v>
      </c>
      <c r="W21" s="108">
        <v>101.1</v>
      </c>
      <c r="X21" s="108">
        <v>137.1</v>
      </c>
      <c r="Y21" s="108">
        <v>140.69999999999999</v>
      </c>
      <c r="Z21" s="108">
        <v>137.9</v>
      </c>
      <c r="AA21" s="108">
        <v>135.80000000000001</v>
      </c>
      <c r="AB21" s="108">
        <v>137.9</v>
      </c>
      <c r="AC21" s="108">
        <v>139.482</v>
      </c>
      <c r="AD21" s="108">
        <v>148.89743393999996</v>
      </c>
      <c r="AE21" s="108">
        <v>177.85944282999998</v>
      </c>
      <c r="AF21" s="108">
        <v>199.58221303000002</v>
      </c>
      <c r="AG21" s="108">
        <v>221.05362423999992</v>
      </c>
      <c r="AH21" s="108">
        <v>248.93</v>
      </c>
      <c r="AI21" s="108">
        <v>239</v>
      </c>
      <c r="AJ21" s="108">
        <v>231.80148199999996</v>
      </c>
      <c r="AK21" s="108">
        <v>258.17721182999998</v>
      </c>
      <c r="AL21" s="108">
        <v>258.14218992999997</v>
      </c>
      <c r="AM21" s="108">
        <v>254.70420748999999</v>
      </c>
      <c r="AN21" s="108">
        <v>258.70465134000005</v>
      </c>
      <c r="AO21" s="103" t="s">
        <v>246</v>
      </c>
    </row>
    <row r="22" spans="1:45" s="103" customFormat="1">
      <c r="A22" s="103" t="s">
        <v>229</v>
      </c>
      <c r="B22" s="108">
        <v>24</v>
      </c>
      <c r="C22" s="108">
        <v>8.8000000000000007</v>
      </c>
      <c r="D22" s="108">
        <v>12.399999999999999</v>
      </c>
      <c r="E22" s="108">
        <v>15.899999999999999</v>
      </c>
      <c r="F22" s="108">
        <v>16.599999999999998</v>
      </c>
      <c r="G22" s="108">
        <v>19.7</v>
      </c>
      <c r="H22" s="108">
        <v>22.1</v>
      </c>
      <c r="I22" s="108">
        <v>28.5</v>
      </c>
      <c r="J22" s="108">
        <v>31</v>
      </c>
      <c r="K22" s="108">
        <v>31.9</v>
      </c>
      <c r="L22" s="108">
        <v>34.299999999999997</v>
      </c>
      <c r="M22" s="108">
        <v>38.199999999999996</v>
      </c>
      <c r="N22" s="108">
        <v>41.9</v>
      </c>
      <c r="O22" s="108">
        <v>53.6</v>
      </c>
      <c r="P22" s="108">
        <v>61.3</v>
      </c>
      <c r="Q22" s="108">
        <v>63.599999999999994</v>
      </c>
      <c r="R22" s="108">
        <v>73.100000000000009</v>
      </c>
      <c r="S22" s="108">
        <v>76.3</v>
      </c>
      <c r="T22" s="108">
        <v>74.099999999999994</v>
      </c>
      <c r="U22" s="108">
        <v>76.100000000000009</v>
      </c>
      <c r="V22" s="108">
        <v>76.3</v>
      </c>
      <c r="W22" s="108">
        <v>78.2</v>
      </c>
      <c r="X22" s="108">
        <v>78.2</v>
      </c>
      <c r="Y22" s="108">
        <v>80.5</v>
      </c>
      <c r="Z22" s="108">
        <v>85.399999999999991</v>
      </c>
      <c r="AA22" s="108">
        <v>89.7</v>
      </c>
      <c r="AB22" s="108">
        <v>87.5</v>
      </c>
      <c r="AC22" s="108">
        <v>112.91000000000001</v>
      </c>
      <c r="AD22" s="108">
        <v>116.20000000000002</v>
      </c>
      <c r="AE22" s="108">
        <v>120.00000000000001</v>
      </c>
      <c r="AF22" s="108">
        <v>123.51611021450958</v>
      </c>
      <c r="AG22" s="108">
        <v>127.17258184466625</v>
      </c>
      <c r="AH22" s="108">
        <v>131.5</v>
      </c>
      <c r="AI22" s="108">
        <v>143.4</v>
      </c>
      <c r="AJ22" s="108">
        <v>141.30000000000001</v>
      </c>
      <c r="AK22" s="108">
        <v>150.57877929307099</v>
      </c>
      <c r="AL22" s="108">
        <v>148.21698713480282</v>
      </c>
      <c r="AM22" s="108">
        <v>121.37748259878786</v>
      </c>
      <c r="AN22" s="108">
        <v>105.07309869729694</v>
      </c>
      <c r="AO22" s="103" t="s">
        <v>246</v>
      </c>
    </row>
    <row r="23" spans="1:45" s="103" customFormat="1">
      <c r="A23" s="103" t="s">
        <v>248</v>
      </c>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row>
    <row r="24" spans="1:45" s="103" customFormat="1">
      <c r="A24" s="172" t="s">
        <v>249</v>
      </c>
      <c r="B24" s="104">
        <v>30</v>
      </c>
      <c r="C24" s="104">
        <v>17.899999999999999</v>
      </c>
      <c r="D24" s="104">
        <v>61.7</v>
      </c>
      <c r="E24" s="104">
        <v>55.1</v>
      </c>
      <c r="F24" s="104">
        <v>9</v>
      </c>
      <c r="G24" s="104">
        <v>56.599999999999994</v>
      </c>
      <c r="H24" s="104">
        <v>17.100000000000001</v>
      </c>
      <c r="I24" s="104">
        <v>83.3</v>
      </c>
      <c r="J24" s="104">
        <v>15.3</v>
      </c>
      <c r="K24" s="104">
        <v>13.600000000000001</v>
      </c>
      <c r="L24" s="104">
        <v>20.7</v>
      </c>
      <c r="M24" s="104">
        <v>21.7</v>
      </c>
      <c r="N24" s="104">
        <v>12.1</v>
      </c>
      <c r="O24" s="104">
        <v>103.1</v>
      </c>
      <c r="P24" s="104">
        <v>59.9</v>
      </c>
      <c r="Q24" s="104">
        <v>71.8</v>
      </c>
      <c r="R24" s="104">
        <v>71.099999999999994</v>
      </c>
      <c r="S24" s="104">
        <v>-14.5</v>
      </c>
      <c r="T24" s="104">
        <v>22</v>
      </c>
      <c r="U24" s="104">
        <v>28.799999999999997</v>
      </c>
      <c r="V24" s="104">
        <v>60.9</v>
      </c>
      <c r="W24" s="104">
        <v>22.7</v>
      </c>
      <c r="X24" s="104">
        <v>14.9</v>
      </c>
      <c r="Y24" s="104">
        <v>80</v>
      </c>
      <c r="Z24" s="104">
        <v>84.4</v>
      </c>
      <c r="AA24" s="104">
        <v>66</v>
      </c>
      <c r="AB24" s="104">
        <v>396.3</v>
      </c>
      <c r="AC24" s="104">
        <v>96.605999999999995</v>
      </c>
      <c r="AD24" s="104">
        <v>64.171313069999997</v>
      </c>
      <c r="AE24" s="104">
        <v>163.71146123</v>
      </c>
      <c r="AF24" s="104">
        <v>97.616092509999987</v>
      </c>
      <c r="AG24" s="104">
        <v>193.93786518999997</v>
      </c>
      <c r="AH24" s="104">
        <v>172.330297</v>
      </c>
      <c r="AI24" s="104">
        <v>155.69</v>
      </c>
      <c r="AJ24" s="104">
        <v>139.15334831999999</v>
      </c>
      <c r="AK24" s="104">
        <v>104.12590900000001</v>
      </c>
      <c r="AL24" s="104">
        <v>51.372593500000008</v>
      </c>
      <c r="AM24" s="104">
        <v>65.633908539999993</v>
      </c>
      <c r="AN24" s="104">
        <v>83.216698000000008</v>
      </c>
    </row>
    <row r="25" spans="1:45" s="103" customFormat="1">
      <c r="A25" s="103" t="s">
        <v>250</v>
      </c>
      <c r="B25" s="108">
        <v>0</v>
      </c>
      <c r="C25" s="108">
        <v>0</v>
      </c>
      <c r="D25" s="108">
        <v>0</v>
      </c>
      <c r="E25" s="108">
        <v>0</v>
      </c>
      <c r="F25" s="108">
        <v>0</v>
      </c>
      <c r="G25" s="108">
        <v>0</v>
      </c>
      <c r="H25" s="108">
        <v>0</v>
      </c>
      <c r="I25" s="108">
        <v>0</v>
      </c>
      <c r="J25" s="108">
        <v>0</v>
      </c>
      <c r="K25" s="108">
        <v>0</v>
      </c>
      <c r="L25" s="108">
        <v>0</v>
      </c>
      <c r="M25" s="108">
        <v>0</v>
      </c>
      <c r="N25" s="108">
        <v>0</v>
      </c>
      <c r="O25" s="108">
        <v>0</v>
      </c>
      <c r="P25" s="108">
        <v>0</v>
      </c>
      <c r="Q25" s="108">
        <v>-45.2</v>
      </c>
      <c r="R25" s="108">
        <v>-25.5</v>
      </c>
      <c r="S25" s="108">
        <v>-29.7</v>
      </c>
      <c r="T25" s="108">
        <v>-35.700000000000003</v>
      </c>
      <c r="U25" s="108">
        <v>-46</v>
      </c>
      <c r="V25" s="108">
        <v>-50.4</v>
      </c>
      <c r="W25" s="108">
        <v>-583.1</v>
      </c>
      <c r="X25" s="108">
        <v>-66.400000000000006</v>
      </c>
      <c r="Y25" s="108">
        <v>-152.30000000000001</v>
      </c>
      <c r="Z25" s="108">
        <v>-77</v>
      </c>
      <c r="AA25" s="108">
        <v>-57.7</v>
      </c>
      <c r="AB25" s="108">
        <v>-76.352833301624401</v>
      </c>
      <c r="AC25" s="108">
        <v>-66.099999999999994</v>
      </c>
      <c r="AD25" s="108">
        <v>-100.50973003828143</v>
      </c>
      <c r="AE25" s="108">
        <v>-99.498658511615204</v>
      </c>
      <c r="AF25" s="108">
        <v>-122.842830841389</v>
      </c>
      <c r="AG25" s="108">
        <v>-85.34922832657</v>
      </c>
      <c r="AH25" s="108">
        <v>-76.981896231000007</v>
      </c>
      <c r="AI25" s="108">
        <v>-84.094192000000007</v>
      </c>
      <c r="AJ25" s="108">
        <v>-103.85257379362</v>
      </c>
      <c r="AK25" s="108">
        <v>-77.718258299588697</v>
      </c>
      <c r="AL25" s="108">
        <v>-72.627647443790963</v>
      </c>
      <c r="AM25" s="108">
        <v>-53.72833313836</v>
      </c>
      <c r="AN25" s="108">
        <v>-70.099999999999994</v>
      </c>
    </row>
    <row r="26" spans="1:45" s="103" customFormat="1">
      <c r="AJ26" s="107"/>
      <c r="AK26" s="107"/>
    </row>
    <row r="27" spans="1:45">
      <c r="AG27" s="149" t="s">
        <v>231</v>
      </c>
    </row>
    <row r="28" spans="1:45">
      <c r="AG28" s="105" t="str">
        <f>"Total: "&amp;TEXT(AN11,"$#,0.0,")&amp;" billion does not reflect $"&amp;TEXT(AN14,"#0.00,")&amp;" billion in obligations to capital projects or $"&amp;TEXT(ABS(AN15),"#0.00,")&amp;" billion in credits"</f>
        <v>Total: $16.8 billion does not reflect $2.87 billion in obligations to capital projects or $2.26 billion in credits</v>
      </c>
      <c r="AS28" s="105" t="s">
        <v>230</v>
      </c>
    </row>
    <row r="29" spans="1:45">
      <c r="C29" s="104"/>
    </row>
    <row r="30" spans="1:45">
      <c r="C30" s="104"/>
    </row>
    <row r="31" spans="1:45">
      <c r="C31" s="104"/>
    </row>
    <row r="32" spans="1:45">
      <c r="C32" s="104"/>
    </row>
    <row r="33" spans="3:43">
      <c r="C33" s="104"/>
    </row>
    <row r="34" spans="3:43" ht="14.4">
      <c r="C34" s="104"/>
      <c r="AQ34" s="155" t="s">
        <v>234</v>
      </c>
    </row>
    <row r="35" spans="3:43" ht="14.4">
      <c r="C35" s="104"/>
      <c r="AQ35" s="155" t="s">
        <v>232</v>
      </c>
    </row>
    <row r="36" spans="3:43" ht="14.4">
      <c r="C36" s="197"/>
      <c r="AQ36" s="155" t="s">
        <v>233</v>
      </c>
    </row>
    <row r="54" spans="33:33" ht="14.4">
      <c r="AG54" s="156" t="s">
        <v>224</v>
      </c>
    </row>
  </sheetData>
  <pageMargins left="0.75" right="0.75" top="1" bottom="1" header="0.5" footer="0.5"/>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12FF2-5CB5-4C50-B12B-0FAA12DF915E}">
  <sheetPr>
    <pageSetUpPr fitToPage="1"/>
  </sheetPr>
  <dimension ref="A1:IT88"/>
  <sheetViews>
    <sheetView topLeftCell="A22" workbookViewId="0">
      <selection sqref="A1:Z1"/>
    </sheetView>
  </sheetViews>
  <sheetFormatPr defaultColWidth="8.88671875" defaultRowHeight="18.600000000000001"/>
  <cols>
    <col min="1" max="1" width="90.44140625" style="265" customWidth="1"/>
    <col min="2" max="22" width="11.5546875" style="265" customWidth="1"/>
    <col min="23" max="23" width="13.5546875" style="265" customWidth="1"/>
    <col min="24" max="24" width="11.5546875" style="265" customWidth="1"/>
    <col min="25" max="25" width="12.109375" style="265" customWidth="1"/>
    <col min="26" max="28" width="11.5546875" style="265" customWidth="1"/>
    <col min="29" max="29" width="12.33203125" style="261" customWidth="1"/>
    <col min="30" max="30" width="13.33203125" style="262" customWidth="1"/>
    <col min="31" max="31" width="16.5546875" style="263" customWidth="1"/>
    <col min="32" max="32" width="17.44140625" style="263" customWidth="1"/>
    <col min="33" max="33" width="14.6640625" style="263" customWidth="1"/>
    <col min="34" max="43" width="14.5546875" style="263" customWidth="1"/>
    <col min="44" max="257" width="8.88671875" style="263"/>
    <col min="258" max="258" width="90.44140625" style="263" customWidth="1"/>
    <col min="259" max="279" width="11.5546875" style="263" customWidth="1"/>
    <col min="280" max="280" width="13.5546875" style="263" customWidth="1"/>
    <col min="281" max="281" width="11.5546875" style="263" customWidth="1"/>
    <col min="282" max="282" width="12.109375" style="263" customWidth="1"/>
    <col min="283" max="285" width="11.5546875" style="263" customWidth="1"/>
    <col min="286" max="286" width="12.33203125" style="263" customWidth="1"/>
    <col min="287" max="287" width="13.33203125" style="263" customWidth="1"/>
    <col min="288" max="288" width="16.5546875" style="263" customWidth="1"/>
    <col min="289" max="289" width="17.44140625" style="263" customWidth="1"/>
    <col min="290" max="290" width="14.6640625" style="263" customWidth="1"/>
    <col min="291" max="293" width="14.5546875" style="263" customWidth="1"/>
    <col min="294" max="294" width="20" style="263" bestFit="1" customWidth="1"/>
    <col min="295" max="295" width="20.88671875" style="263" customWidth="1"/>
    <col min="296" max="296" width="99" style="263" bestFit="1" customWidth="1"/>
    <col min="297" max="297" width="25.88671875" style="263" bestFit="1" customWidth="1"/>
    <col min="298" max="513" width="8.88671875" style="263"/>
    <col min="514" max="514" width="90.44140625" style="263" customWidth="1"/>
    <col min="515" max="535" width="11.5546875" style="263" customWidth="1"/>
    <col min="536" max="536" width="13.5546875" style="263" customWidth="1"/>
    <col min="537" max="537" width="11.5546875" style="263" customWidth="1"/>
    <col min="538" max="538" width="12.109375" style="263" customWidth="1"/>
    <col min="539" max="541" width="11.5546875" style="263" customWidth="1"/>
    <col min="542" max="542" width="12.33203125" style="263" customWidth="1"/>
    <col min="543" max="543" width="13.33203125" style="263" customWidth="1"/>
    <col min="544" max="544" width="16.5546875" style="263" customWidth="1"/>
    <col min="545" max="545" width="17.44140625" style="263" customWidth="1"/>
    <col min="546" max="546" width="14.6640625" style="263" customWidth="1"/>
    <col min="547" max="549" width="14.5546875" style="263" customWidth="1"/>
    <col min="550" max="550" width="20" style="263" bestFit="1" customWidth="1"/>
    <col min="551" max="551" width="20.88671875" style="263" customWidth="1"/>
    <col min="552" max="552" width="99" style="263" bestFit="1" customWidth="1"/>
    <col min="553" max="553" width="25.88671875" style="263" bestFit="1" customWidth="1"/>
    <col min="554" max="769" width="8.88671875" style="263"/>
    <col min="770" max="770" width="90.44140625" style="263" customWidth="1"/>
    <col min="771" max="791" width="11.5546875" style="263" customWidth="1"/>
    <col min="792" max="792" width="13.5546875" style="263" customWidth="1"/>
    <col min="793" max="793" width="11.5546875" style="263" customWidth="1"/>
    <col min="794" max="794" width="12.109375" style="263" customWidth="1"/>
    <col min="795" max="797" width="11.5546875" style="263" customWidth="1"/>
    <col min="798" max="798" width="12.33203125" style="263" customWidth="1"/>
    <col min="799" max="799" width="13.33203125" style="263" customWidth="1"/>
    <col min="800" max="800" width="16.5546875" style="263" customWidth="1"/>
    <col min="801" max="801" width="17.44140625" style="263" customWidth="1"/>
    <col min="802" max="802" width="14.6640625" style="263" customWidth="1"/>
    <col min="803" max="805" width="14.5546875" style="263" customWidth="1"/>
    <col min="806" max="806" width="20" style="263" bestFit="1" customWidth="1"/>
    <col min="807" max="807" width="20.88671875" style="263" customWidth="1"/>
    <col min="808" max="808" width="99" style="263" bestFit="1" customWidth="1"/>
    <col min="809" max="809" width="25.88671875" style="263" bestFit="1" customWidth="1"/>
    <col min="810" max="1025" width="8.88671875" style="263"/>
    <col min="1026" max="1026" width="90.44140625" style="263" customWidth="1"/>
    <col min="1027" max="1047" width="11.5546875" style="263" customWidth="1"/>
    <col min="1048" max="1048" width="13.5546875" style="263" customWidth="1"/>
    <col min="1049" max="1049" width="11.5546875" style="263" customWidth="1"/>
    <col min="1050" max="1050" width="12.109375" style="263" customWidth="1"/>
    <col min="1051" max="1053" width="11.5546875" style="263" customWidth="1"/>
    <col min="1054" max="1054" width="12.33203125" style="263" customWidth="1"/>
    <col min="1055" max="1055" width="13.33203125" style="263" customWidth="1"/>
    <col min="1056" max="1056" width="16.5546875" style="263" customWidth="1"/>
    <col min="1057" max="1057" width="17.44140625" style="263" customWidth="1"/>
    <col min="1058" max="1058" width="14.6640625" style="263" customWidth="1"/>
    <col min="1059" max="1061" width="14.5546875" style="263" customWidth="1"/>
    <col min="1062" max="1062" width="20" style="263" bestFit="1" customWidth="1"/>
    <col min="1063" max="1063" width="20.88671875" style="263" customWidth="1"/>
    <col min="1064" max="1064" width="99" style="263" bestFit="1" customWidth="1"/>
    <col min="1065" max="1065" width="25.88671875" style="263" bestFit="1" customWidth="1"/>
    <col min="1066" max="1281" width="8.88671875" style="263"/>
    <col min="1282" max="1282" width="90.44140625" style="263" customWidth="1"/>
    <col min="1283" max="1303" width="11.5546875" style="263" customWidth="1"/>
    <col min="1304" max="1304" width="13.5546875" style="263" customWidth="1"/>
    <col min="1305" max="1305" width="11.5546875" style="263" customWidth="1"/>
    <col min="1306" max="1306" width="12.109375" style="263" customWidth="1"/>
    <col min="1307" max="1309" width="11.5546875" style="263" customWidth="1"/>
    <col min="1310" max="1310" width="12.33203125" style="263" customWidth="1"/>
    <col min="1311" max="1311" width="13.33203125" style="263" customWidth="1"/>
    <col min="1312" max="1312" width="16.5546875" style="263" customWidth="1"/>
    <col min="1313" max="1313" width="17.44140625" style="263" customWidth="1"/>
    <col min="1314" max="1314" width="14.6640625" style="263" customWidth="1"/>
    <col min="1315" max="1317" width="14.5546875" style="263" customWidth="1"/>
    <col min="1318" max="1318" width="20" style="263" bestFit="1" customWidth="1"/>
    <col min="1319" max="1319" width="20.88671875" style="263" customWidth="1"/>
    <col min="1320" max="1320" width="99" style="263" bestFit="1" customWidth="1"/>
    <col min="1321" max="1321" width="25.88671875" style="263" bestFit="1" customWidth="1"/>
    <col min="1322" max="1537" width="8.88671875" style="263"/>
    <col min="1538" max="1538" width="90.44140625" style="263" customWidth="1"/>
    <col min="1539" max="1559" width="11.5546875" style="263" customWidth="1"/>
    <col min="1560" max="1560" width="13.5546875" style="263" customWidth="1"/>
    <col min="1561" max="1561" width="11.5546875" style="263" customWidth="1"/>
    <col min="1562" max="1562" width="12.109375" style="263" customWidth="1"/>
    <col min="1563" max="1565" width="11.5546875" style="263" customWidth="1"/>
    <col min="1566" max="1566" width="12.33203125" style="263" customWidth="1"/>
    <col min="1567" max="1567" width="13.33203125" style="263" customWidth="1"/>
    <col min="1568" max="1568" width="16.5546875" style="263" customWidth="1"/>
    <col min="1569" max="1569" width="17.44140625" style="263" customWidth="1"/>
    <col min="1570" max="1570" width="14.6640625" style="263" customWidth="1"/>
    <col min="1571" max="1573" width="14.5546875" style="263" customWidth="1"/>
    <col min="1574" max="1574" width="20" style="263" bestFit="1" customWidth="1"/>
    <col min="1575" max="1575" width="20.88671875" style="263" customWidth="1"/>
    <col min="1576" max="1576" width="99" style="263" bestFit="1" customWidth="1"/>
    <col min="1577" max="1577" width="25.88671875" style="263" bestFit="1" customWidth="1"/>
    <col min="1578" max="1793" width="8.88671875" style="263"/>
    <col min="1794" max="1794" width="90.44140625" style="263" customWidth="1"/>
    <col min="1795" max="1815" width="11.5546875" style="263" customWidth="1"/>
    <col min="1816" max="1816" width="13.5546875" style="263" customWidth="1"/>
    <col min="1817" max="1817" width="11.5546875" style="263" customWidth="1"/>
    <col min="1818" max="1818" width="12.109375" style="263" customWidth="1"/>
    <col min="1819" max="1821" width="11.5546875" style="263" customWidth="1"/>
    <col min="1822" max="1822" width="12.33203125" style="263" customWidth="1"/>
    <col min="1823" max="1823" width="13.33203125" style="263" customWidth="1"/>
    <col min="1824" max="1824" width="16.5546875" style="263" customWidth="1"/>
    <col min="1825" max="1825" width="17.44140625" style="263" customWidth="1"/>
    <col min="1826" max="1826" width="14.6640625" style="263" customWidth="1"/>
    <col min="1827" max="1829" width="14.5546875" style="263" customWidth="1"/>
    <col min="1830" max="1830" width="20" style="263" bestFit="1" customWidth="1"/>
    <col min="1831" max="1831" width="20.88671875" style="263" customWidth="1"/>
    <col min="1832" max="1832" width="99" style="263" bestFit="1" customWidth="1"/>
    <col min="1833" max="1833" width="25.88671875" style="263" bestFit="1" customWidth="1"/>
    <col min="1834" max="2049" width="8.88671875" style="263"/>
    <col min="2050" max="2050" width="90.44140625" style="263" customWidth="1"/>
    <col min="2051" max="2071" width="11.5546875" style="263" customWidth="1"/>
    <col min="2072" max="2072" width="13.5546875" style="263" customWidth="1"/>
    <col min="2073" max="2073" width="11.5546875" style="263" customWidth="1"/>
    <col min="2074" max="2074" width="12.109375" style="263" customWidth="1"/>
    <col min="2075" max="2077" width="11.5546875" style="263" customWidth="1"/>
    <col min="2078" max="2078" width="12.33203125" style="263" customWidth="1"/>
    <col min="2079" max="2079" width="13.33203125" style="263" customWidth="1"/>
    <col min="2080" max="2080" width="16.5546875" style="263" customWidth="1"/>
    <col min="2081" max="2081" width="17.44140625" style="263" customWidth="1"/>
    <col min="2082" max="2082" width="14.6640625" style="263" customWidth="1"/>
    <col min="2083" max="2085" width="14.5546875" style="263" customWidth="1"/>
    <col min="2086" max="2086" width="20" style="263" bestFit="1" customWidth="1"/>
    <col min="2087" max="2087" width="20.88671875" style="263" customWidth="1"/>
    <col min="2088" max="2088" width="99" style="263" bestFit="1" customWidth="1"/>
    <col min="2089" max="2089" width="25.88671875" style="263" bestFit="1" customWidth="1"/>
    <col min="2090" max="2305" width="8.88671875" style="263"/>
    <col min="2306" max="2306" width="90.44140625" style="263" customWidth="1"/>
    <col min="2307" max="2327" width="11.5546875" style="263" customWidth="1"/>
    <col min="2328" max="2328" width="13.5546875" style="263" customWidth="1"/>
    <col min="2329" max="2329" width="11.5546875" style="263" customWidth="1"/>
    <col min="2330" max="2330" width="12.109375" style="263" customWidth="1"/>
    <col min="2331" max="2333" width="11.5546875" style="263" customWidth="1"/>
    <col min="2334" max="2334" width="12.33203125" style="263" customWidth="1"/>
    <col min="2335" max="2335" width="13.33203125" style="263" customWidth="1"/>
    <col min="2336" max="2336" width="16.5546875" style="263" customWidth="1"/>
    <col min="2337" max="2337" width="17.44140625" style="263" customWidth="1"/>
    <col min="2338" max="2338" width="14.6640625" style="263" customWidth="1"/>
    <col min="2339" max="2341" width="14.5546875" style="263" customWidth="1"/>
    <col min="2342" max="2342" width="20" style="263" bestFit="1" customWidth="1"/>
    <col min="2343" max="2343" width="20.88671875" style="263" customWidth="1"/>
    <col min="2344" max="2344" width="99" style="263" bestFit="1" customWidth="1"/>
    <col min="2345" max="2345" width="25.88671875" style="263" bestFit="1" customWidth="1"/>
    <col min="2346" max="2561" width="8.88671875" style="263"/>
    <col min="2562" max="2562" width="90.44140625" style="263" customWidth="1"/>
    <col min="2563" max="2583" width="11.5546875" style="263" customWidth="1"/>
    <col min="2584" max="2584" width="13.5546875" style="263" customWidth="1"/>
    <col min="2585" max="2585" width="11.5546875" style="263" customWidth="1"/>
    <col min="2586" max="2586" width="12.109375" style="263" customWidth="1"/>
    <col min="2587" max="2589" width="11.5546875" style="263" customWidth="1"/>
    <col min="2590" max="2590" width="12.33203125" style="263" customWidth="1"/>
    <col min="2591" max="2591" width="13.33203125" style="263" customWidth="1"/>
    <col min="2592" max="2592" width="16.5546875" style="263" customWidth="1"/>
    <col min="2593" max="2593" width="17.44140625" style="263" customWidth="1"/>
    <col min="2594" max="2594" width="14.6640625" style="263" customWidth="1"/>
    <col min="2595" max="2597" width="14.5546875" style="263" customWidth="1"/>
    <col min="2598" max="2598" width="20" style="263" bestFit="1" customWidth="1"/>
    <col min="2599" max="2599" width="20.88671875" style="263" customWidth="1"/>
    <col min="2600" max="2600" width="99" style="263" bestFit="1" customWidth="1"/>
    <col min="2601" max="2601" width="25.88671875" style="263" bestFit="1" customWidth="1"/>
    <col min="2602" max="2817" width="8.88671875" style="263"/>
    <col min="2818" max="2818" width="90.44140625" style="263" customWidth="1"/>
    <col min="2819" max="2839" width="11.5546875" style="263" customWidth="1"/>
    <col min="2840" max="2840" width="13.5546875" style="263" customWidth="1"/>
    <col min="2841" max="2841" width="11.5546875" style="263" customWidth="1"/>
    <col min="2842" max="2842" width="12.109375" style="263" customWidth="1"/>
    <col min="2843" max="2845" width="11.5546875" style="263" customWidth="1"/>
    <col min="2846" max="2846" width="12.33203125" style="263" customWidth="1"/>
    <col min="2847" max="2847" width="13.33203125" style="263" customWidth="1"/>
    <col min="2848" max="2848" width="16.5546875" style="263" customWidth="1"/>
    <col min="2849" max="2849" width="17.44140625" style="263" customWidth="1"/>
    <col min="2850" max="2850" width="14.6640625" style="263" customWidth="1"/>
    <col min="2851" max="2853" width="14.5546875" style="263" customWidth="1"/>
    <col min="2854" max="2854" width="20" style="263" bestFit="1" customWidth="1"/>
    <col min="2855" max="2855" width="20.88671875" style="263" customWidth="1"/>
    <col min="2856" max="2856" width="99" style="263" bestFit="1" customWidth="1"/>
    <col min="2857" max="2857" width="25.88671875" style="263" bestFit="1" customWidth="1"/>
    <col min="2858" max="3073" width="8.88671875" style="263"/>
    <col min="3074" max="3074" width="90.44140625" style="263" customWidth="1"/>
    <col min="3075" max="3095" width="11.5546875" style="263" customWidth="1"/>
    <col min="3096" max="3096" width="13.5546875" style="263" customWidth="1"/>
    <col min="3097" max="3097" width="11.5546875" style="263" customWidth="1"/>
    <col min="3098" max="3098" width="12.109375" style="263" customWidth="1"/>
    <col min="3099" max="3101" width="11.5546875" style="263" customWidth="1"/>
    <col min="3102" max="3102" width="12.33203125" style="263" customWidth="1"/>
    <col min="3103" max="3103" width="13.33203125" style="263" customWidth="1"/>
    <col min="3104" max="3104" width="16.5546875" style="263" customWidth="1"/>
    <col min="3105" max="3105" width="17.44140625" style="263" customWidth="1"/>
    <col min="3106" max="3106" width="14.6640625" style="263" customWidth="1"/>
    <col min="3107" max="3109" width="14.5546875" style="263" customWidth="1"/>
    <col min="3110" max="3110" width="20" style="263" bestFit="1" customWidth="1"/>
    <col min="3111" max="3111" width="20.88671875" style="263" customWidth="1"/>
    <col min="3112" max="3112" width="99" style="263" bestFit="1" customWidth="1"/>
    <col min="3113" max="3113" width="25.88671875" style="263" bestFit="1" customWidth="1"/>
    <col min="3114" max="3329" width="8.88671875" style="263"/>
    <col min="3330" max="3330" width="90.44140625" style="263" customWidth="1"/>
    <col min="3331" max="3351" width="11.5546875" style="263" customWidth="1"/>
    <col min="3352" max="3352" width="13.5546875" style="263" customWidth="1"/>
    <col min="3353" max="3353" width="11.5546875" style="263" customWidth="1"/>
    <col min="3354" max="3354" width="12.109375" style="263" customWidth="1"/>
    <col min="3355" max="3357" width="11.5546875" style="263" customWidth="1"/>
    <col min="3358" max="3358" width="12.33203125" style="263" customWidth="1"/>
    <col min="3359" max="3359" width="13.33203125" style="263" customWidth="1"/>
    <col min="3360" max="3360" width="16.5546875" style="263" customWidth="1"/>
    <col min="3361" max="3361" width="17.44140625" style="263" customWidth="1"/>
    <col min="3362" max="3362" width="14.6640625" style="263" customWidth="1"/>
    <col min="3363" max="3365" width="14.5546875" style="263" customWidth="1"/>
    <col min="3366" max="3366" width="20" style="263" bestFit="1" customWidth="1"/>
    <col min="3367" max="3367" width="20.88671875" style="263" customWidth="1"/>
    <col min="3368" max="3368" width="99" style="263" bestFit="1" customWidth="1"/>
    <col min="3369" max="3369" width="25.88671875" style="263" bestFit="1" customWidth="1"/>
    <col min="3370" max="3585" width="8.88671875" style="263"/>
    <col min="3586" max="3586" width="90.44140625" style="263" customWidth="1"/>
    <col min="3587" max="3607" width="11.5546875" style="263" customWidth="1"/>
    <col min="3608" max="3608" width="13.5546875" style="263" customWidth="1"/>
    <col min="3609" max="3609" width="11.5546875" style="263" customWidth="1"/>
    <col min="3610" max="3610" width="12.109375" style="263" customWidth="1"/>
    <col min="3611" max="3613" width="11.5546875" style="263" customWidth="1"/>
    <col min="3614" max="3614" width="12.33203125" style="263" customWidth="1"/>
    <col min="3615" max="3615" width="13.33203125" style="263" customWidth="1"/>
    <col min="3616" max="3616" width="16.5546875" style="263" customWidth="1"/>
    <col min="3617" max="3617" width="17.44140625" style="263" customWidth="1"/>
    <col min="3618" max="3618" width="14.6640625" style="263" customWidth="1"/>
    <col min="3619" max="3621" width="14.5546875" style="263" customWidth="1"/>
    <col min="3622" max="3622" width="20" style="263" bestFit="1" customWidth="1"/>
    <col min="3623" max="3623" width="20.88671875" style="263" customWidth="1"/>
    <col min="3624" max="3624" width="99" style="263" bestFit="1" customWidth="1"/>
    <col min="3625" max="3625" width="25.88671875" style="263" bestFit="1" customWidth="1"/>
    <col min="3626" max="3841" width="8.88671875" style="263"/>
    <col min="3842" max="3842" width="90.44140625" style="263" customWidth="1"/>
    <col min="3843" max="3863" width="11.5546875" style="263" customWidth="1"/>
    <col min="3864" max="3864" width="13.5546875" style="263" customWidth="1"/>
    <col min="3865" max="3865" width="11.5546875" style="263" customWidth="1"/>
    <col min="3866" max="3866" width="12.109375" style="263" customWidth="1"/>
    <col min="3867" max="3869" width="11.5546875" style="263" customWidth="1"/>
    <col min="3870" max="3870" width="12.33203125" style="263" customWidth="1"/>
    <col min="3871" max="3871" width="13.33203125" style="263" customWidth="1"/>
    <col min="3872" max="3872" width="16.5546875" style="263" customWidth="1"/>
    <col min="3873" max="3873" width="17.44140625" style="263" customWidth="1"/>
    <col min="3874" max="3874" width="14.6640625" style="263" customWidth="1"/>
    <col min="3875" max="3877" width="14.5546875" style="263" customWidth="1"/>
    <col min="3878" max="3878" width="20" style="263" bestFit="1" customWidth="1"/>
    <col min="3879" max="3879" width="20.88671875" style="263" customWidth="1"/>
    <col min="3880" max="3880" width="99" style="263" bestFit="1" customWidth="1"/>
    <col min="3881" max="3881" width="25.88671875" style="263" bestFit="1" customWidth="1"/>
    <col min="3882" max="4097" width="8.88671875" style="263"/>
    <col min="4098" max="4098" width="90.44140625" style="263" customWidth="1"/>
    <col min="4099" max="4119" width="11.5546875" style="263" customWidth="1"/>
    <col min="4120" max="4120" width="13.5546875" style="263" customWidth="1"/>
    <col min="4121" max="4121" width="11.5546875" style="263" customWidth="1"/>
    <col min="4122" max="4122" width="12.109375" style="263" customWidth="1"/>
    <col min="4123" max="4125" width="11.5546875" style="263" customWidth="1"/>
    <col min="4126" max="4126" width="12.33203125" style="263" customWidth="1"/>
    <col min="4127" max="4127" width="13.33203125" style="263" customWidth="1"/>
    <col min="4128" max="4128" width="16.5546875" style="263" customWidth="1"/>
    <col min="4129" max="4129" width="17.44140625" style="263" customWidth="1"/>
    <col min="4130" max="4130" width="14.6640625" style="263" customWidth="1"/>
    <col min="4131" max="4133" width="14.5546875" style="263" customWidth="1"/>
    <col min="4134" max="4134" width="20" style="263" bestFit="1" customWidth="1"/>
    <col min="4135" max="4135" width="20.88671875" style="263" customWidth="1"/>
    <col min="4136" max="4136" width="99" style="263" bestFit="1" customWidth="1"/>
    <col min="4137" max="4137" width="25.88671875" style="263" bestFit="1" customWidth="1"/>
    <col min="4138" max="4353" width="8.88671875" style="263"/>
    <col min="4354" max="4354" width="90.44140625" style="263" customWidth="1"/>
    <col min="4355" max="4375" width="11.5546875" style="263" customWidth="1"/>
    <col min="4376" max="4376" width="13.5546875" style="263" customWidth="1"/>
    <col min="4377" max="4377" width="11.5546875" style="263" customWidth="1"/>
    <col min="4378" max="4378" width="12.109375" style="263" customWidth="1"/>
    <col min="4379" max="4381" width="11.5546875" style="263" customWidth="1"/>
    <col min="4382" max="4382" width="12.33203125" style="263" customWidth="1"/>
    <col min="4383" max="4383" width="13.33203125" style="263" customWidth="1"/>
    <col min="4384" max="4384" width="16.5546875" style="263" customWidth="1"/>
    <col min="4385" max="4385" width="17.44140625" style="263" customWidth="1"/>
    <col min="4386" max="4386" width="14.6640625" style="263" customWidth="1"/>
    <col min="4387" max="4389" width="14.5546875" style="263" customWidth="1"/>
    <col min="4390" max="4390" width="20" style="263" bestFit="1" customWidth="1"/>
    <col min="4391" max="4391" width="20.88671875" style="263" customWidth="1"/>
    <col min="4392" max="4392" width="99" style="263" bestFit="1" customWidth="1"/>
    <col min="4393" max="4393" width="25.88671875" style="263" bestFit="1" customWidth="1"/>
    <col min="4394" max="4609" width="8.88671875" style="263"/>
    <col min="4610" max="4610" width="90.44140625" style="263" customWidth="1"/>
    <col min="4611" max="4631" width="11.5546875" style="263" customWidth="1"/>
    <col min="4632" max="4632" width="13.5546875" style="263" customWidth="1"/>
    <col min="4633" max="4633" width="11.5546875" style="263" customWidth="1"/>
    <col min="4634" max="4634" width="12.109375" style="263" customWidth="1"/>
    <col min="4635" max="4637" width="11.5546875" style="263" customWidth="1"/>
    <col min="4638" max="4638" width="12.33203125" style="263" customWidth="1"/>
    <col min="4639" max="4639" width="13.33203125" style="263" customWidth="1"/>
    <col min="4640" max="4640" width="16.5546875" style="263" customWidth="1"/>
    <col min="4641" max="4641" width="17.44140625" style="263" customWidth="1"/>
    <col min="4642" max="4642" width="14.6640625" style="263" customWidth="1"/>
    <col min="4643" max="4645" width="14.5546875" style="263" customWidth="1"/>
    <col min="4646" max="4646" width="20" style="263" bestFit="1" customWidth="1"/>
    <col min="4647" max="4647" width="20.88671875" style="263" customWidth="1"/>
    <col min="4648" max="4648" width="99" style="263" bestFit="1" customWidth="1"/>
    <col min="4649" max="4649" width="25.88671875" style="263" bestFit="1" customWidth="1"/>
    <col min="4650" max="4865" width="8.88671875" style="263"/>
    <col min="4866" max="4866" width="90.44140625" style="263" customWidth="1"/>
    <col min="4867" max="4887" width="11.5546875" style="263" customWidth="1"/>
    <col min="4888" max="4888" width="13.5546875" style="263" customWidth="1"/>
    <col min="4889" max="4889" width="11.5546875" style="263" customWidth="1"/>
    <col min="4890" max="4890" width="12.109375" style="263" customWidth="1"/>
    <col min="4891" max="4893" width="11.5546875" style="263" customWidth="1"/>
    <col min="4894" max="4894" width="12.33203125" style="263" customWidth="1"/>
    <col min="4895" max="4895" width="13.33203125" style="263" customWidth="1"/>
    <col min="4896" max="4896" width="16.5546875" style="263" customWidth="1"/>
    <col min="4897" max="4897" width="17.44140625" style="263" customWidth="1"/>
    <col min="4898" max="4898" width="14.6640625" style="263" customWidth="1"/>
    <col min="4899" max="4901" width="14.5546875" style="263" customWidth="1"/>
    <col min="4902" max="4902" width="20" style="263" bestFit="1" customWidth="1"/>
    <col min="4903" max="4903" width="20.88671875" style="263" customWidth="1"/>
    <col min="4904" max="4904" width="99" style="263" bestFit="1" customWidth="1"/>
    <col min="4905" max="4905" width="25.88671875" style="263" bestFit="1" customWidth="1"/>
    <col min="4906" max="5121" width="8.88671875" style="263"/>
    <col min="5122" max="5122" width="90.44140625" style="263" customWidth="1"/>
    <col min="5123" max="5143" width="11.5546875" style="263" customWidth="1"/>
    <col min="5144" max="5144" width="13.5546875" style="263" customWidth="1"/>
    <col min="5145" max="5145" width="11.5546875" style="263" customWidth="1"/>
    <col min="5146" max="5146" width="12.109375" style="263" customWidth="1"/>
    <col min="5147" max="5149" width="11.5546875" style="263" customWidth="1"/>
    <col min="5150" max="5150" width="12.33203125" style="263" customWidth="1"/>
    <col min="5151" max="5151" width="13.33203125" style="263" customWidth="1"/>
    <col min="5152" max="5152" width="16.5546875" style="263" customWidth="1"/>
    <col min="5153" max="5153" width="17.44140625" style="263" customWidth="1"/>
    <col min="5154" max="5154" width="14.6640625" style="263" customWidth="1"/>
    <col min="5155" max="5157" width="14.5546875" style="263" customWidth="1"/>
    <col min="5158" max="5158" width="20" style="263" bestFit="1" customWidth="1"/>
    <col min="5159" max="5159" width="20.88671875" style="263" customWidth="1"/>
    <col min="5160" max="5160" width="99" style="263" bestFit="1" customWidth="1"/>
    <col min="5161" max="5161" width="25.88671875" style="263" bestFit="1" customWidth="1"/>
    <col min="5162" max="5377" width="8.88671875" style="263"/>
    <col min="5378" max="5378" width="90.44140625" style="263" customWidth="1"/>
    <col min="5379" max="5399" width="11.5546875" style="263" customWidth="1"/>
    <col min="5400" max="5400" width="13.5546875" style="263" customWidth="1"/>
    <col min="5401" max="5401" width="11.5546875" style="263" customWidth="1"/>
    <col min="5402" max="5402" width="12.109375" style="263" customWidth="1"/>
    <col min="5403" max="5405" width="11.5546875" style="263" customWidth="1"/>
    <col min="5406" max="5406" width="12.33203125" style="263" customWidth="1"/>
    <col min="5407" max="5407" width="13.33203125" style="263" customWidth="1"/>
    <col min="5408" max="5408" width="16.5546875" style="263" customWidth="1"/>
    <col min="5409" max="5409" width="17.44140625" style="263" customWidth="1"/>
    <col min="5410" max="5410" width="14.6640625" style="263" customWidth="1"/>
    <col min="5411" max="5413" width="14.5546875" style="263" customWidth="1"/>
    <col min="5414" max="5414" width="20" style="263" bestFit="1" customWidth="1"/>
    <col min="5415" max="5415" width="20.88671875" style="263" customWidth="1"/>
    <col min="5416" max="5416" width="99" style="263" bestFit="1" customWidth="1"/>
    <col min="5417" max="5417" width="25.88671875" style="263" bestFit="1" customWidth="1"/>
    <col min="5418" max="5633" width="8.88671875" style="263"/>
    <col min="5634" max="5634" width="90.44140625" style="263" customWidth="1"/>
    <col min="5635" max="5655" width="11.5546875" style="263" customWidth="1"/>
    <col min="5656" max="5656" width="13.5546875" style="263" customWidth="1"/>
    <col min="5657" max="5657" width="11.5546875" style="263" customWidth="1"/>
    <col min="5658" max="5658" width="12.109375" style="263" customWidth="1"/>
    <col min="5659" max="5661" width="11.5546875" style="263" customWidth="1"/>
    <col min="5662" max="5662" width="12.33203125" style="263" customWidth="1"/>
    <col min="5663" max="5663" width="13.33203125" style="263" customWidth="1"/>
    <col min="5664" max="5664" width="16.5546875" style="263" customWidth="1"/>
    <col min="5665" max="5665" width="17.44140625" style="263" customWidth="1"/>
    <col min="5666" max="5666" width="14.6640625" style="263" customWidth="1"/>
    <col min="5667" max="5669" width="14.5546875" style="263" customWidth="1"/>
    <col min="5670" max="5670" width="20" style="263" bestFit="1" customWidth="1"/>
    <col min="5671" max="5671" width="20.88671875" style="263" customWidth="1"/>
    <col min="5672" max="5672" width="99" style="263" bestFit="1" customWidth="1"/>
    <col min="5673" max="5673" width="25.88671875" style="263" bestFit="1" customWidth="1"/>
    <col min="5674" max="5889" width="8.88671875" style="263"/>
    <col min="5890" max="5890" width="90.44140625" style="263" customWidth="1"/>
    <col min="5891" max="5911" width="11.5546875" style="263" customWidth="1"/>
    <col min="5912" max="5912" width="13.5546875" style="263" customWidth="1"/>
    <col min="5913" max="5913" width="11.5546875" style="263" customWidth="1"/>
    <col min="5914" max="5914" width="12.109375" style="263" customWidth="1"/>
    <col min="5915" max="5917" width="11.5546875" style="263" customWidth="1"/>
    <col min="5918" max="5918" width="12.33203125" style="263" customWidth="1"/>
    <col min="5919" max="5919" width="13.33203125" style="263" customWidth="1"/>
    <col min="5920" max="5920" width="16.5546875" style="263" customWidth="1"/>
    <col min="5921" max="5921" width="17.44140625" style="263" customWidth="1"/>
    <col min="5922" max="5922" width="14.6640625" style="263" customWidth="1"/>
    <col min="5923" max="5925" width="14.5546875" style="263" customWidth="1"/>
    <col min="5926" max="5926" width="20" style="263" bestFit="1" customWidth="1"/>
    <col min="5927" max="5927" width="20.88671875" style="263" customWidth="1"/>
    <col min="5928" max="5928" width="99" style="263" bestFit="1" customWidth="1"/>
    <col min="5929" max="5929" width="25.88671875" style="263" bestFit="1" customWidth="1"/>
    <col min="5930" max="6145" width="8.88671875" style="263"/>
    <col min="6146" max="6146" width="90.44140625" style="263" customWidth="1"/>
    <col min="6147" max="6167" width="11.5546875" style="263" customWidth="1"/>
    <col min="6168" max="6168" width="13.5546875" style="263" customWidth="1"/>
    <col min="6169" max="6169" width="11.5546875" style="263" customWidth="1"/>
    <col min="6170" max="6170" width="12.109375" style="263" customWidth="1"/>
    <col min="6171" max="6173" width="11.5546875" style="263" customWidth="1"/>
    <col min="6174" max="6174" width="12.33203125" style="263" customWidth="1"/>
    <col min="6175" max="6175" width="13.33203125" style="263" customWidth="1"/>
    <col min="6176" max="6176" width="16.5546875" style="263" customWidth="1"/>
    <col min="6177" max="6177" width="17.44140625" style="263" customWidth="1"/>
    <col min="6178" max="6178" width="14.6640625" style="263" customWidth="1"/>
    <col min="6179" max="6181" width="14.5546875" style="263" customWidth="1"/>
    <col min="6182" max="6182" width="20" style="263" bestFit="1" customWidth="1"/>
    <col min="6183" max="6183" width="20.88671875" style="263" customWidth="1"/>
    <col min="6184" max="6184" width="99" style="263" bestFit="1" customWidth="1"/>
    <col min="6185" max="6185" width="25.88671875" style="263" bestFit="1" customWidth="1"/>
    <col min="6186" max="6401" width="8.88671875" style="263"/>
    <col min="6402" max="6402" width="90.44140625" style="263" customWidth="1"/>
    <col min="6403" max="6423" width="11.5546875" style="263" customWidth="1"/>
    <col min="6424" max="6424" width="13.5546875" style="263" customWidth="1"/>
    <col min="6425" max="6425" width="11.5546875" style="263" customWidth="1"/>
    <col min="6426" max="6426" width="12.109375" style="263" customWidth="1"/>
    <col min="6427" max="6429" width="11.5546875" style="263" customWidth="1"/>
    <col min="6430" max="6430" width="12.33203125" style="263" customWidth="1"/>
    <col min="6431" max="6431" width="13.33203125" style="263" customWidth="1"/>
    <col min="6432" max="6432" width="16.5546875" style="263" customWidth="1"/>
    <col min="6433" max="6433" width="17.44140625" style="263" customWidth="1"/>
    <col min="6434" max="6434" width="14.6640625" style="263" customWidth="1"/>
    <col min="6435" max="6437" width="14.5546875" style="263" customWidth="1"/>
    <col min="6438" max="6438" width="20" style="263" bestFit="1" customWidth="1"/>
    <col min="6439" max="6439" width="20.88671875" style="263" customWidth="1"/>
    <col min="6440" max="6440" width="99" style="263" bestFit="1" customWidth="1"/>
    <col min="6441" max="6441" width="25.88671875" style="263" bestFit="1" customWidth="1"/>
    <col min="6442" max="6657" width="8.88671875" style="263"/>
    <col min="6658" max="6658" width="90.44140625" style="263" customWidth="1"/>
    <col min="6659" max="6679" width="11.5546875" style="263" customWidth="1"/>
    <col min="6680" max="6680" width="13.5546875" style="263" customWidth="1"/>
    <col min="6681" max="6681" width="11.5546875" style="263" customWidth="1"/>
    <col min="6682" max="6682" width="12.109375" style="263" customWidth="1"/>
    <col min="6683" max="6685" width="11.5546875" style="263" customWidth="1"/>
    <col min="6686" max="6686" width="12.33203125" style="263" customWidth="1"/>
    <col min="6687" max="6687" width="13.33203125" style="263" customWidth="1"/>
    <col min="6688" max="6688" width="16.5546875" style="263" customWidth="1"/>
    <col min="6689" max="6689" width="17.44140625" style="263" customWidth="1"/>
    <col min="6690" max="6690" width="14.6640625" style="263" customWidth="1"/>
    <col min="6691" max="6693" width="14.5546875" style="263" customWidth="1"/>
    <col min="6694" max="6694" width="20" style="263" bestFit="1" customWidth="1"/>
    <col min="6695" max="6695" width="20.88671875" style="263" customWidth="1"/>
    <col min="6696" max="6696" width="99" style="263" bestFit="1" customWidth="1"/>
    <col min="6697" max="6697" width="25.88671875" style="263" bestFit="1" customWidth="1"/>
    <col min="6698" max="6913" width="8.88671875" style="263"/>
    <col min="6914" max="6914" width="90.44140625" style="263" customWidth="1"/>
    <col min="6915" max="6935" width="11.5546875" style="263" customWidth="1"/>
    <col min="6936" max="6936" width="13.5546875" style="263" customWidth="1"/>
    <col min="6937" max="6937" width="11.5546875" style="263" customWidth="1"/>
    <col min="6938" max="6938" width="12.109375" style="263" customWidth="1"/>
    <col min="6939" max="6941" width="11.5546875" style="263" customWidth="1"/>
    <col min="6942" max="6942" width="12.33203125" style="263" customWidth="1"/>
    <col min="6943" max="6943" width="13.33203125" style="263" customWidth="1"/>
    <col min="6944" max="6944" width="16.5546875" style="263" customWidth="1"/>
    <col min="6945" max="6945" width="17.44140625" style="263" customWidth="1"/>
    <col min="6946" max="6946" width="14.6640625" style="263" customWidth="1"/>
    <col min="6947" max="6949" width="14.5546875" style="263" customWidth="1"/>
    <col min="6950" max="6950" width="20" style="263" bestFit="1" customWidth="1"/>
    <col min="6951" max="6951" width="20.88671875" style="263" customWidth="1"/>
    <col min="6952" max="6952" width="99" style="263" bestFit="1" customWidth="1"/>
    <col min="6953" max="6953" width="25.88671875" style="263" bestFit="1" customWidth="1"/>
    <col min="6954" max="7169" width="8.88671875" style="263"/>
    <col min="7170" max="7170" width="90.44140625" style="263" customWidth="1"/>
    <col min="7171" max="7191" width="11.5546875" style="263" customWidth="1"/>
    <col min="7192" max="7192" width="13.5546875" style="263" customWidth="1"/>
    <col min="7193" max="7193" width="11.5546875" style="263" customWidth="1"/>
    <col min="7194" max="7194" width="12.109375" style="263" customWidth="1"/>
    <col min="7195" max="7197" width="11.5546875" style="263" customWidth="1"/>
    <col min="7198" max="7198" width="12.33203125" style="263" customWidth="1"/>
    <col min="7199" max="7199" width="13.33203125" style="263" customWidth="1"/>
    <col min="7200" max="7200" width="16.5546875" style="263" customWidth="1"/>
    <col min="7201" max="7201" width="17.44140625" style="263" customWidth="1"/>
    <col min="7202" max="7202" width="14.6640625" style="263" customWidth="1"/>
    <col min="7203" max="7205" width="14.5546875" style="263" customWidth="1"/>
    <col min="7206" max="7206" width="20" style="263" bestFit="1" customWidth="1"/>
    <col min="7207" max="7207" width="20.88671875" style="263" customWidth="1"/>
    <col min="7208" max="7208" width="99" style="263" bestFit="1" customWidth="1"/>
    <col min="7209" max="7209" width="25.88671875" style="263" bestFit="1" customWidth="1"/>
    <col min="7210" max="7425" width="8.88671875" style="263"/>
    <col min="7426" max="7426" width="90.44140625" style="263" customWidth="1"/>
    <col min="7427" max="7447" width="11.5546875" style="263" customWidth="1"/>
    <col min="7448" max="7448" width="13.5546875" style="263" customWidth="1"/>
    <col min="7449" max="7449" width="11.5546875" style="263" customWidth="1"/>
    <col min="7450" max="7450" width="12.109375" style="263" customWidth="1"/>
    <col min="7451" max="7453" width="11.5546875" style="263" customWidth="1"/>
    <col min="7454" max="7454" width="12.33203125" style="263" customWidth="1"/>
    <col min="7455" max="7455" width="13.33203125" style="263" customWidth="1"/>
    <col min="7456" max="7456" width="16.5546875" style="263" customWidth="1"/>
    <col min="7457" max="7457" width="17.44140625" style="263" customWidth="1"/>
    <col min="7458" max="7458" width="14.6640625" style="263" customWidth="1"/>
    <col min="7459" max="7461" width="14.5546875" style="263" customWidth="1"/>
    <col min="7462" max="7462" width="20" style="263" bestFit="1" customWidth="1"/>
    <col min="7463" max="7463" width="20.88671875" style="263" customWidth="1"/>
    <col min="7464" max="7464" width="99" style="263" bestFit="1" customWidth="1"/>
    <col min="7465" max="7465" width="25.88671875" style="263" bestFit="1" customWidth="1"/>
    <col min="7466" max="7681" width="8.88671875" style="263"/>
    <col min="7682" max="7682" width="90.44140625" style="263" customWidth="1"/>
    <col min="7683" max="7703" width="11.5546875" style="263" customWidth="1"/>
    <col min="7704" max="7704" width="13.5546875" style="263" customWidth="1"/>
    <col min="7705" max="7705" width="11.5546875" style="263" customWidth="1"/>
    <col min="7706" max="7706" width="12.109375" style="263" customWidth="1"/>
    <col min="7707" max="7709" width="11.5546875" style="263" customWidth="1"/>
    <col min="7710" max="7710" width="12.33203125" style="263" customWidth="1"/>
    <col min="7711" max="7711" width="13.33203125" style="263" customWidth="1"/>
    <col min="7712" max="7712" width="16.5546875" style="263" customWidth="1"/>
    <col min="7713" max="7713" width="17.44140625" style="263" customWidth="1"/>
    <col min="7714" max="7714" width="14.6640625" style="263" customWidth="1"/>
    <col min="7715" max="7717" width="14.5546875" style="263" customWidth="1"/>
    <col min="7718" max="7718" width="20" style="263" bestFit="1" customWidth="1"/>
    <col min="7719" max="7719" width="20.88671875" style="263" customWidth="1"/>
    <col min="7720" max="7720" width="99" style="263" bestFit="1" customWidth="1"/>
    <col min="7721" max="7721" width="25.88671875" style="263" bestFit="1" customWidth="1"/>
    <col min="7722" max="7937" width="8.88671875" style="263"/>
    <col min="7938" max="7938" width="90.44140625" style="263" customWidth="1"/>
    <col min="7939" max="7959" width="11.5546875" style="263" customWidth="1"/>
    <col min="7960" max="7960" width="13.5546875" style="263" customWidth="1"/>
    <col min="7961" max="7961" width="11.5546875" style="263" customWidth="1"/>
    <col min="7962" max="7962" width="12.109375" style="263" customWidth="1"/>
    <col min="7963" max="7965" width="11.5546875" style="263" customWidth="1"/>
    <col min="7966" max="7966" width="12.33203125" style="263" customWidth="1"/>
    <col min="7967" max="7967" width="13.33203125" style="263" customWidth="1"/>
    <col min="7968" max="7968" width="16.5546875" style="263" customWidth="1"/>
    <col min="7969" max="7969" width="17.44140625" style="263" customWidth="1"/>
    <col min="7970" max="7970" width="14.6640625" style="263" customWidth="1"/>
    <col min="7971" max="7973" width="14.5546875" style="263" customWidth="1"/>
    <col min="7974" max="7974" width="20" style="263" bestFit="1" customWidth="1"/>
    <col min="7975" max="7975" width="20.88671875" style="263" customWidth="1"/>
    <col min="7976" max="7976" width="99" style="263" bestFit="1" customWidth="1"/>
    <col min="7977" max="7977" width="25.88671875" style="263" bestFit="1" customWidth="1"/>
    <col min="7978" max="8193" width="8.88671875" style="263"/>
    <col min="8194" max="8194" width="90.44140625" style="263" customWidth="1"/>
    <col min="8195" max="8215" width="11.5546875" style="263" customWidth="1"/>
    <col min="8216" max="8216" width="13.5546875" style="263" customWidth="1"/>
    <col min="8217" max="8217" width="11.5546875" style="263" customWidth="1"/>
    <col min="8218" max="8218" width="12.109375" style="263" customWidth="1"/>
    <col min="8219" max="8221" width="11.5546875" style="263" customWidth="1"/>
    <col min="8222" max="8222" width="12.33203125" style="263" customWidth="1"/>
    <col min="8223" max="8223" width="13.33203125" style="263" customWidth="1"/>
    <col min="8224" max="8224" width="16.5546875" style="263" customWidth="1"/>
    <col min="8225" max="8225" width="17.44140625" style="263" customWidth="1"/>
    <col min="8226" max="8226" width="14.6640625" style="263" customWidth="1"/>
    <col min="8227" max="8229" width="14.5546875" style="263" customWidth="1"/>
    <col min="8230" max="8230" width="20" style="263" bestFit="1" customWidth="1"/>
    <col min="8231" max="8231" width="20.88671875" style="263" customWidth="1"/>
    <col min="8232" max="8232" width="99" style="263" bestFit="1" customWidth="1"/>
    <col min="8233" max="8233" width="25.88671875" style="263" bestFit="1" customWidth="1"/>
    <col min="8234" max="8449" width="8.88671875" style="263"/>
    <col min="8450" max="8450" width="90.44140625" style="263" customWidth="1"/>
    <col min="8451" max="8471" width="11.5546875" style="263" customWidth="1"/>
    <col min="8472" max="8472" width="13.5546875" style="263" customWidth="1"/>
    <col min="8473" max="8473" width="11.5546875" style="263" customWidth="1"/>
    <col min="8474" max="8474" width="12.109375" style="263" customWidth="1"/>
    <col min="8475" max="8477" width="11.5546875" style="263" customWidth="1"/>
    <col min="8478" max="8478" width="12.33203125" style="263" customWidth="1"/>
    <col min="8479" max="8479" width="13.33203125" style="263" customWidth="1"/>
    <col min="8480" max="8480" width="16.5546875" style="263" customWidth="1"/>
    <col min="8481" max="8481" width="17.44140625" style="263" customWidth="1"/>
    <col min="8482" max="8482" width="14.6640625" style="263" customWidth="1"/>
    <col min="8483" max="8485" width="14.5546875" style="263" customWidth="1"/>
    <col min="8486" max="8486" width="20" style="263" bestFit="1" customWidth="1"/>
    <col min="8487" max="8487" width="20.88671875" style="263" customWidth="1"/>
    <col min="8488" max="8488" width="99" style="263" bestFit="1" customWidth="1"/>
    <col min="8489" max="8489" width="25.88671875" style="263" bestFit="1" customWidth="1"/>
    <col min="8490" max="8705" width="8.88671875" style="263"/>
    <col min="8706" max="8706" width="90.44140625" style="263" customWidth="1"/>
    <col min="8707" max="8727" width="11.5546875" style="263" customWidth="1"/>
    <col min="8728" max="8728" width="13.5546875" style="263" customWidth="1"/>
    <col min="8729" max="8729" width="11.5546875" style="263" customWidth="1"/>
    <col min="8730" max="8730" width="12.109375" style="263" customWidth="1"/>
    <col min="8731" max="8733" width="11.5546875" style="263" customWidth="1"/>
    <col min="8734" max="8734" width="12.33203125" style="263" customWidth="1"/>
    <col min="8735" max="8735" width="13.33203125" style="263" customWidth="1"/>
    <col min="8736" max="8736" width="16.5546875" style="263" customWidth="1"/>
    <col min="8737" max="8737" width="17.44140625" style="263" customWidth="1"/>
    <col min="8738" max="8738" width="14.6640625" style="263" customWidth="1"/>
    <col min="8739" max="8741" width="14.5546875" style="263" customWidth="1"/>
    <col min="8742" max="8742" width="20" style="263" bestFit="1" customWidth="1"/>
    <col min="8743" max="8743" width="20.88671875" style="263" customWidth="1"/>
    <col min="8744" max="8744" width="99" style="263" bestFit="1" customWidth="1"/>
    <col min="8745" max="8745" width="25.88671875" style="263" bestFit="1" customWidth="1"/>
    <col min="8746" max="8961" width="8.88671875" style="263"/>
    <col min="8962" max="8962" width="90.44140625" style="263" customWidth="1"/>
    <col min="8963" max="8983" width="11.5546875" style="263" customWidth="1"/>
    <col min="8984" max="8984" width="13.5546875" style="263" customWidth="1"/>
    <col min="8985" max="8985" width="11.5546875" style="263" customWidth="1"/>
    <col min="8986" max="8986" width="12.109375" style="263" customWidth="1"/>
    <col min="8987" max="8989" width="11.5546875" style="263" customWidth="1"/>
    <col min="8990" max="8990" width="12.33203125" style="263" customWidth="1"/>
    <col min="8991" max="8991" width="13.33203125" style="263" customWidth="1"/>
    <col min="8992" max="8992" width="16.5546875" style="263" customWidth="1"/>
    <col min="8993" max="8993" width="17.44140625" style="263" customWidth="1"/>
    <col min="8994" max="8994" width="14.6640625" style="263" customWidth="1"/>
    <col min="8995" max="8997" width="14.5546875" style="263" customWidth="1"/>
    <col min="8998" max="8998" width="20" style="263" bestFit="1" customWidth="1"/>
    <col min="8999" max="8999" width="20.88671875" style="263" customWidth="1"/>
    <col min="9000" max="9000" width="99" style="263" bestFit="1" customWidth="1"/>
    <col min="9001" max="9001" width="25.88671875" style="263" bestFit="1" customWidth="1"/>
    <col min="9002" max="9217" width="8.88671875" style="263"/>
    <col min="9218" max="9218" width="90.44140625" style="263" customWidth="1"/>
    <col min="9219" max="9239" width="11.5546875" style="263" customWidth="1"/>
    <col min="9240" max="9240" width="13.5546875" style="263" customWidth="1"/>
    <col min="9241" max="9241" width="11.5546875" style="263" customWidth="1"/>
    <col min="9242" max="9242" width="12.109375" style="263" customWidth="1"/>
    <col min="9243" max="9245" width="11.5546875" style="263" customWidth="1"/>
    <col min="9246" max="9246" width="12.33203125" style="263" customWidth="1"/>
    <col min="9247" max="9247" width="13.33203125" style="263" customWidth="1"/>
    <col min="9248" max="9248" width="16.5546875" style="263" customWidth="1"/>
    <col min="9249" max="9249" width="17.44140625" style="263" customWidth="1"/>
    <col min="9250" max="9250" width="14.6640625" style="263" customWidth="1"/>
    <col min="9251" max="9253" width="14.5546875" style="263" customWidth="1"/>
    <col min="9254" max="9254" width="20" style="263" bestFit="1" customWidth="1"/>
    <col min="9255" max="9255" width="20.88671875" style="263" customWidth="1"/>
    <col min="9256" max="9256" width="99" style="263" bestFit="1" customWidth="1"/>
    <col min="9257" max="9257" width="25.88671875" style="263" bestFit="1" customWidth="1"/>
    <col min="9258" max="9473" width="8.88671875" style="263"/>
    <col min="9474" max="9474" width="90.44140625" style="263" customWidth="1"/>
    <col min="9475" max="9495" width="11.5546875" style="263" customWidth="1"/>
    <col min="9496" max="9496" width="13.5546875" style="263" customWidth="1"/>
    <col min="9497" max="9497" width="11.5546875" style="263" customWidth="1"/>
    <col min="9498" max="9498" width="12.109375" style="263" customWidth="1"/>
    <col min="9499" max="9501" width="11.5546875" style="263" customWidth="1"/>
    <col min="9502" max="9502" width="12.33203125" style="263" customWidth="1"/>
    <col min="9503" max="9503" width="13.33203125" style="263" customWidth="1"/>
    <col min="9504" max="9504" width="16.5546875" style="263" customWidth="1"/>
    <col min="9505" max="9505" width="17.44140625" style="263" customWidth="1"/>
    <col min="9506" max="9506" width="14.6640625" style="263" customWidth="1"/>
    <col min="9507" max="9509" width="14.5546875" style="263" customWidth="1"/>
    <col min="9510" max="9510" width="20" style="263" bestFit="1" customWidth="1"/>
    <col min="9511" max="9511" width="20.88671875" style="263" customWidth="1"/>
    <col min="9512" max="9512" width="99" style="263" bestFit="1" customWidth="1"/>
    <col min="9513" max="9513" width="25.88671875" style="263" bestFit="1" customWidth="1"/>
    <col min="9514" max="9729" width="8.88671875" style="263"/>
    <col min="9730" max="9730" width="90.44140625" style="263" customWidth="1"/>
    <col min="9731" max="9751" width="11.5546875" style="263" customWidth="1"/>
    <col min="9752" max="9752" width="13.5546875" style="263" customWidth="1"/>
    <col min="9753" max="9753" width="11.5546875" style="263" customWidth="1"/>
    <col min="9754" max="9754" width="12.109375" style="263" customWidth="1"/>
    <col min="9755" max="9757" width="11.5546875" style="263" customWidth="1"/>
    <col min="9758" max="9758" width="12.33203125" style="263" customWidth="1"/>
    <col min="9759" max="9759" width="13.33203125" style="263" customWidth="1"/>
    <col min="9760" max="9760" width="16.5546875" style="263" customWidth="1"/>
    <col min="9761" max="9761" width="17.44140625" style="263" customWidth="1"/>
    <col min="9762" max="9762" width="14.6640625" style="263" customWidth="1"/>
    <col min="9763" max="9765" width="14.5546875" style="263" customWidth="1"/>
    <col min="9766" max="9766" width="20" style="263" bestFit="1" customWidth="1"/>
    <col min="9767" max="9767" width="20.88671875" style="263" customWidth="1"/>
    <col min="9768" max="9768" width="99" style="263" bestFit="1" customWidth="1"/>
    <col min="9769" max="9769" width="25.88671875" style="263" bestFit="1" customWidth="1"/>
    <col min="9770" max="9985" width="8.88671875" style="263"/>
    <col min="9986" max="9986" width="90.44140625" style="263" customWidth="1"/>
    <col min="9987" max="10007" width="11.5546875" style="263" customWidth="1"/>
    <col min="10008" max="10008" width="13.5546875" style="263" customWidth="1"/>
    <col min="10009" max="10009" width="11.5546875" style="263" customWidth="1"/>
    <col min="10010" max="10010" width="12.109375" style="263" customWidth="1"/>
    <col min="10011" max="10013" width="11.5546875" style="263" customWidth="1"/>
    <col min="10014" max="10014" width="12.33203125" style="263" customWidth="1"/>
    <col min="10015" max="10015" width="13.33203125" style="263" customWidth="1"/>
    <col min="10016" max="10016" width="16.5546875" style="263" customWidth="1"/>
    <col min="10017" max="10017" width="17.44140625" style="263" customWidth="1"/>
    <col min="10018" max="10018" width="14.6640625" style="263" customWidth="1"/>
    <col min="10019" max="10021" width="14.5546875" style="263" customWidth="1"/>
    <col min="10022" max="10022" width="20" style="263" bestFit="1" customWidth="1"/>
    <col min="10023" max="10023" width="20.88671875" style="263" customWidth="1"/>
    <col min="10024" max="10024" width="99" style="263" bestFit="1" customWidth="1"/>
    <col min="10025" max="10025" width="25.88671875" style="263" bestFit="1" customWidth="1"/>
    <col min="10026" max="10241" width="8.88671875" style="263"/>
    <col min="10242" max="10242" width="90.44140625" style="263" customWidth="1"/>
    <col min="10243" max="10263" width="11.5546875" style="263" customWidth="1"/>
    <col min="10264" max="10264" width="13.5546875" style="263" customWidth="1"/>
    <col min="10265" max="10265" width="11.5546875" style="263" customWidth="1"/>
    <col min="10266" max="10266" width="12.109375" style="263" customWidth="1"/>
    <col min="10267" max="10269" width="11.5546875" style="263" customWidth="1"/>
    <col min="10270" max="10270" width="12.33203125" style="263" customWidth="1"/>
    <col min="10271" max="10271" width="13.33203125" style="263" customWidth="1"/>
    <col min="10272" max="10272" width="16.5546875" style="263" customWidth="1"/>
    <col min="10273" max="10273" width="17.44140625" style="263" customWidth="1"/>
    <col min="10274" max="10274" width="14.6640625" style="263" customWidth="1"/>
    <col min="10275" max="10277" width="14.5546875" style="263" customWidth="1"/>
    <col min="10278" max="10278" width="20" style="263" bestFit="1" customWidth="1"/>
    <col min="10279" max="10279" width="20.88671875" style="263" customWidth="1"/>
    <col min="10280" max="10280" width="99" style="263" bestFit="1" customWidth="1"/>
    <col min="10281" max="10281" width="25.88671875" style="263" bestFit="1" customWidth="1"/>
    <col min="10282" max="10497" width="8.88671875" style="263"/>
    <col min="10498" max="10498" width="90.44140625" style="263" customWidth="1"/>
    <col min="10499" max="10519" width="11.5546875" style="263" customWidth="1"/>
    <col min="10520" max="10520" width="13.5546875" style="263" customWidth="1"/>
    <col min="10521" max="10521" width="11.5546875" style="263" customWidth="1"/>
    <col min="10522" max="10522" width="12.109375" style="263" customWidth="1"/>
    <col min="10523" max="10525" width="11.5546875" style="263" customWidth="1"/>
    <col min="10526" max="10526" width="12.33203125" style="263" customWidth="1"/>
    <col min="10527" max="10527" width="13.33203125" style="263" customWidth="1"/>
    <col min="10528" max="10528" width="16.5546875" style="263" customWidth="1"/>
    <col min="10529" max="10529" width="17.44140625" style="263" customWidth="1"/>
    <col min="10530" max="10530" width="14.6640625" style="263" customWidth="1"/>
    <col min="10531" max="10533" width="14.5546875" style="263" customWidth="1"/>
    <col min="10534" max="10534" width="20" style="263" bestFit="1" customWidth="1"/>
    <col min="10535" max="10535" width="20.88671875" style="263" customWidth="1"/>
    <col min="10536" max="10536" width="99" style="263" bestFit="1" customWidth="1"/>
    <col min="10537" max="10537" width="25.88671875" style="263" bestFit="1" customWidth="1"/>
    <col min="10538" max="10753" width="8.88671875" style="263"/>
    <col min="10754" max="10754" width="90.44140625" style="263" customWidth="1"/>
    <col min="10755" max="10775" width="11.5546875" style="263" customWidth="1"/>
    <col min="10776" max="10776" width="13.5546875" style="263" customWidth="1"/>
    <col min="10777" max="10777" width="11.5546875" style="263" customWidth="1"/>
    <col min="10778" max="10778" width="12.109375" style="263" customWidth="1"/>
    <col min="10779" max="10781" width="11.5546875" style="263" customWidth="1"/>
    <col min="10782" max="10782" width="12.33203125" style="263" customWidth="1"/>
    <col min="10783" max="10783" width="13.33203125" style="263" customWidth="1"/>
    <col min="10784" max="10784" width="16.5546875" style="263" customWidth="1"/>
    <col min="10785" max="10785" width="17.44140625" style="263" customWidth="1"/>
    <col min="10786" max="10786" width="14.6640625" style="263" customWidth="1"/>
    <col min="10787" max="10789" width="14.5546875" style="263" customWidth="1"/>
    <col min="10790" max="10790" width="20" style="263" bestFit="1" customWidth="1"/>
    <col min="10791" max="10791" width="20.88671875" style="263" customWidth="1"/>
    <col min="10792" max="10792" width="99" style="263" bestFit="1" customWidth="1"/>
    <col min="10793" max="10793" width="25.88671875" style="263" bestFit="1" customWidth="1"/>
    <col min="10794" max="11009" width="8.88671875" style="263"/>
    <col min="11010" max="11010" width="90.44140625" style="263" customWidth="1"/>
    <col min="11011" max="11031" width="11.5546875" style="263" customWidth="1"/>
    <col min="11032" max="11032" width="13.5546875" style="263" customWidth="1"/>
    <col min="11033" max="11033" width="11.5546875" style="263" customWidth="1"/>
    <col min="11034" max="11034" width="12.109375" style="263" customWidth="1"/>
    <col min="11035" max="11037" width="11.5546875" style="263" customWidth="1"/>
    <col min="11038" max="11038" width="12.33203125" style="263" customWidth="1"/>
    <col min="11039" max="11039" width="13.33203125" style="263" customWidth="1"/>
    <col min="11040" max="11040" width="16.5546875" style="263" customWidth="1"/>
    <col min="11041" max="11041" width="17.44140625" style="263" customWidth="1"/>
    <col min="11042" max="11042" width="14.6640625" style="263" customWidth="1"/>
    <col min="11043" max="11045" width="14.5546875" style="263" customWidth="1"/>
    <col min="11046" max="11046" width="20" style="263" bestFit="1" customWidth="1"/>
    <col min="11047" max="11047" width="20.88671875" style="263" customWidth="1"/>
    <col min="11048" max="11048" width="99" style="263" bestFit="1" customWidth="1"/>
    <col min="11049" max="11049" width="25.88671875" style="263" bestFit="1" customWidth="1"/>
    <col min="11050" max="11265" width="8.88671875" style="263"/>
    <col min="11266" max="11266" width="90.44140625" style="263" customWidth="1"/>
    <col min="11267" max="11287" width="11.5546875" style="263" customWidth="1"/>
    <col min="11288" max="11288" width="13.5546875" style="263" customWidth="1"/>
    <col min="11289" max="11289" width="11.5546875" style="263" customWidth="1"/>
    <col min="11290" max="11290" width="12.109375" style="263" customWidth="1"/>
    <col min="11291" max="11293" width="11.5546875" style="263" customWidth="1"/>
    <col min="11294" max="11294" width="12.33203125" style="263" customWidth="1"/>
    <col min="11295" max="11295" width="13.33203125" style="263" customWidth="1"/>
    <col min="11296" max="11296" width="16.5546875" style="263" customWidth="1"/>
    <col min="11297" max="11297" width="17.44140625" style="263" customWidth="1"/>
    <col min="11298" max="11298" width="14.6640625" style="263" customWidth="1"/>
    <col min="11299" max="11301" width="14.5546875" style="263" customWidth="1"/>
    <col min="11302" max="11302" width="20" style="263" bestFit="1" customWidth="1"/>
    <col min="11303" max="11303" width="20.88671875" style="263" customWidth="1"/>
    <col min="11304" max="11304" width="99" style="263" bestFit="1" customWidth="1"/>
    <col min="11305" max="11305" width="25.88671875" style="263" bestFit="1" customWidth="1"/>
    <col min="11306" max="11521" width="8.88671875" style="263"/>
    <col min="11522" max="11522" width="90.44140625" style="263" customWidth="1"/>
    <col min="11523" max="11543" width="11.5546875" style="263" customWidth="1"/>
    <col min="11544" max="11544" width="13.5546875" style="263" customWidth="1"/>
    <col min="11545" max="11545" width="11.5546875" style="263" customWidth="1"/>
    <col min="11546" max="11546" width="12.109375" style="263" customWidth="1"/>
    <col min="11547" max="11549" width="11.5546875" style="263" customWidth="1"/>
    <col min="11550" max="11550" width="12.33203125" style="263" customWidth="1"/>
    <col min="11551" max="11551" width="13.33203125" style="263" customWidth="1"/>
    <col min="11552" max="11552" width="16.5546875" style="263" customWidth="1"/>
    <col min="11553" max="11553" width="17.44140625" style="263" customWidth="1"/>
    <col min="11554" max="11554" width="14.6640625" style="263" customWidth="1"/>
    <col min="11555" max="11557" width="14.5546875" style="263" customWidth="1"/>
    <col min="11558" max="11558" width="20" style="263" bestFit="1" customWidth="1"/>
    <col min="11559" max="11559" width="20.88671875" style="263" customWidth="1"/>
    <col min="11560" max="11560" width="99" style="263" bestFit="1" customWidth="1"/>
    <col min="11561" max="11561" width="25.88671875" style="263" bestFit="1" customWidth="1"/>
    <col min="11562" max="11777" width="8.88671875" style="263"/>
    <col min="11778" max="11778" width="90.44140625" style="263" customWidth="1"/>
    <col min="11779" max="11799" width="11.5546875" style="263" customWidth="1"/>
    <col min="11800" max="11800" width="13.5546875" style="263" customWidth="1"/>
    <col min="11801" max="11801" width="11.5546875" style="263" customWidth="1"/>
    <col min="11802" max="11802" width="12.109375" style="263" customWidth="1"/>
    <col min="11803" max="11805" width="11.5546875" style="263" customWidth="1"/>
    <col min="11806" max="11806" width="12.33203125" style="263" customWidth="1"/>
    <col min="11807" max="11807" width="13.33203125" style="263" customWidth="1"/>
    <col min="11808" max="11808" width="16.5546875" style="263" customWidth="1"/>
    <col min="11809" max="11809" width="17.44140625" style="263" customWidth="1"/>
    <col min="11810" max="11810" width="14.6640625" style="263" customWidth="1"/>
    <col min="11811" max="11813" width="14.5546875" style="263" customWidth="1"/>
    <col min="11814" max="11814" width="20" style="263" bestFit="1" customWidth="1"/>
    <col min="11815" max="11815" width="20.88671875" style="263" customWidth="1"/>
    <col min="11816" max="11816" width="99" style="263" bestFit="1" customWidth="1"/>
    <col min="11817" max="11817" width="25.88671875" style="263" bestFit="1" customWidth="1"/>
    <col min="11818" max="12033" width="8.88671875" style="263"/>
    <col min="12034" max="12034" width="90.44140625" style="263" customWidth="1"/>
    <col min="12035" max="12055" width="11.5546875" style="263" customWidth="1"/>
    <col min="12056" max="12056" width="13.5546875" style="263" customWidth="1"/>
    <col min="12057" max="12057" width="11.5546875" style="263" customWidth="1"/>
    <col min="12058" max="12058" width="12.109375" style="263" customWidth="1"/>
    <col min="12059" max="12061" width="11.5546875" style="263" customWidth="1"/>
    <col min="12062" max="12062" width="12.33203125" style="263" customWidth="1"/>
    <col min="12063" max="12063" width="13.33203125" style="263" customWidth="1"/>
    <col min="12064" max="12064" width="16.5546875" style="263" customWidth="1"/>
    <col min="12065" max="12065" width="17.44140625" style="263" customWidth="1"/>
    <col min="12066" max="12066" width="14.6640625" style="263" customWidth="1"/>
    <col min="12067" max="12069" width="14.5546875" style="263" customWidth="1"/>
    <col min="12070" max="12070" width="20" style="263" bestFit="1" customWidth="1"/>
    <col min="12071" max="12071" width="20.88671875" style="263" customWidth="1"/>
    <col min="12072" max="12072" width="99" style="263" bestFit="1" customWidth="1"/>
    <col min="12073" max="12073" width="25.88671875" style="263" bestFit="1" customWidth="1"/>
    <col min="12074" max="12289" width="8.88671875" style="263"/>
    <col min="12290" max="12290" width="90.44140625" style="263" customWidth="1"/>
    <col min="12291" max="12311" width="11.5546875" style="263" customWidth="1"/>
    <col min="12312" max="12312" width="13.5546875" style="263" customWidth="1"/>
    <col min="12313" max="12313" width="11.5546875" style="263" customWidth="1"/>
    <col min="12314" max="12314" width="12.109375" style="263" customWidth="1"/>
    <col min="12315" max="12317" width="11.5546875" style="263" customWidth="1"/>
    <col min="12318" max="12318" width="12.33203125" style="263" customWidth="1"/>
    <col min="12319" max="12319" width="13.33203125" style="263" customWidth="1"/>
    <col min="12320" max="12320" width="16.5546875" style="263" customWidth="1"/>
    <col min="12321" max="12321" width="17.44140625" style="263" customWidth="1"/>
    <col min="12322" max="12322" width="14.6640625" style="263" customWidth="1"/>
    <col min="12323" max="12325" width="14.5546875" style="263" customWidth="1"/>
    <col min="12326" max="12326" width="20" style="263" bestFit="1" customWidth="1"/>
    <col min="12327" max="12327" width="20.88671875" style="263" customWidth="1"/>
    <col min="12328" max="12328" width="99" style="263" bestFit="1" customWidth="1"/>
    <col min="12329" max="12329" width="25.88671875" style="263" bestFit="1" customWidth="1"/>
    <col min="12330" max="12545" width="8.88671875" style="263"/>
    <col min="12546" max="12546" width="90.44140625" style="263" customWidth="1"/>
    <col min="12547" max="12567" width="11.5546875" style="263" customWidth="1"/>
    <col min="12568" max="12568" width="13.5546875" style="263" customWidth="1"/>
    <col min="12569" max="12569" width="11.5546875" style="263" customWidth="1"/>
    <col min="12570" max="12570" width="12.109375" style="263" customWidth="1"/>
    <col min="12571" max="12573" width="11.5546875" style="263" customWidth="1"/>
    <col min="12574" max="12574" width="12.33203125" style="263" customWidth="1"/>
    <col min="12575" max="12575" width="13.33203125" style="263" customWidth="1"/>
    <col min="12576" max="12576" width="16.5546875" style="263" customWidth="1"/>
    <col min="12577" max="12577" width="17.44140625" style="263" customWidth="1"/>
    <col min="12578" max="12578" width="14.6640625" style="263" customWidth="1"/>
    <col min="12579" max="12581" width="14.5546875" style="263" customWidth="1"/>
    <col min="12582" max="12582" width="20" style="263" bestFit="1" customWidth="1"/>
    <col min="12583" max="12583" width="20.88671875" style="263" customWidth="1"/>
    <col min="12584" max="12584" width="99" style="263" bestFit="1" customWidth="1"/>
    <col min="12585" max="12585" width="25.88671875" style="263" bestFit="1" customWidth="1"/>
    <col min="12586" max="12801" width="8.88671875" style="263"/>
    <col min="12802" max="12802" width="90.44140625" style="263" customWidth="1"/>
    <col min="12803" max="12823" width="11.5546875" style="263" customWidth="1"/>
    <col min="12824" max="12824" width="13.5546875" style="263" customWidth="1"/>
    <col min="12825" max="12825" width="11.5546875" style="263" customWidth="1"/>
    <col min="12826" max="12826" width="12.109375" style="263" customWidth="1"/>
    <col min="12827" max="12829" width="11.5546875" style="263" customWidth="1"/>
    <col min="12830" max="12830" width="12.33203125" style="263" customWidth="1"/>
    <col min="12831" max="12831" width="13.33203125" style="263" customWidth="1"/>
    <col min="12832" max="12832" width="16.5546875" style="263" customWidth="1"/>
    <col min="12833" max="12833" width="17.44140625" style="263" customWidth="1"/>
    <col min="12834" max="12834" width="14.6640625" style="263" customWidth="1"/>
    <col min="12835" max="12837" width="14.5546875" style="263" customWidth="1"/>
    <col min="12838" max="12838" width="20" style="263" bestFit="1" customWidth="1"/>
    <col min="12839" max="12839" width="20.88671875" style="263" customWidth="1"/>
    <col min="12840" max="12840" width="99" style="263" bestFit="1" customWidth="1"/>
    <col min="12841" max="12841" width="25.88671875" style="263" bestFit="1" customWidth="1"/>
    <col min="12842" max="13057" width="8.88671875" style="263"/>
    <col min="13058" max="13058" width="90.44140625" style="263" customWidth="1"/>
    <col min="13059" max="13079" width="11.5546875" style="263" customWidth="1"/>
    <col min="13080" max="13080" width="13.5546875" style="263" customWidth="1"/>
    <col min="13081" max="13081" width="11.5546875" style="263" customWidth="1"/>
    <col min="13082" max="13082" width="12.109375" style="263" customWidth="1"/>
    <col min="13083" max="13085" width="11.5546875" style="263" customWidth="1"/>
    <col min="13086" max="13086" width="12.33203125" style="263" customWidth="1"/>
    <col min="13087" max="13087" width="13.33203125" style="263" customWidth="1"/>
    <col min="13088" max="13088" width="16.5546875" style="263" customWidth="1"/>
    <col min="13089" max="13089" width="17.44140625" style="263" customWidth="1"/>
    <col min="13090" max="13090" width="14.6640625" style="263" customWidth="1"/>
    <col min="13091" max="13093" width="14.5546875" style="263" customWidth="1"/>
    <col min="13094" max="13094" width="20" style="263" bestFit="1" customWidth="1"/>
    <col min="13095" max="13095" width="20.88671875" style="263" customWidth="1"/>
    <col min="13096" max="13096" width="99" style="263" bestFit="1" customWidth="1"/>
    <col min="13097" max="13097" width="25.88671875" style="263" bestFit="1" customWidth="1"/>
    <col min="13098" max="13313" width="8.88671875" style="263"/>
    <col min="13314" max="13314" width="90.44140625" style="263" customWidth="1"/>
    <col min="13315" max="13335" width="11.5546875" style="263" customWidth="1"/>
    <col min="13336" max="13336" width="13.5546875" style="263" customWidth="1"/>
    <col min="13337" max="13337" width="11.5546875" style="263" customWidth="1"/>
    <col min="13338" max="13338" width="12.109375" style="263" customWidth="1"/>
    <col min="13339" max="13341" width="11.5546875" style="263" customWidth="1"/>
    <col min="13342" max="13342" width="12.33203125" style="263" customWidth="1"/>
    <col min="13343" max="13343" width="13.33203125" style="263" customWidth="1"/>
    <col min="13344" max="13344" width="16.5546875" style="263" customWidth="1"/>
    <col min="13345" max="13345" width="17.44140625" style="263" customWidth="1"/>
    <col min="13346" max="13346" width="14.6640625" style="263" customWidth="1"/>
    <col min="13347" max="13349" width="14.5546875" style="263" customWidth="1"/>
    <col min="13350" max="13350" width="20" style="263" bestFit="1" customWidth="1"/>
    <col min="13351" max="13351" width="20.88671875" style="263" customWidth="1"/>
    <col min="13352" max="13352" width="99" style="263" bestFit="1" customWidth="1"/>
    <col min="13353" max="13353" width="25.88671875" style="263" bestFit="1" customWidth="1"/>
    <col min="13354" max="13569" width="8.88671875" style="263"/>
    <col min="13570" max="13570" width="90.44140625" style="263" customWidth="1"/>
    <col min="13571" max="13591" width="11.5546875" style="263" customWidth="1"/>
    <col min="13592" max="13592" width="13.5546875" style="263" customWidth="1"/>
    <col min="13593" max="13593" width="11.5546875" style="263" customWidth="1"/>
    <col min="13594" max="13594" width="12.109375" style="263" customWidth="1"/>
    <col min="13595" max="13597" width="11.5546875" style="263" customWidth="1"/>
    <col min="13598" max="13598" width="12.33203125" style="263" customWidth="1"/>
    <col min="13599" max="13599" width="13.33203125" style="263" customWidth="1"/>
    <col min="13600" max="13600" width="16.5546875" style="263" customWidth="1"/>
    <col min="13601" max="13601" width="17.44140625" style="263" customWidth="1"/>
    <col min="13602" max="13602" width="14.6640625" style="263" customWidth="1"/>
    <col min="13603" max="13605" width="14.5546875" style="263" customWidth="1"/>
    <col min="13606" max="13606" width="20" style="263" bestFit="1" customWidth="1"/>
    <col min="13607" max="13607" width="20.88671875" style="263" customWidth="1"/>
    <col min="13608" max="13608" width="99" style="263" bestFit="1" customWidth="1"/>
    <col min="13609" max="13609" width="25.88671875" style="263" bestFit="1" customWidth="1"/>
    <col min="13610" max="13825" width="8.88671875" style="263"/>
    <col min="13826" max="13826" width="90.44140625" style="263" customWidth="1"/>
    <col min="13827" max="13847" width="11.5546875" style="263" customWidth="1"/>
    <col min="13848" max="13848" width="13.5546875" style="263" customWidth="1"/>
    <col min="13849" max="13849" width="11.5546875" style="263" customWidth="1"/>
    <col min="13850" max="13850" width="12.109375" style="263" customWidth="1"/>
    <col min="13851" max="13853" width="11.5546875" style="263" customWidth="1"/>
    <col min="13854" max="13854" width="12.33203125" style="263" customWidth="1"/>
    <col min="13855" max="13855" width="13.33203125" style="263" customWidth="1"/>
    <col min="13856" max="13856" width="16.5546875" style="263" customWidth="1"/>
    <col min="13857" max="13857" width="17.44140625" style="263" customWidth="1"/>
    <col min="13858" max="13858" width="14.6640625" style="263" customWidth="1"/>
    <col min="13859" max="13861" width="14.5546875" style="263" customWidth="1"/>
    <col min="13862" max="13862" width="20" style="263" bestFit="1" customWidth="1"/>
    <col min="13863" max="13863" width="20.88671875" style="263" customWidth="1"/>
    <col min="13864" max="13864" width="99" style="263" bestFit="1" customWidth="1"/>
    <col min="13865" max="13865" width="25.88671875" style="263" bestFit="1" customWidth="1"/>
    <col min="13866" max="14081" width="8.88671875" style="263"/>
    <col min="14082" max="14082" width="90.44140625" style="263" customWidth="1"/>
    <col min="14083" max="14103" width="11.5546875" style="263" customWidth="1"/>
    <col min="14104" max="14104" width="13.5546875" style="263" customWidth="1"/>
    <col min="14105" max="14105" width="11.5546875" style="263" customWidth="1"/>
    <col min="14106" max="14106" width="12.109375" style="263" customWidth="1"/>
    <col min="14107" max="14109" width="11.5546875" style="263" customWidth="1"/>
    <col min="14110" max="14110" width="12.33203125" style="263" customWidth="1"/>
    <col min="14111" max="14111" width="13.33203125" style="263" customWidth="1"/>
    <col min="14112" max="14112" width="16.5546875" style="263" customWidth="1"/>
    <col min="14113" max="14113" width="17.44140625" style="263" customWidth="1"/>
    <col min="14114" max="14114" width="14.6640625" style="263" customWidth="1"/>
    <col min="14115" max="14117" width="14.5546875" style="263" customWidth="1"/>
    <col min="14118" max="14118" width="20" style="263" bestFit="1" customWidth="1"/>
    <col min="14119" max="14119" width="20.88671875" style="263" customWidth="1"/>
    <col min="14120" max="14120" width="99" style="263" bestFit="1" customWidth="1"/>
    <col min="14121" max="14121" width="25.88671875" style="263" bestFit="1" customWidth="1"/>
    <col min="14122" max="14337" width="8.88671875" style="263"/>
    <col min="14338" max="14338" width="90.44140625" style="263" customWidth="1"/>
    <col min="14339" max="14359" width="11.5546875" style="263" customWidth="1"/>
    <col min="14360" max="14360" width="13.5546875" style="263" customWidth="1"/>
    <col min="14361" max="14361" width="11.5546875" style="263" customWidth="1"/>
    <col min="14362" max="14362" width="12.109375" style="263" customWidth="1"/>
    <col min="14363" max="14365" width="11.5546875" style="263" customWidth="1"/>
    <col min="14366" max="14366" width="12.33203125" style="263" customWidth="1"/>
    <col min="14367" max="14367" width="13.33203125" style="263" customWidth="1"/>
    <col min="14368" max="14368" width="16.5546875" style="263" customWidth="1"/>
    <col min="14369" max="14369" width="17.44140625" style="263" customWidth="1"/>
    <col min="14370" max="14370" width="14.6640625" style="263" customWidth="1"/>
    <col min="14371" max="14373" width="14.5546875" style="263" customWidth="1"/>
    <col min="14374" max="14374" width="20" style="263" bestFit="1" customWidth="1"/>
    <col min="14375" max="14375" width="20.88671875" style="263" customWidth="1"/>
    <col min="14376" max="14376" width="99" style="263" bestFit="1" customWidth="1"/>
    <col min="14377" max="14377" width="25.88671875" style="263" bestFit="1" customWidth="1"/>
    <col min="14378" max="14593" width="8.88671875" style="263"/>
    <col min="14594" max="14594" width="90.44140625" style="263" customWidth="1"/>
    <col min="14595" max="14615" width="11.5546875" style="263" customWidth="1"/>
    <col min="14616" max="14616" width="13.5546875" style="263" customWidth="1"/>
    <col min="14617" max="14617" width="11.5546875" style="263" customWidth="1"/>
    <col min="14618" max="14618" width="12.109375" style="263" customWidth="1"/>
    <col min="14619" max="14621" width="11.5546875" style="263" customWidth="1"/>
    <col min="14622" max="14622" width="12.33203125" style="263" customWidth="1"/>
    <col min="14623" max="14623" width="13.33203125" style="263" customWidth="1"/>
    <col min="14624" max="14624" width="16.5546875" style="263" customWidth="1"/>
    <col min="14625" max="14625" width="17.44140625" style="263" customWidth="1"/>
    <col min="14626" max="14626" width="14.6640625" style="263" customWidth="1"/>
    <col min="14627" max="14629" width="14.5546875" style="263" customWidth="1"/>
    <col min="14630" max="14630" width="20" style="263" bestFit="1" customWidth="1"/>
    <col min="14631" max="14631" width="20.88671875" style="263" customWidth="1"/>
    <col min="14632" max="14632" width="99" style="263" bestFit="1" customWidth="1"/>
    <col min="14633" max="14633" width="25.88671875" style="263" bestFit="1" customWidth="1"/>
    <col min="14634" max="14849" width="8.88671875" style="263"/>
    <col min="14850" max="14850" width="90.44140625" style="263" customWidth="1"/>
    <col min="14851" max="14871" width="11.5546875" style="263" customWidth="1"/>
    <col min="14872" max="14872" width="13.5546875" style="263" customWidth="1"/>
    <col min="14873" max="14873" width="11.5546875" style="263" customWidth="1"/>
    <col min="14874" max="14874" width="12.109375" style="263" customWidth="1"/>
    <col min="14875" max="14877" width="11.5546875" style="263" customWidth="1"/>
    <col min="14878" max="14878" width="12.33203125" style="263" customWidth="1"/>
    <col min="14879" max="14879" width="13.33203125" style="263" customWidth="1"/>
    <col min="14880" max="14880" width="16.5546875" style="263" customWidth="1"/>
    <col min="14881" max="14881" width="17.44140625" style="263" customWidth="1"/>
    <col min="14882" max="14882" width="14.6640625" style="263" customWidth="1"/>
    <col min="14883" max="14885" width="14.5546875" style="263" customWidth="1"/>
    <col min="14886" max="14886" width="20" style="263" bestFit="1" customWidth="1"/>
    <col min="14887" max="14887" width="20.88671875" style="263" customWidth="1"/>
    <col min="14888" max="14888" width="99" style="263" bestFit="1" customWidth="1"/>
    <col min="14889" max="14889" width="25.88671875" style="263" bestFit="1" customWidth="1"/>
    <col min="14890" max="15105" width="8.88671875" style="263"/>
    <col min="15106" max="15106" width="90.44140625" style="263" customWidth="1"/>
    <col min="15107" max="15127" width="11.5546875" style="263" customWidth="1"/>
    <col min="15128" max="15128" width="13.5546875" style="263" customWidth="1"/>
    <col min="15129" max="15129" width="11.5546875" style="263" customWidth="1"/>
    <col min="15130" max="15130" width="12.109375" style="263" customWidth="1"/>
    <col min="15131" max="15133" width="11.5546875" style="263" customWidth="1"/>
    <col min="15134" max="15134" width="12.33203125" style="263" customWidth="1"/>
    <col min="15135" max="15135" width="13.33203125" style="263" customWidth="1"/>
    <col min="15136" max="15136" width="16.5546875" style="263" customWidth="1"/>
    <col min="15137" max="15137" width="17.44140625" style="263" customWidth="1"/>
    <col min="15138" max="15138" width="14.6640625" style="263" customWidth="1"/>
    <col min="15139" max="15141" width="14.5546875" style="263" customWidth="1"/>
    <col min="15142" max="15142" width="20" style="263" bestFit="1" customWidth="1"/>
    <col min="15143" max="15143" width="20.88671875" style="263" customWidth="1"/>
    <col min="15144" max="15144" width="99" style="263" bestFit="1" customWidth="1"/>
    <col min="15145" max="15145" width="25.88671875" style="263" bestFit="1" customWidth="1"/>
    <col min="15146" max="15361" width="8.88671875" style="263"/>
    <col min="15362" max="15362" width="90.44140625" style="263" customWidth="1"/>
    <col min="15363" max="15383" width="11.5546875" style="263" customWidth="1"/>
    <col min="15384" max="15384" width="13.5546875" style="263" customWidth="1"/>
    <col min="15385" max="15385" width="11.5546875" style="263" customWidth="1"/>
    <col min="15386" max="15386" width="12.109375" style="263" customWidth="1"/>
    <col min="15387" max="15389" width="11.5546875" style="263" customWidth="1"/>
    <col min="15390" max="15390" width="12.33203125" style="263" customWidth="1"/>
    <col min="15391" max="15391" width="13.33203125" style="263" customWidth="1"/>
    <col min="15392" max="15392" width="16.5546875" style="263" customWidth="1"/>
    <col min="15393" max="15393" width="17.44140625" style="263" customWidth="1"/>
    <col min="15394" max="15394" width="14.6640625" style="263" customWidth="1"/>
    <col min="15395" max="15397" width="14.5546875" style="263" customWidth="1"/>
    <col min="15398" max="15398" width="20" style="263" bestFit="1" customWidth="1"/>
    <col min="15399" max="15399" width="20.88671875" style="263" customWidth="1"/>
    <col min="15400" max="15400" width="99" style="263" bestFit="1" customWidth="1"/>
    <col min="15401" max="15401" width="25.88671875" style="263" bestFit="1" customWidth="1"/>
    <col min="15402" max="15617" width="8.88671875" style="263"/>
    <col min="15618" max="15618" width="90.44140625" style="263" customWidth="1"/>
    <col min="15619" max="15639" width="11.5546875" style="263" customWidth="1"/>
    <col min="15640" max="15640" width="13.5546875" style="263" customWidth="1"/>
    <col min="15641" max="15641" width="11.5546875" style="263" customWidth="1"/>
    <col min="15642" max="15642" width="12.109375" style="263" customWidth="1"/>
    <col min="15643" max="15645" width="11.5546875" style="263" customWidth="1"/>
    <col min="15646" max="15646" width="12.33203125" style="263" customWidth="1"/>
    <col min="15647" max="15647" width="13.33203125" style="263" customWidth="1"/>
    <col min="15648" max="15648" width="16.5546875" style="263" customWidth="1"/>
    <col min="15649" max="15649" width="17.44140625" style="263" customWidth="1"/>
    <col min="15650" max="15650" width="14.6640625" style="263" customWidth="1"/>
    <col min="15651" max="15653" width="14.5546875" style="263" customWidth="1"/>
    <col min="15654" max="15654" width="20" style="263" bestFit="1" customWidth="1"/>
    <col min="15655" max="15655" width="20.88671875" style="263" customWidth="1"/>
    <col min="15656" max="15656" width="99" style="263" bestFit="1" customWidth="1"/>
    <col min="15657" max="15657" width="25.88671875" style="263" bestFit="1" customWidth="1"/>
    <col min="15658" max="15873" width="8.88671875" style="263"/>
    <col min="15874" max="15874" width="90.44140625" style="263" customWidth="1"/>
    <col min="15875" max="15895" width="11.5546875" style="263" customWidth="1"/>
    <col min="15896" max="15896" width="13.5546875" style="263" customWidth="1"/>
    <col min="15897" max="15897" width="11.5546875" style="263" customWidth="1"/>
    <col min="15898" max="15898" width="12.109375" style="263" customWidth="1"/>
    <col min="15899" max="15901" width="11.5546875" style="263" customWidth="1"/>
    <col min="15902" max="15902" width="12.33203125" style="263" customWidth="1"/>
    <col min="15903" max="15903" width="13.33203125" style="263" customWidth="1"/>
    <col min="15904" max="15904" width="16.5546875" style="263" customWidth="1"/>
    <col min="15905" max="15905" width="17.44140625" style="263" customWidth="1"/>
    <col min="15906" max="15906" width="14.6640625" style="263" customWidth="1"/>
    <col min="15907" max="15909" width="14.5546875" style="263" customWidth="1"/>
    <col min="15910" max="15910" width="20" style="263" bestFit="1" customWidth="1"/>
    <col min="15911" max="15911" width="20.88671875" style="263" customWidth="1"/>
    <col min="15912" max="15912" width="99" style="263" bestFit="1" customWidth="1"/>
    <col min="15913" max="15913" width="25.88671875" style="263" bestFit="1" customWidth="1"/>
    <col min="15914" max="16129" width="8.88671875" style="263"/>
    <col min="16130" max="16130" width="90.44140625" style="263" customWidth="1"/>
    <col min="16131" max="16151" width="11.5546875" style="263" customWidth="1"/>
    <col min="16152" max="16152" width="13.5546875" style="263" customWidth="1"/>
    <col min="16153" max="16153" width="11.5546875" style="263" customWidth="1"/>
    <col min="16154" max="16154" width="12.109375" style="263" customWidth="1"/>
    <col min="16155" max="16157" width="11.5546875" style="263" customWidth="1"/>
    <col min="16158" max="16158" width="12.33203125" style="263" customWidth="1"/>
    <col min="16159" max="16159" width="13.33203125" style="263" customWidth="1"/>
    <col min="16160" max="16160" width="16.5546875" style="263" customWidth="1"/>
    <col min="16161" max="16161" width="17.44140625" style="263" customWidth="1"/>
    <col min="16162" max="16162" width="14.6640625" style="263" customWidth="1"/>
    <col min="16163" max="16165" width="14.5546875" style="263" customWidth="1"/>
    <col min="16166" max="16166" width="20" style="263" bestFit="1" customWidth="1"/>
    <col min="16167" max="16167" width="20.88671875" style="263" customWidth="1"/>
    <col min="16168" max="16168" width="99" style="263" bestFit="1" customWidth="1"/>
    <col min="16169" max="16169" width="25.88671875" style="263" bestFit="1" customWidth="1"/>
    <col min="16170" max="16384" width="8.88671875" style="263"/>
  </cols>
  <sheetData>
    <row r="1" spans="1:254" ht="25.2" thickBot="1">
      <c r="A1" s="401" t="s">
        <v>399</v>
      </c>
      <c r="B1" s="401"/>
      <c r="C1" s="401"/>
      <c r="D1" s="401"/>
      <c r="E1" s="401"/>
      <c r="F1" s="401"/>
      <c r="G1" s="401"/>
      <c r="H1" s="401"/>
      <c r="I1" s="401"/>
      <c r="J1" s="401"/>
      <c r="K1" s="401"/>
      <c r="L1" s="401"/>
      <c r="M1" s="401"/>
      <c r="N1" s="401"/>
      <c r="O1" s="401"/>
      <c r="P1" s="401"/>
      <c r="Q1" s="402"/>
      <c r="R1" s="402"/>
      <c r="S1" s="402"/>
      <c r="T1" s="402"/>
      <c r="U1" s="402"/>
      <c r="V1" s="402"/>
      <c r="W1" s="402"/>
      <c r="X1" s="402"/>
      <c r="Y1" s="402"/>
      <c r="Z1" s="402"/>
      <c r="AA1" s="260"/>
      <c r="AB1" s="260"/>
    </row>
    <row r="2" spans="1:254" s="272" customFormat="1" ht="34.200000000000003" thickBot="1">
      <c r="A2" s="266" t="s">
        <v>345</v>
      </c>
      <c r="B2" s="267" t="s">
        <v>346</v>
      </c>
      <c r="C2" s="267" t="s">
        <v>347</v>
      </c>
      <c r="D2" s="267" t="s">
        <v>348</v>
      </c>
      <c r="E2" s="267" t="s">
        <v>349</v>
      </c>
      <c r="F2" s="267" t="s">
        <v>350</v>
      </c>
      <c r="G2" s="267" t="s">
        <v>351</v>
      </c>
      <c r="H2" s="267" t="s">
        <v>352</v>
      </c>
      <c r="I2" s="267" t="s">
        <v>353</v>
      </c>
      <c r="J2" s="267" t="s">
        <v>354</v>
      </c>
      <c r="K2" s="267" t="s">
        <v>355</v>
      </c>
      <c r="L2" s="267" t="s">
        <v>356</v>
      </c>
      <c r="M2" s="267" t="s">
        <v>357</v>
      </c>
      <c r="N2" s="268">
        <v>1992</v>
      </c>
      <c r="O2" s="268">
        <v>1993</v>
      </c>
      <c r="P2" s="269">
        <v>1994</v>
      </c>
      <c r="Q2" s="269">
        <v>1995</v>
      </c>
      <c r="R2" s="269">
        <v>1996</v>
      </c>
      <c r="S2" s="269">
        <v>1997</v>
      </c>
      <c r="T2" s="269">
        <v>1998</v>
      </c>
      <c r="U2" s="269">
        <v>1999</v>
      </c>
      <c r="V2" s="269">
        <v>2000</v>
      </c>
      <c r="W2" s="269">
        <v>2001</v>
      </c>
      <c r="X2" s="269">
        <v>2002</v>
      </c>
      <c r="Y2" s="269">
        <v>2003</v>
      </c>
      <c r="Z2" s="269">
        <v>2004</v>
      </c>
      <c r="AA2" s="269">
        <v>2005</v>
      </c>
      <c r="AB2" s="270">
        <v>2006</v>
      </c>
      <c r="AC2" s="270">
        <v>2007</v>
      </c>
      <c r="AD2" s="270">
        <v>2008</v>
      </c>
      <c r="AE2" s="270">
        <v>2009</v>
      </c>
      <c r="AF2" s="270">
        <v>2010</v>
      </c>
      <c r="AG2" s="270">
        <v>2011</v>
      </c>
      <c r="AH2" s="270">
        <v>2012</v>
      </c>
      <c r="AI2" s="270">
        <v>2013</v>
      </c>
      <c r="AJ2" s="270">
        <v>2014</v>
      </c>
      <c r="AK2" s="270">
        <v>2015</v>
      </c>
      <c r="AL2" s="270">
        <v>2016</v>
      </c>
      <c r="AM2" s="270">
        <v>2017</v>
      </c>
      <c r="AN2" s="270">
        <v>2018</v>
      </c>
      <c r="AO2" s="270">
        <v>2019</v>
      </c>
      <c r="AP2" s="270">
        <v>2020</v>
      </c>
      <c r="AQ2" s="270">
        <v>2021</v>
      </c>
      <c r="AR2" s="271"/>
      <c r="AS2" s="271"/>
      <c r="AT2" s="271"/>
      <c r="AU2" s="271"/>
      <c r="AV2" s="271"/>
      <c r="AW2" s="271"/>
      <c r="AX2" s="271"/>
      <c r="AY2" s="271"/>
      <c r="AZ2" s="271"/>
      <c r="BA2" s="271"/>
      <c r="BB2" s="271"/>
      <c r="BC2" s="271"/>
      <c r="BD2" s="271"/>
      <c r="BE2" s="271"/>
      <c r="BF2" s="271"/>
      <c r="BG2" s="271"/>
      <c r="BH2" s="271"/>
      <c r="BI2" s="271"/>
      <c r="BJ2" s="271"/>
      <c r="BK2" s="271"/>
      <c r="BL2" s="271"/>
      <c r="BM2" s="271"/>
      <c r="BN2" s="271"/>
      <c r="BO2" s="271"/>
      <c r="BP2" s="271"/>
      <c r="BQ2" s="271"/>
      <c r="BR2" s="271"/>
      <c r="BS2" s="271"/>
      <c r="BT2" s="271"/>
      <c r="BU2" s="271"/>
      <c r="BV2" s="271"/>
      <c r="BW2" s="271"/>
      <c r="BX2" s="271"/>
      <c r="BY2" s="271"/>
      <c r="BZ2" s="271"/>
      <c r="CA2" s="271"/>
      <c r="CB2" s="271"/>
      <c r="CC2" s="271"/>
      <c r="CD2" s="271"/>
      <c r="CE2" s="271"/>
      <c r="CF2" s="271"/>
      <c r="CG2" s="271"/>
      <c r="CH2" s="271"/>
      <c r="CI2" s="271"/>
      <c r="CJ2" s="271"/>
      <c r="CK2" s="271"/>
      <c r="CL2" s="271"/>
      <c r="CM2" s="271"/>
      <c r="CN2" s="271"/>
      <c r="CO2" s="271"/>
      <c r="CP2" s="271"/>
      <c r="CQ2" s="271"/>
      <c r="CR2" s="271"/>
      <c r="CS2" s="271"/>
      <c r="CT2" s="271"/>
      <c r="CU2" s="271"/>
      <c r="CV2" s="271"/>
      <c r="CW2" s="271"/>
      <c r="CX2" s="271"/>
      <c r="CY2" s="271"/>
      <c r="CZ2" s="271"/>
      <c r="DA2" s="271"/>
      <c r="DB2" s="271"/>
      <c r="DC2" s="271"/>
      <c r="DD2" s="271"/>
      <c r="DE2" s="271"/>
      <c r="DF2" s="271"/>
      <c r="DG2" s="271"/>
      <c r="DH2" s="271"/>
      <c r="DI2" s="271"/>
      <c r="DJ2" s="271"/>
      <c r="DK2" s="271"/>
      <c r="DL2" s="271"/>
      <c r="DM2" s="271"/>
      <c r="DN2" s="271"/>
      <c r="DO2" s="271"/>
      <c r="DP2" s="271"/>
      <c r="DQ2" s="271"/>
      <c r="DR2" s="271"/>
      <c r="DS2" s="271"/>
      <c r="DT2" s="271"/>
      <c r="DU2" s="271"/>
      <c r="DV2" s="271"/>
      <c r="DW2" s="271"/>
      <c r="DX2" s="271"/>
      <c r="DY2" s="271"/>
      <c r="DZ2" s="271"/>
      <c r="EA2" s="271"/>
      <c r="EB2" s="271"/>
      <c r="EC2" s="271"/>
      <c r="ED2" s="271"/>
      <c r="EE2" s="271"/>
      <c r="EF2" s="271"/>
      <c r="EG2" s="271"/>
      <c r="EH2" s="271"/>
      <c r="EI2" s="271"/>
      <c r="EJ2" s="271"/>
      <c r="EK2" s="271"/>
      <c r="EL2" s="271"/>
      <c r="EM2" s="271"/>
      <c r="EN2" s="271"/>
      <c r="EO2" s="271"/>
      <c r="EP2" s="271"/>
      <c r="EQ2" s="271"/>
      <c r="ER2" s="271"/>
      <c r="ES2" s="271"/>
      <c r="ET2" s="271"/>
      <c r="EU2" s="271"/>
      <c r="EV2" s="271"/>
      <c r="EW2" s="271"/>
      <c r="EX2" s="271"/>
      <c r="EY2" s="271"/>
      <c r="EZ2" s="271"/>
      <c r="FA2" s="271"/>
      <c r="FB2" s="271"/>
      <c r="FC2" s="271"/>
      <c r="FD2" s="271"/>
      <c r="FE2" s="271"/>
      <c r="FF2" s="271"/>
      <c r="FG2" s="271"/>
      <c r="FH2" s="271"/>
      <c r="FI2" s="271"/>
      <c r="FJ2" s="271"/>
      <c r="FK2" s="271"/>
      <c r="FL2" s="271"/>
      <c r="FM2" s="271"/>
      <c r="FN2" s="271"/>
      <c r="FO2" s="271"/>
      <c r="FP2" s="271"/>
      <c r="FQ2" s="271"/>
      <c r="FR2" s="271"/>
      <c r="FS2" s="271"/>
      <c r="FT2" s="271"/>
      <c r="FU2" s="271"/>
      <c r="FV2" s="271"/>
      <c r="FW2" s="271"/>
      <c r="FX2" s="271"/>
      <c r="FY2" s="271"/>
      <c r="FZ2" s="271"/>
      <c r="GA2" s="271"/>
      <c r="GB2" s="271"/>
      <c r="GC2" s="271"/>
      <c r="GD2" s="271"/>
      <c r="GE2" s="271"/>
      <c r="GF2" s="271"/>
      <c r="GG2" s="271"/>
      <c r="GH2" s="271"/>
      <c r="GI2" s="271"/>
      <c r="GJ2" s="271"/>
      <c r="GK2" s="271"/>
      <c r="GL2" s="271"/>
      <c r="GM2" s="271"/>
      <c r="GN2" s="271"/>
      <c r="GO2" s="271"/>
      <c r="GP2" s="271"/>
      <c r="GQ2" s="271"/>
      <c r="GR2" s="271"/>
      <c r="GS2" s="271"/>
      <c r="GT2" s="271"/>
      <c r="GU2" s="271"/>
      <c r="GV2" s="271"/>
      <c r="GW2" s="271"/>
      <c r="GX2" s="271"/>
      <c r="GY2" s="271"/>
      <c r="GZ2" s="271"/>
      <c r="HA2" s="271"/>
      <c r="HB2" s="271"/>
      <c r="HC2" s="271"/>
      <c r="HD2" s="271"/>
      <c r="HE2" s="271"/>
      <c r="HF2" s="271"/>
      <c r="HG2" s="271"/>
      <c r="HH2" s="271"/>
      <c r="HI2" s="271"/>
      <c r="HJ2" s="271"/>
      <c r="HK2" s="271"/>
      <c r="HL2" s="271"/>
      <c r="HM2" s="271"/>
      <c r="HN2" s="271"/>
      <c r="HO2" s="271"/>
      <c r="HP2" s="271"/>
      <c r="HQ2" s="271"/>
      <c r="HR2" s="271"/>
      <c r="HS2" s="271"/>
      <c r="HT2" s="271"/>
      <c r="HU2" s="271"/>
      <c r="HV2" s="271"/>
      <c r="HW2" s="271"/>
      <c r="HX2" s="271"/>
      <c r="HY2" s="271"/>
      <c r="HZ2" s="271"/>
      <c r="IA2" s="271"/>
      <c r="IB2" s="271"/>
      <c r="IC2" s="271"/>
      <c r="ID2" s="271"/>
      <c r="IE2" s="271"/>
      <c r="IF2" s="271"/>
      <c r="IG2" s="271"/>
      <c r="IH2" s="271"/>
      <c r="II2" s="271"/>
      <c r="IJ2" s="271"/>
      <c r="IK2" s="271"/>
      <c r="IL2" s="271"/>
      <c r="IM2" s="271"/>
      <c r="IN2" s="271"/>
      <c r="IO2" s="271"/>
      <c r="IP2" s="271"/>
      <c r="IQ2" s="271"/>
      <c r="IR2" s="271"/>
      <c r="IS2" s="271"/>
      <c r="IT2" s="271"/>
    </row>
    <row r="3" spans="1:254" s="279" customFormat="1" ht="18">
      <c r="A3" s="273" t="s">
        <v>380</v>
      </c>
      <c r="B3" s="274"/>
      <c r="C3" s="275"/>
      <c r="D3" s="275"/>
      <c r="E3" s="275"/>
      <c r="F3" s="275"/>
      <c r="G3" s="275"/>
      <c r="H3" s="275"/>
      <c r="I3" s="275"/>
      <c r="J3" s="275"/>
      <c r="K3" s="275"/>
      <c r="L3" s="275"/>
      <c r="M3" s="275"/>
      <c r="N3" s="275"/>
      <c r="O3" s="275"/>
      <c r="P3" s="276"/>
      <c r="Q3" s="276"/>
      <c r="R3" s="276"/>
      <c r="S3" s="276"/>
      <c r="T3" s="276"/>
      <c r="U3" s="276"/>
      <c r="V3" s="276"/>
      <c r="W3" s="276"/>
      <c r="X3" s="276"/>
      <c r="Y3" s="276"/>
      <c r="Z3" s="276"/>
      <c r="AA3" s="276"/>
      <c r="AB3" s="277"/>
      <c r="AC3" s="278"/>
      <c r="AD3" s="278"/>
      <c r="AE3" s="278"/>
      <c r="AF3" s="278"/>
      <c r="AG3" s="278"/>
      <c r="AH3" s="278"/>
      <c r="AI3" s="278"/>
      <c r="AJ3" s="278"/>
      <c r="AK3" s="278"/>
      <c r="AL3" s="278"/>
      <c r="AM3" s="278"/>
      <c r="AN3" s="278"/>
      <c r="AO3" s="278"/>
      <c r="AP3" s="278"/>
      <c r="AQ3" s="278"/>
      <c r="AR3" s="271"/>
      <c r="AS3" s="271"/>
      <c r="AT3" s="271"/>
      <c r="AU3" s="271"/>
      <c r="AV3" s="271"/>
      <c r="AW3" s="271"/>
      <c r="AX3" s="271"/>
      <c r="AY3" s="271"/>
      <c r="AZ3" s="271"/>
      <c r="BA3" s="271"/>
      <c r="BB3" s="271"/>
      <c r="BC3" s="271"/>
      <c r="BD3" s="271"/>
      <c r="BE3" s="271"/>
      <c r="BF3" s="271"/>
      <c r="BG3" s="271"/>
      <c r="BH3" s="271"/>
      <c r="BI3" s="271"/>
      <c r="BJ3" s="271"/>
      <c r="BK3" s="271"/>
      <c r="BL3" s="271"/>
      <c r="BM3" s="271"/>
      <c r="BN3" s="271"/>
      <c r="BO3" s="271"/>
      <c r="BP3" s="271"/>
      <c r="BQ3" s="271"/>
      <c r="BR3" s="271"/>
      <c r="BS3" s="271"/>
      <c r="BT3" s="271"/>
      <c r="BU3" s="271"/>
      <c r="BV3" s="271"/>
      <c r="BW3" s="271"/>
      <c r="BX3" s="271"/>
      <c r="BY3" s="271"/>
      <c r="BZ3" s="271"/>
      <c r="CA3" s="271"/>
      <c r="CB3" s="271"/>
      <c r="CC3" s="271"/>
      <c r="CD3" s="271"/>
      <c r="CE3" s="271"/>
      <c r="CF3" s="271"/>
      <c r="CG3" s="271"/>
      <c r="CH3" s="271"/>
      <c r="CI3" s="271"/>
      <c r="CJ3" s="271"/>
      <c r="CK3" s="271"/>
      <c r="CL3" s="271"/>
      <c r="CM3" s="271"/>
      <c r="CN3" s="271"/>
      <c r="CO3" s="271"/>
      <c r="CP3" s="271"/>
      <c r="CQ3" s="271"/>
      <c r="CR3" s="271"/>
      <c r="CS3" s="271"/>
      <c r="CT3" s="271"/>
      <c r="CU3" s="271"/>
      <c r="CV3" s="271"/>
      <c r="CW3" s="271"/>
      <c r="CX3" s="271"/>
      <c r="CY3" s="271"/>
      <c r="CZ3" s="271"/>
      <c r="DA3" s="271"/>
      <c r="DB3" s="271"/>
      <c r="DC3" s="271"/>
      <c r="DD3" s="271"/>
      <c r="DE3" s="271"/>
      <c r="DF3" s="271"/>
      <c r="DG3" s="271"/>
      <c r="DH3" s="271"/>
      <c r="DI3" s="271"/>
      <c r="DJ3" s="271"/>
      <c r="DK3" s="271"/>
      <c r="DL3" s="271"/>
      <c r="DM3" s="271"/>
      <c r="DN3" s="271"/>
      <c r="DO3" s="271"/>
      <c r="DP3" s="271"/>
      <c r="DQ3" s="271"/>
      <c r="DR3" s="271"/>
      <c r="DS3" s="271"/>
      <c r="DT3" s="271"/>
      <c r="DU3" s="271"/>
      <c r="DV3" s="271"/>
      <c r="DW3" s="271"/>
      <c r="DX3" s="271"/>
      <c r="DY3" s="271"/>
      <c r="DZ3" s="271"/>
      <c r="EA3" s="271"/>
      <c r="EB3" s="271"/>
      <c r="EC3" s="271"/>
      <c r="ED3" s="271"/>
      <c r="EE3" s="271"/>
      <c r="EF3" s="271"/>
      <c r="EG3" s="271"/>
      <c r="EH3" s="271"/>
      <c r="EI3" s="271"/>
      <c r="EJ3" s="271"/>
      <c r="EK3" s="271"/>
      <c r="EL3" s="271"/>
      <c r="EM3" s="271"/>
      <c r="EN3" s="271"/>
      <c r="EO3" s="271"/>
      <c r="EP3" s="271"/>
      <c r="EQ3" s="271"/>
      <c r="ER3" s="271"/>
      <c r="ES3" s="271"/>
      <c r="ET3" s="271"/>
      <c r="EU3" s="271"/>
      <c r="EV3" s="271"/>
      <c r="EW3" s="271"/>
      <c r="EX3" s="271"/>
      <c r="EY3" s="271"/>
      <c r="EZ3" s="271"/>
      <c r="FA3" s="271"/>
      <c r="FB3" s="271"/>
      <c r="FC3" s="271"/>
      <c r="FD3" s="271"/>
      <c r="FE3" s="271"/>
      <c r="FF3" s="271"/>
      <c r="FG3" s="271"/>
      <c r="FH3" s="271"/>
      <c r="FI3" s="271"/>
      <c r="FJ3" s="271"/>
      <c r="FK3" s="271"/>
      <c r="FL3" s="271"/>
      <c r="FM3" s="271"/>
      <c r="FN3" s="271"/>
      <c r="FO3" s="271"/>
      <c r="FP3" s="271"/>
      <c r="FQ3" s="271"/>
      <c r="FR3" s="271"/>
      <c r="FS3" s="271"/>
      <c r="FT3" s="271"/>
      <c r="FU3" s="271"/>
      <c r="FV3" s="271"/>
      <c r="FW3" s="271"/>
      <c r="FX3" s="271"/>
      <c r="FY3" s="271"/>
      <c r="FZ3" s="271"/>
      <c r="GA3" s="271"/>
      <c r="GB3" s="271"/>
      <c r="GC3" s="271"/>
      <c r="GD3" s="271"/>
      <c r="GE3" s="271"/>
      <c r="GF3" s="271"/>
      <c r="GG3" s="271"/>
      <c r="GH3" s="271"/>
      <c r="GI3" s="271"/>
      <c r="GJ3" s="271"/>
      <c r="GK3" s="271"/>
      <c r="GL3" s="271"/>
      <c r="GM3" s="271"/>
      <c r="GN3" s="271"/>
      <c r="GO3" s="271"/>
      <c r="GP3" s="271"/>
      <c r="GQ3" s="271"/>
      <c r="GR3" s="271"/>
      <c r="GS3" s="271"/>
      <c r="GT3" s="271"/>
      <c r="GU3" s="271"/>
      <c r="GV3" s="271"/>
      <c r="GW3" s="271"/>
      <c r="GX3" s="271"/>
      <c r="GY3" s="271"/>
      <c r="GZ3" s="271"/>
      <c r="HA3" s="271"/>
      <c r="HB3" s="271"/>
      <c r="HC3" s="271"/>
      <c r="HD3" s="271"/>
      <c r="HE3" s="271"/>
      <c r="HF3" s="271"/>
      <c r="HG3" s="271"/>
      <c r="HH3" s="271"/>
      <c r="HI3" s="271"/>
      <c r="HJ3" s="271"/>
      <c r="HK3" s="271"/>
      <c r="HL3" s="271"/>
      <c r="HM3" s="271"/>
      <c r="HN3" s="271"/>
      <c r="HO3" s="271"/>
      <c r="HP3" s="271"/>
      <c r="HQ3" s="271"/>
      <c r="HR3" s="271"/>
      <c r="HS3" s="271"/>
      <c r="HT3" s="271"/>
      <c r="HU3" s="271"/>
      <c r="HV3" s="271"/>
      <c r="HW3" s="271"/>
      <c r="HX3" s="271"/>
      <c r="HY3" s="271"/>
      <c r="HZ3" s="271"/>
      <c r="IA3" s="271"/>
      <c r="IB3" s="271"/>
      <c r="IC3" s="271"/>
      <c r="ID3" s="271"/>
      <c r="IE3" s="271"/>
      <c r="IF3" s="271"/>
      <c r="IG3" s="271"/>
      <c r="IH3" s="271"/>
      <c r="II3" s="271"/>
      <c r="IJ3" s="271"/>
      <c r="IK3" s="271"/>
      <c r="IL3" s="271"/>
      <c r="IM3" s="271"/>
      <c r="IN3" s="271"/>
      <c r="IO3" s="271"/>
      <c r="IP3" s="271"/>
      <c r="IQ3" s="271"/>
      <c r="IR3" s="271"/>
      <c r="IS3" s="271"/>
      <c r="IT3" s="271"/>
    </row>
    <row r="4" spans="1:254" s="279" customFormat="1" ht="16.2">
      <c r="A4" s="280" t="s">
        <v>358</v>
      </c>
      <c r="B4" s="281">
        <v>0</v>
      </c>
      <c r="C4" s="282">
        <v>0</v>
      </c>
      <c r="D4" s="282">
        <v>0</v>
      </c>
      <c r="E4" s="282">
        <v>0</v>
      </c>
      <c r="F4" s="282">
        <v>0</v>
      </c>
      <c r="G4" s="282">
        <v>10.199999999999999</v>
      </c>
      <c r="H4" s="281">
        <v>8</v>
      </c>
      <c r="I4" s="281">
        <v>4.7</v>
      </c>
      <c r="J4" s="281">
        <v>7.7</v>
      </c>
      <c r="K4" s="281">
        <v>8.3000000000000007</v>
      </c>
      <c r="L4" s="281">
        <v>16.2</v>
      </c>
      <c r="M4" s="281">
        <v>17.7</v>
      </c>
      <c r="N4" s="281">
        <v>11.2</v>
      </c>
      <c r="O4" s="281">
        <v>17.3</v>
      </c>
      <c r="P4" s="283">
        <v>20.5</v>
      </c>
      <c r="Q4" s="283">
        <v>32.5</v>
      </c>
      <c r="R4" s="283">
        <v>26</v>
      </c>
      <c r="S4" s="283">
        <v>28.1</v>
      </c>
      <c r="T4" s="283">
        <v>22</v>
      </c>
      <c r="U4" s="283">
        <v>14.7</v>
      </c>
      <c r="V4" s="283">
        <v>13.9</v>
      </c>
      <c r="W4" s="283">
        <v>16.5</v>
      </c>
      <c r="X4" s="283">
        <v>6.1</v>
      </c>
      <c r="Y4" s="283">
        <v>11.6</v>
      </c>
      <c r="Z4" s="283">
        <v>8.5</v>
      </c>
      <c r="AA4" s="283">
        <v>12.2</v>
      </c>
      <c r="AB4" s="284">
        <v>35.4</v>
      </c>
      <c r="AC4" s="285">
        <v>35.168999999999997</v>
      </c>
      <c r="AD4" s="285">
        <v>25.53447087</v>
      </c>
      <c r="AE4" s="285">
        <v>27.412362430000002</v>
      </c>
      <c r="AF4" s="285">
        <v>39.998391389999995</v>
      </c>
      <c r="AG4" s="285">
        <v>90.166620269999981</v>
      </c>
      <c r="AH4" s="286">
        <v>57.45</v>
      </c>
      <c r="AI4" s="287">
        <v>52.1</v>
      </c>
      <c r="AJ4" s="287">
        <v>37.353348319999995</v>
      </c>
      <c r="AK4" s="287">
        <v>21.373337419999999</v>
      </c>
      <c r="AL4" s="287">
        <v>16.02998393</v>
      </c>
      <c r="AM4" s="287">
        <v>5.4</v>
      </c>
      <c r="AN4" s="287">
        <v>30.668736860000003</v>
      </c>
      <c r="AO4" s="287">
        <v>22.312997709999998</v>
      </c>
      <c r="AP4" s="287">
        <v>40.184699219999999</v>
      </c>
      <c r="AQ4" s="287">
        <v>41.9</v>
      </c>
      <c r="AR4" s="271"/>
      <c r="AS4" s="271"/>
      <c r="AT4" s="271"/>
      <c r="AU4" s="271"/>
      <c r="AV4" s="271"/>
      <c r="AW4" s="271"/>
      <c r="AX4" s="271"/>
      <c r="AY4" s="271"/>
      <c r="AZ4" s="271"/>
      <c r="BA4" s="271"/>
      <c r="BB4" s="271"/>
      <c r="BC4" s="271"/>
      <c r="BD4" s="271"/>
      <c r="BE4" s="271"/>
      <c r="BF4" s="271"/>
      <c r="BG4" s="271"/>
      <c r="BH4" s="271"/>
      <c r="BI4" s="271"/>
      <c r="BJ4" s="271"/>
      <c r="BK4" s="271"/>
      <c r="BL4" s="271"/>
      <c r="BM4" s="271"/>
      <c r="BN4" s="271"/>
      <c r="BO4" s="271"/>
      <c r="BP4" s="271"/>
      <c r="BQ4" s="271"/>
      <c r="BR4" s="271"/>
      <c r="BS4" s="271"/>
      <c r="BT4" s="271"/>
      <c r="BU4" s="271"/>
      <c r="BV4" s="271"/>
      <c r="BW4" s="271"/>
      <c r="BX4" s="271"/>
      <c r="BY4" s="271"/>
      <c r="BZ4" s="271"/>
      <c r="CA4" s="271"/>
      <c r="CB4" s="271"/>
      <c r="CC4" s="271"/>
      <c r="CD4" s="271"/>
      <c r="CE4" s="271"/>
      <c r="CF4" s="271"/>
      <c r="CG4" s="271"/>
      <c r="CH4" s="271"/>
      <c r="CI4" s="271"/>
      <c r="CJ4" s="271"/>
      <c r="CK4" s="271"/>
      <c r="CL4" s="271"/>
      <c r="CM4" s="271"/>
      <c r="CN4" s="271"/>
      <c r="CO4" s="271"/>
      <c r="CP4" s="271"/>
      <c r="CQ4" s="271"/>
      <c r="CR4" s="271"/>
      <c r="CS4" s="271"/>
      <c r="CT4" s="271"/>
      <c r="CU4" s="271"/>
      <c r="CV4" s="271"/>
      <c r="CW4" s="271"/>
      <c r="CX4" s="271"/>
      <c r="CY4" s="271"/>
      <c r="CZ4" s="271"/>
      <c r="DA4" s="271"/>
      <c r="DB4" s="271"/>
      <c r="DC4" s="271"/>
      <c r="DD4" s="271"/>
      <c r="DE4" s="271"/>
      <c r="DF4" s="271"/>
      <c r="DG4" s="271"/>
      <c r="DH4" s="271"/>
      <c r="DI4" s="271"/>
      <c r="DJ4" s="271"/>
      <c r="DK4" s="271"/>
      <c r="DL4" s="271"/>
      <c r="DM4" s="271"/>
      <c r="DN4" s="271"/>
      <c r="DO4" s="271"/>
      <c r="DP4" s="271"/>
      <c r="DQ4" s="271"/>
      <c r="DR4" s="271"/>
      <c r="DS4" s="271"/>
      <c r="DT4" s="271"/>
      <c r="DU4" s="271"/>
      <c r="DV4" s="271"/>
      <c r="DW4" s="271"/>
      <c r="DX4" s="271"/>
      <c r="DY4" s="271"/>
      <c r="DZ4" s="271"/>
      <c r="EA4" s="271"/>
      <c r="EB4" s="271"/>
      <c r="EC4" s="271"/>
      <c r="ED4" s="271"/>
      <c r="EE4" s="271"/>
      <c r="EF4" s="271"/>
      <c r="EG4" s="271"/>
      <c r="EH4" s="271"/>
      <c r="EI4" s="271"/>
      <c r="EJ4" s="271"/>
      <c r="EK4" s="271"/>
      <c r="EL4" s="271"/>
      <c r="EM4" s="271"/>
      <c r="EN4" s="271"/>
      <c r="EO4" s="271"/>
      <c r="EP4" s="271"/>
      <c r="EQ4" s="271"/>
      <c r="ER4" s="271"/>
      <c r="ES4" s="271"/>
      <c r="ET4" s="271"/>
      <c r="EU4" s="271"/>
      <c r="EV4" s="271"/>
      <c r="EW4" s="271"/>
      <c r="EX4" s="271"/>
      <c r="EY4" s="271"/>
      <c r="EZ4" s="271"/>
      <c r="FA4" s="271"/>
      <c r="FB4" s="271"/>
      <c r="FC4" s="271"/>
      <c r="FD4" s="271"/>
      <c r="FE4" s="271"/>
      <c r="FF4" s="271"/>
      <c r="FG4" s="271"/>
      <c r="FH4" s="271"/>
      <c r="FI4" s="271"/>
      <c r="FJ4" s="271"/>
      <c r="FK4" s="271"/>
      <c r="FL4" s="271"/>
      <c r="FM4" s="271"/>
      <c r="FN4" s="271"/>
      <c r="FO4" s="271"/>
      <c r="FP4" s="271"/>
      <c r="FQ4" s="271"/>
      <c r="FR4" s="271"/>
      <c r="FS4" s="271"/>
      <c r="FT4" s="271"/>
      <c r="FU4" s="271"/>
      <c r="FV4" s="271"/>
      <c r="FW4" s="271"/>
      <c r="FX4" s="271"/>
      <c r="FY4" s="271"/>
      <c r="FZ4" s="271"/>
      <c r="GA4" s="271"/>
      <c r="GB4" s="271"/>
      <c r="GC4" s="271"/>
      <c r="GD4" s="271"/>
      <c r="GE4" s="271"/>
      <c r="GF4" s="271"/>
      <c r="GG4" s="271"/>
      <c r="GH4" s="271"/>
      <c r="GI4" s="271"/>
      <c r="GJ4" s="271"/>
      <c r="GK4" s="271"/>
      <c r="GL4" s="271"/>
      <c r="GM4" s="271"/>
      <c r="GN4" s="271"/>
      <c r="GO4" s="271"/>
      <c r="GP4" s="271"/>
      <c r="GQ4" s="271"/>
      <c r="GR4" s="271"/>
      <c r="GS4" s="271"/>
      <c r="GT4" s="271"/>
      <c r="GU4" s="271"/>
      <c r="GV4" s="271"/>
      <c r="GW4" s="271"/>
      <c r="GX4" s="271"/>
      <c r="GY4" s="271"/>
      <c r="GZ4" s="271"/>
      <c r="HA4" s="271"/>
      <c r="HB4" s="271"/>
      <c r="HC4" s="271"/>
      <c r="HD4" s="271"/>
      <c r="HE4" s="271"/>
      <c r="HF4" s="271"/>
      <c r="HG4" s="271"/>
      <c r="HH4" s="271"/>
      <c r="HI4" s="271"/>
      <c r="HJ4" s="271"/>
      <c r="HK4" s="271"/>
      <c r="HL4" s="271"/>
      <c r="HM4" s="271"/>
      <c r="HN4" s="271"/>
      <c r="HO4" s="271"/>
      <c r="HP4" s="271"/>
      <c r="HQ4" s="271"/>
      <c r="HR4" s="271"/>
      <c r="HS4" s="271"/>
      <c r="HT4" s="271"/>
      <c r="HU4" s="271"/>
      <c r="HV4" s="271"/>
      <c r="HW4" s="271"/>
      <c r="HX4" s="271"/>
      <c r="HY4" s="271"/>
      <c r="HZ4" s="271"/>
      <c r="IA4" s="271"/>
      <c r="IB4" s="271"/>
      <c r="IC4" s="271"/>
      <c r="ID4" s="271"/>
      <c r="IE4" s="271"/>
      <c r="IF4" s="271"/>
      <c r="IG4" s="271"/>
      <c r="IH4" s="271"/>
      <c r="II4" s="271"/>
      <c r="IJ4" s="271"/>
      <c r="IK4" s="271"/>
      <c r="IL4" s="271"/>
      <c r="IM4" s="271"/>
      <c r="IN4" s="271"/>
      <c r="IO4" s="271"/>
      <c r="IP4" s="271"/>
      <c r="IQ4" s="271"/>
      <c r="IR4" s="271"/>
      <c r="IS4" s="271"/>
      <c r="IT4" s="271"/>
    </row>
    <row r="5" spans="1:254" s="279" customFormat="1" ht="16.2">
      <c r="A5" s="288" t="s">
        <v>440</v>
      </c>
      <c r="B5" s="289">
        <v>0</v>
      </c>
      <c r="C5" s="289">
        <v>0</v>
      </c>
      <c r="D5" s="289">
        <v>0</v>
      </c>
      <c r="E5" s="289">
        <v>0</v>
      </c>
      <c r="F5" s="289">
        <v>0</v>
      </c>
      <c r="G5" s="289">
        <v>0</v>
      </c>
      <c r="H5" s="289">
        <v>0</v>
      </c>
      <c r="I5" s="289">
        <v>0</v>
      </c>
      <c r="J5" s="289">
        <v>0</v>
      </c>
      <c r="K5" s="289">
        <v>0</v>
      </c>
      <c r="L5" s="289">
        <v>0</v>
      </c>
      <c r="M5" s="289">
        <v>0</v>
      </c>
      <c r="N5" s="289">
        <v>0</v>
      </c>
      <c r="O5" s="289">
        <v>0</v>
      </c>
      <c r="P5" s="289">
        <v>0</v>
      </c>
      <c r="Q5" s="289">
        <v>0</v>
      </c>
      <c r="R5" s="289">
        <v>0</v>
      </c>
      <c r="S5" s="289">
        <v>0</v>
      </c>
      <c r="T5" s="289">
        <v>0</v>
      </c>
      <c r="U5" s="289">
        <v>0</v>
      </c>
      <c r="V5" s="289">
        <v>0</v>
      </c>
      <c r="W5" s="289">
        <v>0</v>
      </c>
      <c r="X5" s="289">
        <v>0</v>
      </c>
      <c r="Y5" s="289">
        <v>0</v>
      </c>
      <c r="Z5" s="289">
        <v>0</v>
      </c>
      <c r="AA5" s="289">
        <v>0</v>
      </c>
      <c r="AB5" s="284">
        <v>0.9</v>
      </c>
      <c r="AC5" s="285">
        <v>1.0369999999999999</v>
      </c>
      <c r="AD5" s="285">
        <v>1.3368422</v>
      </c>
      <c r="AE5" s="285">
        <v>0.59909880000000004</v>
      </c>
      <c r="AF5" s="285">
        <v>1.2177011199999999</v>
      </c>
      <c r="AG5" s="285">
        <v>0.82124492000000027</v>
      </c>
      <c r="AH5" s="286">
        <v>0.380297</v>
      </c>
      <c r="AI5" s="287">
        <v>0</v>
      </c>
      <c r="AJ5" s="287">
        <v>0.1</v>
      </c>
      <c r="AK5" s="287">
        <v>1.3566744300000002</v>
      </c>
      <c r="AL5" s="287">
        <v>1.2080949699999999</v>
      </c>
      <c r="AM5" s="287">
        <v>1.4</v>
      </c>
      <c r="AN5" s="287">
        <v>0.78166014000000006</v>
      </c>
      <c r="AO5" s="287">
        <v>1.256752E-2</v>
      </c>
      <c r="AP5" s="287">
        <v>0</v>
      </c>
      <c r="AQ5" s="287">
        <v>0</v>
      </c>
      <c r="AR5" s="271"/>
      <c r="AS5" s="271"/>
      <c r="AT5" s="271"/>
      <c r="AU5" s="271"/>
      <c r="AV5" s="271"/>
      <c r="AW5" s="271"/>
      <c r="AX5" s="271"/>
      <c r="AY5" s="271"/>
      <c r="AZ5" s="271"/>
      <c r="BA5" s="271"/>
      <c r="BB5" s="271"/>
      <c r="BC5" s="271"/>
      <c r="BD5" s="271"/>
      <c r="BE5" s="271"/>
      <c r="BF5" s="271"/>
      <c r="BG5" s="271"/>
      <c r="BH5" s="271"/>
      <c r="BI5" s="271"/>
      <c r="BJ5" s="271"/>
      <c r="BK5" s="271"/>
      <c r="BL5" s="271"/>
      <c r="BM5" s="271"/>
      <c r="BN5" s="271"/>
      <c r="BO5" s="271"/>
      <c r="BP5" s="271"/>
      <c r="BQ5" s="271"/>
      <c r="BR5" s="271"/>
      <c r="BS5" s="271"/>
      <c r="BT5" s="271"/>
      <c r="BU5" s="271"/>
      <c r="BV5" s="271"/>
      <c r="BW5" s="271"/>
      <c r="BX5" s="271"/>
      <c r="BY5" s="271"/>
      <c r="BZ5" s="271"/>
      <c r="CA5" s="271"/>
      <c r="CB5" s="271"/>
      <c r="CC5" s="271"/>
      <c r="CD5" s="271"/>
      <c r="CE5" s="271"/>
      <c r="CF5" s="271"/>
      <c r="CG5" s="271"/>
      <c r="CH5" s="271"/>
      <c r="CI5" s="271"/>
      <c r="CJ5" s="271"/>
      <c r="CK5" s="271"/>
      <c r="CL5" s="271"/>
      <c r="CM5" s="271"/>
      <c r="CN5" s="271"/>
      <c r="CO5" s="271"/>
      <c r="CP5" s="271"/>
      <c r="CQ5" s="271"/>
      <c r="CR5" s="271"/>
      <c r="CS5" s="271"/>
      <c r="CT5" s="271"/>
      <c r="CU5" s="271"/>
      <c r="CV5" s="271"/>
      <c r="CW5" s="271"/>
      <c r="CX5" s="271"/>
      <c r="CY5" s="271"/>
      <c r="CZ5" s="271"/>
      <c r="DA5" s="271"/>
      <c r="DB5" s="271"/>
      <c r="DC5" s="271"/>
      <c r="DD5" s="271"/>
      <c r="DE5" s="271"/>
      <c r="DF5" s="271"/>
      <c r="DG5" s="271"/>
      <c r="DH5" s="271"/>
      <c r="DI5" s="271"/>
      <c r="DJ5" s="271"/>
      <c r="DK5" s="271"/>
      <c r="DL5" s="271"/>
      <c r="DM5" s="271"/>
      <c r="DN5" s="271"/>
      <c r="DO5" s="271"/>
      <c r="DP5" s="271"/>
      <c r="DQ5" s="271"/>
      <c r="DR5" s="271"/>
      <c r="DS5" s="271"/>
      <c r="DT5" s="271"/>
      <c r="DU5" s="271"/>
      <c r="DV5" s="271"/>
      <c r="DW5" s="271"/>
      <c r="DX5" s="271"/>
      <c r="DY5" s="271"/>
      <c r="DZ5" s="271"/>
      <c r="EA5" s="271"/>
      <c r="EB5" s="271"/>
      <c r="EC5" s="271"/>
      <c r="ED5" s="271"/>
      <c r="EE5" s="271"/>
      <c r="EF5" s="271"/>
      <c r="EG5" s="271"/>
      <c r="EH5" s="271"/>
      <c r="EI5" s="271"/>
      <c r="EJ5" s="271"/>
      <c r="EK5" s="271"/>
      <c r="EL5" s="271"/>
      <c r="EM5" s="271"/>
      <c r="EN5" s="271"/>
      <c r="EO5" s="271"/>
      <c r="EP5" s="271"/>
      <c r="EQ5" s="271"/>
      <c r="ER5" s="271"/>
      <c r="ES5" s="271"/>
      <c r="ET5" s="271"/>
      <c r="EU5" s="271"/>
      <c r="EV5" s="271"/>
      <c r="EW5" s="271"/>
      <c r="EX5" s="271"/>
      <c r="EY5" s="271"/>
      <c r="EZ5" s="271"/>
      <c r="FA5" s="271"/>
      <c r="FB5" s="271"/>
      <c r="FC5" s="271"/>
      <c r="FD5" s="271"/>
      <c r="FE5" s="271"/>
      <c r="FF5" s="271"/>
      <c r="FG5" s="271"/>
      <c r="FH5" s="271"/>
      <c r="FI5" s="271"/>
      <c r="FJ5" s="271"/>
      <c r="FK5" s="271"/>
      <c r="FL5" s="271"/>
      <c r="FM5" s="271"/>
      <c r="FN5" s="271"/>
      <c r="FO5" s="271"/>
      <c r="FP5" s="271"/>
      <c r="FQ5" s="271"/>
      <c r="FR5" s="271"/>
      <c r="FS5" s="271"/>
      <c r="FT5" s="271"/>
      <c r="FU5" s="271"/>
      <c r="FV5" s="271"/>
      <c r="FW5" s="271"/>
      <c r="FX5" s="271"/>
      <c r="FY5" s="271"/>
      <c r="FZ5" s="271"/>
      <c r="GA5" s="271"/>
      <c r="GB5" s="271"/>
      <c r="GC5" s="271"/>
      <c r="GD5" s="271"/>
      <c r="GE5" s="271"/>
      <c r="GF5" s="271"/>
      <c r="GG5" s="271"/>
      <c r="GH5" s="271"/>
      <c r="GI5" s="271"/>
      <c r="GJ5" s="271"/>
      <c r="GK5" s="271"/>
      <c r="GL5" s="271"/>
      <c r="GM5" s="271"/>
      <c r="GN5" s="271"/>
      <c r="GO5" s="271"/>
      <c r="GP5" s="271"/>
      <c r="GQ5" s="271"/>
      <c r="GR5" s="271"/>
      <c r="GS5" s="271"/>
      <c r="GT5" s="271"/>
      <c r="GU5" s="271"/>
      <c r="GV5" s="271"/>
      <c r="GW5" s="271"/>
      <c r="GX5" s="271"/>
      <c r="GY5" s="271"/>
      <c r="GZ5" s="271"/>
      <c r="HA5" s="271"/>
      <c r="HB5" s="271"/>
      <c r="HC5" s="271"/>
      <c r="HD5" s="271"/>
      <c r="HE5" s="271"/>
      <c r="HF5" s="271"/>
      <c r="HG5" s="271"/>
      <c r="HH5" s="271"/>
      <c r="HI5" s="271"/>
      <c r="HJ5" s="271"/>
      <c r="HK5" s="271"/>
      <c r="HL5" s="271"/>
      <c r="HM5" s="271"/>
      <c r="HN5" s="271"/>
      <c r="HO5" s="271"/>
      <c r="HP5" s="271"/>
      <c r="HQ5" s="271"/>
      <c r="HR5" s="271"/>
      <c r="HS5" s="271"/>
      <c r="HT5" s="271"/>
      <c r="HU5" s="271"/>
      <c r="HV5" s="271"/>
      <c r="HW5" s="271"/>
      <c r="HX5" s="271"/>
      <c r="HY5" s="271"/>
      <c r="HZ5" s="271"/>
      <c r="IA5" s="271"/>
      <c r="IB5" s="271"/>
      <c r="IC5" s="271"/>
      <c r="ID5" s="271"/>
      <c r="IE5" s="271"/>
      <c r="IF5" s="271"/>
      <c r="IG5" s="271"/>
      <c r="IH5" s="271"/>
      <c r="II5" s="271"/>
      <c r="IJ5" s="271"/>
      <c r="IK5" s="271"/>
      <c r="IL5" s="271"/>
      <c r="IM5" s="271"/>
      <c r="IN5" s="271"/>
      <c r="IO5" s="271"/>
      <c r="IP5" s="271"/>
      <c r="IQ5" s="271"/>
      <c r="IR5" s="271"/>
      <c r="IS5" s="271"/>
      <c r="IT5" s="271"/>
    </row>
    <row r="6" spans="1:254" s="279" customFormat="1" ht="16.8" thickBot="1">
      <c r="A6" s="288" t="s">
        <v>359</v>
      </c>
      <c r="B6" s="290">
        <v>30</v>
      </c>
      <c r="C6" s="290">
        <v>17.899999999999999</v>
      </c>
      <c r="D6" s="290">
        <v>61.7</v>
      </c>
      <c r="E6" s="290">
        <v>55.1</v>
      </c>
      <c r="F6" s="290">
        <v>9</v>
      </c>
      <c r="G6" s="290">
        <v>46.4</v>
      </c>
      <c r="H6" s="290">
        <v>9.1</v>
      </c>
      <c r="I6" s="290">
        <v>78.599999999999994</v>
      </c>
      <c r="J6" s="290">
        <v>7.6</v>
      </c>
      <c r="K6" s="290">
        <v>5.3</v>
      </c>
      <c r="L6" s="290">
        <v>4.5</v>
      </c>
      <c r="M6" s="290">
        <v>4</v>
      </c>
      <c r="N6" s="290">
        <v>0.9</v>
      </c>
      <c r="O6" s="290">
        <v>85.8</v>
      </c>
      <c r="P6" s="289">
        <v>39.4</v>
      </c>
      <c r="Q6" s="289">
        <v>39.299999999999997</v>
      </c>
      <c r="R6" s="289">
        <v>45.1</v>
      </c>
      <c r="S6" s="289">
        <v>-42.6</v>
      </c>
      <c r="T6" s="289">
        <v>0</v>
      </c>
      <c r="U6" s="289">
        <v>14.1</v>
      </c>
      <c r="V6" s="289">
        <v>47</v>
      </c>
      <c r="W6" s="289">
        <v>6.2</v>
      </c>
      <c r="X6" s="289">
        <v>8.8000000000000007</v>
      </c>
      <c r="Y6" s="289">
        <v>68.400000000000006</v>
      </c>
      <c r="Z6" s="289">
        <v>75.900000000000006</v>
      </c>
      <c r="AA6" s="289">
        <v>53.8</v>
      </c>
      <c r="AB6" s="291">
        <v>360</v>
      </c>
      <c r="AC6" s="292">
        <v>60.4</v>
      </c>
      <c r="AD6" s="292">
        <v>37.299999999999997</v>
      </c>
      <c r="AE6" s="292">
        <v>135.69999999999999</v>
      </c>
      <c r="AF6" s="292">
        <v>56.4</v>
      </c>
      <c r="AG6" s="292">
        <v>102.95</v>
      </c>
      <c r="AH6" s="293">
        <v>114.5</v>
      </c>
      <c r="AI6" s="294">
        <v>103.59</v>
      </c>
      <c r="AJ6" s="294">
        <v>101.7</v>
      </c>
      <c r="AK6" s="294">
        <v>81.39589715000001</v>
      </c>
      <c r="AL6" s="294">
        <v>34.134514600000003</v>
      </c>
      <c r="AM6" s="294">
        <v>58.9</v>
      </c>
      <c r="AN6" s="294">
        <v>51.766300999999999</v>
      </c>
      <c r="AO6" s="294">
        <v>55.546022000000001</v>
      </c>
      <c r="AP6" s="294">
        <v>106.55452</v>
      </c>
      <c r="AQ6" s="294">
        <v>66.7</v>
      </c>
      <c r="AR6" s="271"/>
      <c r="AS6" s="271"/>
      <c r="AT6" s="271"/>
      <c r="AU6" s="271"/>
      <c r="AV6" s="271"/>
      <c r="AW6" s="271"/>
      <c r="AX6" s="271"/>
      <c r="AY6" s="271"/>
      <c r="AZ6" s="271"/>
      <c r="BA6" s="271"/>
      <c r="BB6" s="271"/>
      <c r="BC6" s="271"/>
      <c r="BD6" s="271"/>
      <c r="BE6" s="271"/>
      <c r="BF6" s="271"/>
      <c r="BG6" s="271"/>
      <c r="BH6" s="271"/>
      <c r="BI6" s="271"/>
      <c r="BJ6" s="271"/>
      <c r="BK6" s="271"/>
      <c r="BL6" s="271"/>
      <c r="BM6" s="271"/>
      <c r="BN6" s="271"/>
      <c r="BO6" s="271"/>
      <c r="BP6" s="271"/>
      <c r="BQ6" s="271"/>
      <c r="BR6" s="271"/>
      <c r="BS6" s="271"/>
      <c r="BT6" s="271"/>
      <c r="BU6" s="271"/>
      <c r="BV6" s="271"/>
      <c r="BW6" s="271"/>
      <c r="BX6" s="271"/>
      <c r="BY6" s="271"/>
      <c r="BZ6" s="271"/>
      <c r="CA6" s="271"/>
      <c r="CB6" s="271"/>
      <c r="CC6" s="271"/>
      <c r="CD6" s="271"/>
      <c r="CE6" s="271"/>
      <c r="CF6" s="271"/>
      <c r="CG6" s="271"/>
      <c r="CH6" s="271"/>
      <c r="CI6" s="271"/>
      <c r="CJ6" s="271"/>
      <c r="CK6" s="271"/>
      <c r="CL6" s="271"/>
      <c r="CM6" s="271"/>
      <c r="CN6" s="271"/>
      <c r="CO6" s="271"/>
      <c r="CP6" s="271"/>
      <c r="CQ6" s="271"/>
      <c r="CR6" s="271"/>
      <c r="CS6" s="271"/>
      <c r="CT6" s="271"/>
      <c r="CU6" s="271"/>
      <c r="CV6" s="271"/>
      <c r="CW6" s="271"/>
      <c r="CX6" s="271"/>
      <c r="CY6" s="271"/>
      <c r="CZ6" s="271"/>
      <c r="DA6" s="271"/>
      <c r="DB6" s="271"/>
      <c r="DC6" s="271"/>
      <c r="DD6" s="271"/>
      <c r="DE6" s="271"/>
      <c r="DF6" s="271"/>
      <c r="DG6" s="271"/>
      <c r="DH6" s="271"/>
      <c r="DI6" s="271"/>
      <c r="DJ6" s="271"/>
      <c r="DK6" s="271"/>
      <c r="DL6" s="271"/>
      <c r="DM6" s="271"/>
      <c r="DN6" s="271"/>
      <c r="DO6" s="271"/>
      <c r="DP6" s="271"/>
      <c r="DQ6" s="271"/>
      <c r="DR6" s="271"/>
      <c r="DS6" s="271"/>
      <c r="DT6" s="271"/>
      <c r="DU6" s="271"/>
      <c r="DV6" s="271"/>
      <c r="DW6" s="271"/>
      <c r="DX6" s="271"/>
      <c r="DY6" s="271"/>
      <c r="DZ6" s="271"/>
      <c r="EA6" s="271"/>
      <c r="EB6" s="271"/>
      <c r="EC6" s="271"/>
      <c r="ED6" s="271"/>
      <c r="EE6" s="271"/>
      <c r="EF6" s="271"/>
      <c r="EG6" s="271"/>
      <c r="EH6" s="271"/>
      <c r="EI6" s="271"/>
      <c r="EJ6" s="271"/>
      <c r="EK6" s="271"/>
      <c r="EL6" s="271"/>
      <c r="EM6" s="271"/>
      <c r="EN6" s="271"/>
      <c r="EO6" s="271"/>
      <c r="EP6" s="271"/>
      <c r="EQ6" s="271"/>
      <c r="ER6" s="271"/>
      <c r="ES6" s="271"/>
      <c r="ET6" s="271"/>
      <c r="EU6" s="271"/>
      <c r="EV6" s="271"/>
      <c r="EW6" s="271"/>
      <c r="EX6" s="271"/>
      <c r="EY6" s="271"/>
      <c r="EZ6" s="271"/>
      <c r="FA6" s="271"/>
      <c r="FB6" s="271"/>
      <c r="FC6" s="271"/>
      <c r="FD6" s="271"/>
      <c r="FE6" s="271"/>
      <c r="FF6" s="271"/>
      <c r="FG6" s="271"/>
      <c r="FH6" s="271"/>
      <c r="FI6" s="271"/>
      <c r="FJ6" s="271"/>
      <c r="FK6" s="271"/>
      <c r="FL6" s="271"/>
      <c r="FM6" s="271"/>
      <c r="FN6" s="271"/>
      <c r="FO6" s="271"/>
      <c r="FP6" s="271"/>
      <c r="FQ6" s="271"/>
      <c r="FR6" s="271"/>
      <c r="FS6" s="271"/>
      <c r="FT6" s="271"/>
      <c r="FU6" s="271"/>
      <c r="FV6" s="271"/>
      <c r="FW6" s="271"/>
      <c r="FX6" s="271"/>
      <c r="FY6" s="271"/>
      <c r="FZ6" s="271"/>
      <c r="GA6" s="271"/>
      <c r="GB6" s="271"/>
      <c r="GC6" s="271"/>
      <c r="GD6" s="271"/>
      <c r="GE6" s="271"/>
      <c r="GF6" s="271"/>
      <c r="GG6" s="271"/>
      <c r="GH6" s="271"/>
      <c r="GI6" s="271"/>
      <c r="GJ6" s="271"/>
      <c r="GK6" s="271"/>
      <c r="GL6" s="271"/>
      <c r="GM6" s="271"/>
      <c r="GN6" s="271"/>
      <c r="GO6" s="271"/>
      <c r="GP6" s="271"/>
      <c r="GQ6" s="271"/>
      <c r="GR6" s="271"/>
      <c r="GS6" s="271"/>
      <c r="GT6" s="271"/>
      <c r="GU6" s="271"/>
      <c r="GV6" s="271"/>
      <c r="GW6" s="271"/>
      <c r="GX6" s="271"/>
      <c r="GY6" s="271"/>
      <c r="GZ6" s="271"/>
      <c r="HA6" s="271"/>
      <c r="HB6" s="271"/>
      <c r="HC6" s="271"/>
      <c r="HD6" s="271"/>
      <c r="HE6" s="271"/>
      <c r="HF6" s="271"/>
      <c r="HG6" s="271"/>
      <c r="HH6" s="271"/>
      <c r="HI6" s="271"/>
      <c r="HJ6" s="271"/>
      <c r="HK6" s="271"/>
      <c r="HL6" s="271"/>
      <c r="HM6" s="271"/>
      <c r="HN6" s="271"/>
      <c r="HO6" s="271"/>
      <c r="HP6" s="271"/>
      <c r="HQ6" s="271"/>
      <c r="HR6" s="271"/>
      <c r="HS6" s="271"/>
      <c r="HT6" s="271"/>
      <c r="HU6" s="271"/>
      <c r="HV6" s="271"/>
      <c r="HW6" s="271"/>
      <c r="HX6" s="271"/>
      <c r="HY6" s="271"/>
      <c r="HZ6" s="271"/>
      <c r="IA6" s="271"/>
      <c r="IB6" s="271"/>
      <c r="IC6" s="271"/>
      <c r="ID6" s="271"/>
      <c r="IE6" s="271"/>
      <c r="IF6" s="271"/>
      <c r="IG6" s="271"/>
      <c r="IH6" s="271"/>
      <c r="II6" s="271"/>
      <c r="IJ6" s="271"/>
      <c r="IK6" s="271"/>
      <c r="IL6" s="271"/>
      <c r="IM6" s="271"/>
      <c r="IN6" s="271"/>
      <c r="IO6" s="271"/>
      <c r="IP6" s="271"/>
      <c r="IQ6" s="271"/>
      <c r="IR6" s="271"/>
      <c r="IS6" s="271"/>
      <c r="IT6" s="271"/>
    </row>
    <row r="7" spans="1:254" s="299" customFormat="1" ht="17.399999999999999" thickBot="1">
      <c r="A7" s="295" t="s">
        <v>360</v>
      </c>
      <c r="B7" s="296">
        <f t="shared" ref="B7:AJ7" si="0">SUM(B4:B6)</f>
        <v>30</v>
      </c>
      <c r="C7" s="296">
        <f t="shared" si="0"/>
        <v>17.899999999999999</v>
      </c>
      <c r="D7" s="296">
        <f t="shared" si="0"/>
        <v>61.7</v>
      </c>
      <c r="E7" s="296">
        <f t="shared" si="0"/>
        <v>55.1</v>
      </c>
      <c r="F7" s="296">
        <f t="shared" si="0"/>
        <v>9</v>
      </c>
      <c r="G7" s="296">
        <f t="shared" si="0"/>
        <v>56.599999999999994</v>
      </c>
      <c r="H7" s="296">
        <f t="shared" si="0"/>
        <v>17.100000000000001</v>
      </c>
      <c r="I7" s="296">
        <f t="shared" si="0"/>
        <v>83.3</v>
      </c>
      <c r="J7" s="296">
        <f t="shared" si="0"/>
        <v>15.3</v>
      </c>
      <c r="K7" s="296">
        <f t="shared" si="0"/>
        <v>13.600000000000001</v>
      </c>
      <c r="L7" s="296">
        <f t="shared" si="0"/>
        <v>20.7</v>
      </c>
      <c r="M7" s="296">
        <f t="shared" si="0"/>
        <v>21.7</v>
      </c>
      <c r="N7" s="296">
        <f t="shared" si="0"/>
        <v>12.1</v>
      </c>
      <c r="O7" s="296">
        <f t="shared" si="0"/>
        <v>103.1</v>
      </c>
      <c r="P7" s="296">
        <f t="shared" si="0"/>
        <v>59.9</v>
      </c>
      <c r="Q7" s="296">
        <f t="shared" si="0"/>
        <v>71.8</v>
      </c>
      <c r="R7" s="296">
        <f t="shared" si="0"/>
        <v>71.099999999999994</v>
      </c>
      <c r="S7" s="296">
        <f t="shared" si="0"/>
        <v>-14.5</v>
      </c>
      <c r="T7" s="296">
        <f t="shared" si="0"/>
        <v>22</v>
      </c>
      <c r="U7" s="296">
        <f t="shared" si="0"/>
        <v>28.799999999999997</v>
      </c>
      <c r="V7" s="296">
        <f t="shared" si="0"/>
        <v>60.9</v>
      </c>
      <c r="W7" s="296">
        <f t="shared" si="0"/>
        <v>22.7</v>
      </c>
      <c r="X7" s="296">
        <f t="shared" si="0"/>
        <v>14.9</v>
      </c>
      <c r="Y7" s="296">
        <f t="shared" si="0"/>
        <v>80</v>
      </c>
      <c r="Z7" s="296">
        <f t="shared" si="0"/>
        <v>84.4</v>
      </c>
      <c r="AA7" s="296">
        <f t="shared" si="0"/>
        <v>66</v>
      </c>
      <c r="AB7" s="297">
        <f t="shared" si="0"/>
        <v>396.3</v>
      </c>
      <c r="AC7" s="297">
        <f t="shared" si="0"/>
        <v>96.605999999999995</v>
      </c>
      <c r="AD7" s="297">
        <f t="shared" si="0"/>
        <v>64.171313069999997</v>
      </c>
      <c r="AE7" s="297">
        <f t="shared" si="0"/>
        <v>163.71146123</v>
      </c>
      <c r="AF7" s="297">
        <f t="shared" si="0"/>
        <v>97.616092509999987</v>
      </c>
      <c r="AG7" s="297">
        <f t="shared" si="0"/>
        <v>193.93786518999997</v>
      </c>
      <c r="AH7" s="298">
        <f t="shared" si="0"/>
        <v>172.330297</v>
      </c>
      <c r="AI7" s="298">
        <f t="shared" si="0"/>
        <v>155.69</v>
      </c>
      <c r="AJ7" s="298">
        <f t="shared" si="0"/>
        <v>139.15334831999999</v>
      </c>
      <c r="AK7" s="298">
        <f>SUM(AK4:AK6)</f>
        <v>104.12590900000001</v>
      </c>
      <c r="AL7" s="298">
        <f>SUM(AL4:AL6)</f>
        <v>51.372593500000008</v>
      </c>
      <c r="AM7" s="298">
        <f>SUM(AM4:AM6)</f>
        <v>65.7</v>
      </c>
      <c r="AN7" s="298">
        <v>83.216698000000008</v>
      </c>
      <c r="AO7" s="298">
        <v>77.871587230000003</v>
      </c>
      <c r="AP7" s="298">
        <v>146.73921922</v>
      </c>
      <c r="AQ7" s="298">
        <v>108.6</v>
      </c>
      <c r="AR7" s="271"/>
      <c r="AS7" s="271"/>
      <c r="AT7" s="271"/>
      <c r="AU7" s="271"/>
      <c r="AV7" s="271"/>
      <c r="AW7" s="271"/>
      <c r="AX7" s="271"/>
      <c r="AY7" s="271"/>
      <c r="AZ7" s="271"/>
      <c r="BA7" s="271"/>
      <c r="BB7" s="271"/>
      <c r="BC7" s="271"/>
      <c r="BD7" s="271"/>
      <c r="BE7" s="271"/>
      <c r="BF7" s="271"/>
      <c r="BG7" s="271"/>
      <c r="BH7" s="271"/>
      <c r="BI7" s="271"/>
      <c r="BJ7" s="271"/>
      <c r="BK7" s="271"/>
      <c r="BL7" s="271"/>
      <c r="BM7" s="271"/>
      <c r="BN7" s="271"/>
      <c r="BO7" s="271"/>
      <c r="BP7" s="271"/>
      <c r="BQ7" s="271"/>
      <c r="BR7" s="271"/>
      <c r="BS7" s="271"/>
      <c r="BT7" s="271"/>
      <c r="BU7" s="271"/>
      <c r="BV7" s="271"/>
      <c r="BW7" s="271"/>
      <c r="BX7" s="271"/>
      <c r="BY7" s="271"/>
      <c r="BZ7" s="271"/>
      <c r="CA7" s="271"/>
      <c r="CB7" s="271"/>
      <c r="CC7" s="271"/>
      <c r="CD7" s="271"/>
      <c r="CE7" s="271"/>
      <c r="CF7" s="271"/>
      <c r="CG7" s="271"/>
      <c r="CH7" s="271"/>
      <c r="CI7" s="271"/>
      <c r="CJ7" s="271"/>
      <c r="CK7" s="271"/>
      <c r="CL7" s="271"/>
      <c r="CM7" s="271"/>
      <c r="CN7" s="271"/>
      <c r="CO7" s="271"/>
      <c r="CP7" s="271"/>
      <c r="CQ7" s="271"/>
      <c r="CR7" s="271"/>
      <c r="CS7" s="271"/>
      <c r="CT7" s="271"/>
      <c r="CU7" s="271"/>
      <c r="CV7" s="271"/>
      <c r="CW7" s="271"/>
      <c r="CX7" s="271"/>
      <c r="CY7" s="271"/>
      <c r="CZ7" s="271"/>
      <c r="DA7" s="271"/>
      <c r="DB7" s="271"/>
      <c r="DC7" s="271"/>
      <c r="DD7" s="271"/>
      <c r="DE7" s="271"/>
      <c r="DF7" s="271"/>
      <c r="DG7" s="271"/>
      <c r="DH7" s="271"/>
      <c r="DI7" s="271"/>
      <c r="DJ7" s="271"/>
      <c r="DK7" s="271"/>
      <c r="DL7" s="271"/>
      <c r="DM7" s="271"/>
      <c r="DN7" s="271"/>
      <c r="DO7" s="271"/>
      <c r="DP7" s="271"/>
      <c r="DQ7" s="271"/>
      <c r="DR7" s="271"/>
      <c r="DS7" s="271"/>
      <c r="DT7" s="271"/>
      <c r="DU7" s="271"/>
      <c r="DV7" s="271"/>
      <c r="DW7" s="271"/>
      <c r="DX7" s="271"/>
      <c r="DY7" s="271"/>
      <c r="DZ7" s="271"/>
      <c r="EA7" s="271"/>
      <c r="EB7" s="271"/>
      <c r="EC7" s="271"/>
      <c r="ED7" s="271"/>
      <c r="EE7" s="271"/>
      <c r="EF7" s="271"/>
      <c r="EG7" s="271"/>
      <c r="EH7" s="271"/>
      <c r="EI7" s="271"/>
      <c r="EJ7" s="271"/>
      <c r="EK7" s="271"/>
      <c r="EL7" s="271"/>
      <c r="EM7" s="271"/>
      <c r="EN7" s="271"/>
      <c r="EO7" s="271"/>
      <c r="EP7" s="271"/>
      <c r="EQ7" s="271"/>
      <c r="ER7" s="271"/>
      <c r="ES7" s="271"/>
      <c r="ET7" s="271"/>
      <c r="EU7" s="271"/>
      <c r="EV7" s="271"/>
      <c r="EW7" s="271"/>
      <c r="EX7" s="271"/>
      <c r="EY7" s="271"/>
      <c r="EZ7" s="271"/>
      <c r="FA7" s="271"/>
      <c r="FB7" s="271"/>
      <c r="FC7" s="271"/>
      <c r="FD7" s="271"/>
      <c r="FE7" s="271"/>
      <c r="FF7" s="271"/>
      <c r="FG7" s="271"/>
      <c r="FH7" s="271"/>
      <c r="FI7" s="271"/>
      <c r="FJ7" s="271"/>
      <c r="FK7" s="271"/>
      <c r="FL7" s="271"/>
      <c r="FM7" s="271"/>
      <c r="FN7" s="271"/>
      <c r="FO7" s="271"/>
      <c r="FP7" s="271"/>
      <c r="FQ7" s="271"/>
      <c r="FR7" s="271"/>
      <c r="FS7" s="271"/>
      <c r="FT7" s="271"/>
      <c r="FU7" s="271"/>
      <c r="FV7" s="271"/>
      <c r="FW7" s="271"/>
      <c r="FX7" s="271"/>
      <c r="FY7" s="271"/>
      <c r="FZ7" s="271"/>
      <c r="GA7" s="271"/>
      <c r="GB7" s="271"/>
      <c r="GC7" s="271"/>
      <c r="GD7" s="271"/>
      <c r="GE7" s="271"/>
      <c r="GF7" s="271"/>
      <c r="GG7" s="271"/>
      <c r="GH7" s="271"/>
      <c r="GI7" s="271"/>
      <c r="GJ7" s="271"/>
      <c r="GK7" s="271"/>
      <c r="GL7" s="271"/>
      <c r="GM7" s="271"/>
      <c r="GN7" s="271"/>
      <c r="GO7" s="271"/>
      <c r="GP7" s="271"/>
      <c r="GQ7" s="271"/>
      <c r="GR7" s="271"/>
      <c r="GS7" s="271"/>
      <c r="GT7" s="271"/>
      <c r="GU7" s="271"/>
      <c r="GV7" s="271"/>
      <c r="GW7" s="271"/>
      <c r="GX7" s="271"/>
      <c r="GY7" s="271"/>
      <c r="GZ7" s="271"/>
      <c r="HA7" s="271"/>
      <c r="HB7" s="271"/>
      <c r="HC7" s="271"/>
      <c r="HD7" s="271"/>
      <c r="HE7" s="271"/>
      <c r="HF7" s="271"/>
      <c r="HG7" s="271"/>
      <c r="HH7" s="271"/>
      <c r="HI7" s="271"/>
      <c r="HJ7" s="271"/>
      <c r="HK7" s="271"/>
      <c r="HL7" s="271"/>
      <c r="HM7" s="271"/>
      <c r="HN7" s="271"/>
      <c r="HO7" s="271"/>
      <c r="HP7" s="271"/>
      <c r="HQ7" s="271"/>
      <c r="HR7" s="271"/>
      <c r="HS7" s="271"/>
      <c r="HT7" s="271"/>
      <c r="HU7" s="271"/>
      <c r="HV7" s="271"/>
      <c r="HW7" s="271"/>
      <c r="HX7" s="271"/>
      <c r="HY7" s="271"/>
      <c r="HZ7" s="271"/>
      <c r="IA7" s="271"/>
      <c r="IB7" s="271"/>
      <c r="IC7" s="271"/>
      <c r="ID7" s="271"/>
      <c r="IE7" s="271"/>
      <c r="IF7" s="271"/>
      <c r="IG7" s="271"/>
      <c r="IH7" s="271"/>
      <c r="II7" s="271"/>
      <c r="IJ7" s="271"/>
      <c r="IK7" s="271"/>
      <c r="IL7" s="271"/>
      <c r="IM7" s="271"/>
      <c r="IN7" s="271"/>
      <c r="IO7" s="271"/>
      <c r="IP7" s="271"/>
      <c r="IQ7" s="271"/>
      <c r="IR7" s="271"/>
      <c r="IS7" s="271"/>
      <c r="IT7" s="271"/>
    </row>
    <row r="8" spans="1:254" s="279" customFormat="1" ht="16.2">
      <c r="A8" s="273" t="s">
        <v>361</v>
      </c>
      <c r="B8" s="300">
        <v>0</v>
      </c>
      <c r="C8" s="300">
        <v>0</v>
      </c>
      <c r="D8" s="300">
        <v>0</v>
      </c>
      <c r="E8" s="300">
        <v>0</v>
      </c>
      <c r="F8" s="300">
        <v>0</v>
      </c>
      <c r="G8" s="300">
        <v>0</v>
      </c>
      <c r="H8" s="300">
        <v>0</v>
      </c>
      <c r="I8" s="300">
        <v>0</v>
      </c>
      <c r="J8" s="300">
        <v>0</v>
      </c>
      <c r="K8" s="300">
        <v>0</v>
      </c>
      <c r="L8" s="300">
        <v>0</v>
      </c>
      <c r="M8" s="300">
        <v>0</v>
      </c>
      <c r="N8" s="300">
        <v>0</v>
      </c>
      <c r="O8" s="300">
        <v>0</v>
      </c>
      <c r="P8" s="301">
        <v>0</v>
      </c>
      <c r="Q8" s="301"/>
      <c r="R8" s="301"/>
      <c r="S8" s="301"/>
      <c r="T8" s="301"/>
      <c r="U8" s="301"/>
      <c r="V8" s="301"/>
      <c r="W8" s="301"/>
      <c r="X8" s="301"/>
      <c r="Y8" s="301"/>
      <c r="Z8" s="301"/>
      <c r="AA8" s="301"/>
      <c r="AB8" s="302"/>
      <c r="AC8" s="303"/>
      <c r="AD8" s="303"/>
      <c r="AE8" s="303"/>
      <c r="AF8" s="303"/>
      <c r="AG8" s="303"/>
      <c r="AH8" s="304"/>
      <c r="AI8" s="303"/>
      <c r="AJ8" s="303"/>
      <c r="AK8" s="303"/>
      <c r="AL8" s="303"/>
      <c r="AM8" s="303"/>
      <c r="AN8" s="303"/>
      <c r="AO8" s="303"/>
      <c r="AP8" s="303"/>
      <c r="AQ8" s="303"/>
      <c r="AR8" s="271"/>
      <c r="AS8" s="271"/>
      <c r="AT8" s="271"/>
      <c r="AU8" s="271"/>
      <c r="AV8" s="271"/>
      <c r="AW8" s="271"/>
      <c r="AX8" s="271"/>
      <c r="AY8" s="271"/>
      <c r="AZ8" s="271"/>
      <c r="BA8" s="271"/>
      <c r="BB8" s="271"/>
      <c r="BC8" s="271"/>
      <c r="BD8" s="271"/>
      <c r="BE8" s="271"/>
      <c r="BF8" s="271"/>
      <c r="BG8" s="271"/>
      <c r="BH8" s="271"/>
      <c r="BI8" s="271"/>
      <c r="BJ8" s="271"/>
      <c r="BK8" s="271"/>
      <c r="BL8" s="271"/>
      <c r="BM8" s="271"/>
      <c r="BN8" s="271"/>
      <c r="BO8" s="271"/>
      <c r="BP8" s="271"/>
      <c r="BQ8" s="271"/>
      <c r="BR8" s="271"/>
      <c r="BS8" s="271"/>
      <c r="BT8" s="271"/>
      <c r="BU8" s="271"/>
      <c r="BV8" s="271"/>
      <c r="BW8" s="271"/>
      <c r="BX8" s="271"/>
      <c r="BY8" s="271"/>
      <c r="BZ8" s="271"/>
      <c r="CA8" s="271"/>
      <c r="CB8" s="271"/>
      <c r="CC8" s="271"/>
      <c r="CD8" s="271"/>
      <c r="CE8" s="271"/>
      <c r="CF8" s="271"/>
      <c r="CG8" s="271"/>
      <c r="CH8" s="271"/>
      <c r="CI8" s="271"/>
      <c r="CJ8" s="271"/>
      <c r="CK8" s="271"/>
      <c r="CL8" s="271"/>
      <c r="CM8" s="271"/>
      <c r="CN8" s="271"/>
      <c r="CO8" s="271"/>
      <c r="CP8" s="271"/>
      <c r="CQ8" s="271"/>
      <c r="CR8" s="271"/>
      <c r="CS8" s="271"/>
      <c r="CT8" s="271"/>
      <c r="CU8" s="271"/>
      <c r="CV8" s="271"/>
      <c r="CW8" s="271"/>
      <c r="CX8" s="271"/>
      <c r="CY8" s="271"/>
      <c r="CZ8" s="271"/>
      <c r="DA8" s="271"/>
      <c r="DB8" s="271"/>
      <c r="DC8" s="271"/>
      <c r="DD8" s="271"/>
      <c r="DE8" s="271"/>
      <c r="DF8" s="271"/>
      <c r="DG8" s="271"/>
      <c r="DH8" s="271"/>
      <c r="DI8" s="271"/>
      <c r="DJ8" s="271"/>
      <c r="DK8" s="271"/>
      <c r="DL8" s="271"/>
      <c r="DM8" s="271"/>
      <c r="DN8" s="271"/>
      <c r="DO8" s="271"/>
      <c r="DP8" s="271"/>
      <c r="DQ8" s="271"/>
      <c r="DR8" s="271"/>
      <c r="DS8" s="271"/>
      <c r="DT8" s="271"/>
      <c r="DU8" s="271"/>
      <c r="DV8" s="271"/>
      <c r="DW8" s="271"/>
      <c r="DX8" s="271"/>
      <c r="DY8" s="271"/>
      <c r="DZ8" s="271"/>
      <c r="EA8" s="271"/>
      <c r="EB8" s="271"/>
      <c r="EC8" s="271"/>
      <c r="ED8" s="271"/>
      <c r="EE8" s="271"/>
      <c r="EF8" s="271"/>
      <c r="EG8" s="271"/>
      <c r="EH8" s="271"/>
      <c r="EI8" s="271"/>
      <c r="EJ8" s="271"/>
      <c r="EK8" s="271"/>
      <c r="EL8" s="271"/>
      <c r="EM8" s="271"/>
      <c r="EN8" s="271"/>
      <c r="EO8" s="271"/>
      <c r="EP8" s="271"/>
      <c r="EQ8" s="271"/>
      <c r="ER8" s="271"/>
      <c r="ES8" s="271"/>
      <c r="ET8" s="271"/>
      <c r="EU8" s="271"/>
      <c r="EV8" s="271"/>
      <c r="EW8" s="271"/>
      <c r="EX8" s="271"/>
      <c r="EY8" s="271"/>
      <c r="EZ8" s="271"/>
      <c r="FA8" s="271"/>
      <c r="FB8" s="271"/>
      <c r="FC8" s="271"/>
      <c r="FD8" s="271"/>
      <c r="FE8" s="271"/>
      <c r="FF8" s="271"/>
      <c r="FG8" s="271"/>
      <c r="FH8" s="271"/>
      <c r="FI8" s="271"/>
      <c r="FJ8" s="271"/>
      <c r="FK8" s="271"/>
      <c r="FL8" s="271"/>
      <c r="FM8" s="271"/>
      <c r="FN8" s="271"/>
      <c r="FO8" s="271"/>
      <c r="FP8" s="271"/>
      <c r="FQ8" s="271"/>
      <c r="FR8" s="271"/>
      <c r="FS8" s="271"/>
      <c r="FT8" s="271"/>
      <c r="FU8" s="271"/>
      <c r="FV8" s="271"/>
      <c r="FW8" s="271"/>
      <c r="FX8" s="271"/>
      <c r="FY8" s="271"/>
      <c r="FZ8" s="271"/>
      <c r="GA8" s="271"/>
      <c r="GB8" s="271"/>
      <c r="GC8" s="271"/>
      <c r="GD8" s="271"/>
      <c r="GE8" s="271"/>
      <c r="GF8" s="271"/>
      <c r="GG8" s="271"/>
      <c r="GH8" s="271"/>
      <c r="GI8" s="271"/>
      <c r="GJ8" s="271"/>
      <c r="GK8" s="271"/>
      <c r="GL8" s="271"/>
      <c r="GM8" s="271"/>
      <c r="GN8" s="271"/>
      <c r="GO8" s="271"/>
      <c r="GP8" s="271"/>
      <c r="GQ8" s="271"/>
      <c r="GR8" s="271"/>
      <c r="GS8" s="271"/>
      <c r="GT8" s="271"/>
      <c r="GU8" s="271"/>
      <c r="GV8" s="271"/>
      <c r="GW8" s="271"/>
      <c r="GX8" s="271"/>
      <c r="GY8" s="271"/>
      <c r="GZ8" s="271"/>
      <c r="HA8" s="271"/>
      <c r="HB8" s="271"/>
      <c r="HC8" s="271"/>
      <c r="HD8" s="271"/>
      <c r="HE8" s="271"/>
      <c r="HF8" s="271"/>
      <c r="HG8" s="271"/>
      <c r="HH8" s="271"/>
      <c r="HI8" s="271"/>
      <c r="HJ8" s="271"/>
      <c r="HK8" s="271"/>
      <c r="HL8" s="271"/>
      <c r="HM8" s="271"/>
      <c r="HN8" s="271"/>
      <c r="HO8" s="271"/>
      <c r="HP8" s="271"/>
      <c r="HQ8" s="271"/>
      <c r="HR8" s="271"/>
      <c r="HS8" s="271"/>
      <c r="HT8" s="271"/>
      <c r="HU8" s="271"/>
      <c r="HV8" s="271"/>
      <c r="HW8" s="271"/>
      <c r="HX8" s="271"/>
      <c r="HY8" s="271"/>
      <c r="HZ8" s="271"/>
      <c r="IA8" s="271"/>
      <c r="IB8" s="271"/>
      <c r="IC8" s="271"/>
      <c r="ID8" s="271"/>
      <c r="IE8" s="271"/>
      <c r="IF8" s="271"/>
      <c r="IG8" s="271"/>
      <c r="IH8" s="271"/>
      <c r="II8" s="271"/>
      <c r="IJ8" s="271"/>
      <c r="IK8" s="271"/>
      <c r="IL8" s="271"/>
      <c r="IM8" s="271"/>
      <c r="IN8" s="271"/>
      <c r="IO8" s="271"/>
      <c r="IP8" s="271"/>
      <c r="IQ8" s="271"/>
      <c r="IR8" s="271"/>
      <c r="IS8" s="271"/>
      <c r="IT8" s="271"/>
    </row>
    <row r="9" spans="1:254" s="279" customFormat="1" ht="16.2">
      <c r="A9" s="305" t="s">
        <v>362</v>
      </c>
      <c r="B9" s="281">
        <v>2.2999999999999998</v>
      </c>
      <c r="C9" s="281">
        <v>2.2999999999999998</v>
      </c>
      <c r="D9" s="281">
        <v>4.5999999999999996</v>
      </c>
      <c r="E9" s="281">
        <v>9.1</v>
      </c>
      <c r="F9" s="281">
        <v>19.600000000000001</v>
      </c>
      <c r="G9" s="281">
        <v>15.9</v>
      </c>
      <c r="H9" s="281">
        <v>19.600000000000001</v>
      </c>
      <c r="I9" s="281">
        <v>22.2</v>
      </c>
      <c r="J9" s="281">
        <v>18.8</v>
      </c>
      <c r="K9" s="281">
        <v>23</v>
      </c>
      <c r="L9" s="281">
        <v>32.799999999999997</v>
      </c>
      <c r="M9" s="281">
        <v>33</v>
      </c>
      <c r="N9" s="281">
        <v>67</v>
      </c>
      <c r="O9" s="281">
        <v>49.6</v>
      </c>
      <c r="P9" s="283">
        <v>55.9</v>
      </c>
      <c r="Q9" s="283">
        <v>71.400000000000006</v>
      </c>
      <c r="R9" s="283">
        <v>68.5</v>
      </c>
      <c r="S9" s="283">
        <v>82.2</v>
      </c>
      <c r="T9" s="283">
        <v>104.9</v>
      </c>
      <c r="U9" s="283">
        <v>108.2</v>
      </c>
      <c r="V9" s="283">
        <v>108.2</v>
      </c>
      <c r="W9" s="283">
        <v>101.1</v>
      </c>
      <c r="X9" s="283">
        <v>137.1</v>
      </c>
      <c r="Y9" s="283">
        <v>140.69999999999999</v>
      </c>
      <c r="Z9" s="283">
        <v>137.9</v>
      </c>
      <c r="AA9" s="283">
        <v>135.80000000000001</v>
      </c>
      <c r="AB9" s="284">
        <v>137.9</v>
      </c>
      <c r="AC9" s="285">
        <v>139.482</v>
      </c>
      <c r="AD9" s="285">
        <v>148.89743393999996</v>
      </c>
      <c r="AE9" s="285">
        <v>177.85944282999998</v>
      </c>
      <c r="AF9" s="285">
        <v>199.58221303000002</v>
      </c>
      <c r="AG9" s="285">
        <v>221.05362423999992</v>
      </c>
      <c r="AH9" s="286">
        <v>248.93</v>
      </c>
      <c r="AI9" s="287">
        <v>239</v>
      </c>
      <c r="AJ9" s="287">
        <v>231.80148199999996</v>
      </c>
      <c r="AK9" s="287">
        <v>258.17721182999998</v>
      </c>
      <c r="AL9" s="287">
        <v>258.14218992999997</v>
      </c>
      <c r="AM9" s="287">
        <v>254.7</v>
      </c>
      <c r="AN9" s="287">
        <v>258.70465134000005</v>
      </c>
      <c r="AO9" s="287">
        <v>240.38390317</v>
      </c>
      <c r="AP9" s="287">
        <v>238.07312463000002</v>
      </c>
      <c r="AQ9" s="287">
        <v>253.6</v>
      </c>
      <c r="AR9" s="271"/>
      <c r="AS9" s="271"/>
      <c r="AT9" s="271"/>
      <c r="AU9" s="271"/>
      <c r="AV9" s="271"/>
      <c r="AW9" s="271"/>
      <c r="AX9" s="271"/>
      <c r="AY9" s="271"/>
      <c r="AZ9" s="271"/>
      <c r="BA9" s="271"/>
      <c r="BB9" s="271"/>
      <c r="BC9" s="271"/>
      <c r="BD9" s="271"/>
      <c r="BE9" s="271"/>
      <c r="BF9" s="271"/>
      <c r="BG9" s="271"/>
      <c r="BH9" s="271"/>
      <c r="BI9" s="271"/>
      <c r="BJ9" s="271"/>
      <c r="BK9" s="271"/>
      <c r="BL9" s="271"/>
      <c r="BM9" s="271"/>
      <c r="BN9" s="271"/>
      <c r="BO9" s="271"/>
      <c r="BP9" s="271"/>
      <c r="BQ9" s="271"/>
      <c r="BR9" s="271"/>
      <c r="BS9" s="271"/>
      <c r="BT9" s="271"/>
      <c r="BU9" s="271"/>
      <c r="BV9" s="271"/>
      <c r="BW9" s="271"/>
      <c r="BX9" s="271"/>
      <c r="BY9" s="271"/>
      <c r="BZ9" s="271"/>
      <c r="CA9" s="271"/>
      <c r="CB9" s="271"/>
      <c r="CC9" s="271"/>
      <c r="CD9" s="271"/>
      <c r="CE9" s="271"/>
      <c r="CF9" s="271"/>
      <c r="CG9" s="271"/>
      <c r="CH9" s="271"/>
      <c r="CI9" s="271"/>
      <c r="CJ9" s="271"/>
      <c r="CK9" s="271"/>
      <c r="CL9" s="271"/>
      <c r="CM9" s="271"/>
      <c r="CN9" s="271"/>
      <c r="CO9" s="271"/>
      <c r="CP9" s="271"/>
      <c r="CQ9" s="271"/>
      <c r="CR9" s="271"/>
      <c r="CS9" s="271"/>
      <c r="CT9" s="271"/>
      <c r="CU9" s="271"/>
      <c r="CV9" s="271"/>
      <c r="CW9" s="271"/>
      <c r="CX9" s="271"/>
      <c r="CY9" s="271"/>
      <c r="CZ9" s="271"/>
      <c r="DA9" s="271"/>
      <c r="DB9" s="271"/>
      <c r="DC9" s="271"/>
      <c r="DD9" s="271"/>
      <c r="DE9" s="271"/>
      <c r="DF9" s="271"/>
      <c r="DG9" s="271"/>
      <c r="DH9" s="271"/>
      <c r="DI9" s="271"/>
      <c r="DJ9" s="271"/>
      <c r="DK9" s="271"/>
      <c r="DL9" s="271"/>
      <c r="DM9" s="271"/>
      <c r="DN9" s="271"/>
      <c r="DO9" s="271"/>
      <c r="DP9" s="271"/>
      <c r="DQ9" s="271"/>
      <c r="DR9" s="271"/>
      <c r="DS9" s="271"/>
      <c r="DT9" s="271"/>
      <c r="DU9" s="271"/>
      <c r="DV9" s="271"/>
      <c r="DW9" s="271"/>
      <c r="DX9" s="271"/>
      <c r="DY9" s="271"/>
      <c r="DZ9" s="271"/>
      <c r="EA9" s="271"/>
      <c r="EB9" s="271"/>
      <c r="EC9" s="271"/>
      <c r="ED9" s="271"/>
      <c r="EE9" s="271"/>
      <c r="EF9" s="271"/>
      <c r="EG9" s="271"/>
      <c r="EH9" s="271"/>
      <c r="EI9" s="271"/>
      <c r="EJ9" s="271"/>
      <c r="EK9" s="271"/>
      <c r="EL9" s="271"/>
      <c r="EM9" s="271"/>
      <c r="EN9" s="271"/>
      <c r="EO9" s="271"/>
      <c r="EP9" s="271"/>
      <c r="EQ9" s="271"/>
      <c r="ER9" s="271"/>
      <c r="ES9" s="271"/>
      <c r="ET9" s="271"/>
      <c r="EU9" s="271"/>
      <c r="EV9" s="271"/>
      <c r="EW9" s="271"/>
      <c r="EX9" s="271"/>
      <c r="EY9" s="271"/>
      <c r="EZ9" s="271"/>
      <c r="FA9" s="271"/>
      <c r="FB9" s="271"/>
      <c r="FC9" s="271"/>
      <c r="FD9" s="271"/>
      <c r="FE9" s="271"/>
      <c r="FF9" s="271"/>
      <c r="FG9" s="271"/>
      <c r="FH9" s="271"/>
      <c r="FI9" s="271"/>
      <c r="FJ9" s="271"/>
      <c r="FK9" s="271"/>
      <c r="FL9" s="271"/>
      <c r="FM9" s="271"/>
      <c r="FN9" s="271"/>
      <c r="FO9" s="271"/>
      <c r="FP9" s="271"/>
      <c r="FQ9" s="271"/>
      <c r="FR9" s="271"/>
      <c r="FS9" s="271"/>
      <c r="FT9" s="271"/>
      <c r="FU9" s="271"/>
      <c r="FV9" s="271"/>
      <c r="FW9" s="271"/>
      <c r="FX9" s="271"/>
      <c r="FY9" s="271"/>
      <c r="FZ9" s="271"/>
      <c r="GA9" s="271"/>
      <c r="GB9" s="271"/>
      <c r="GC9" s="271"/>
      <c r="GD9" s="271"/>
      <c r="GE9" s="271"/>
      <c r="GF9" s="271"/>
      <c r="GG9" s="271"/>
      <c r="GH9" s="271"/>
      <c r="GI9" s="271"/>
      <c r="GJ9" s="271"/>
      <c r="GK9" s="271"/>
      <c r="GL9" s="271"/>
      <c r="GM9" s="271"/>
      <c r="GN9" s="271"/>
      <c r="GO9" s="271"/>
      <c r="GP9" s="271"/>
      <c r="GQ9" s="271"/>
      <c r="GR9" s="271"/>
      <c r="GS9" s="271"/>
      <c r="GT9" s="271"/>
      <c r="GU9" s="271"/>
      <c r="GV9" s="271"/>
      <c r="GW9" s="271"/>
      <c r="GX9" s="271"/>
      <c r="GY9" s="271"/>
      <c r="GZ9" s="271"/>
      <c r="HA9" s="271"/>
      <c r="HB9" s="271"/>
      <c r="HC9" s="271"/>
      <c r="HD9" s="271"/>
      <c r="HE9" s="271"/>
      <c r="HF9" s="271"/>
      <c r="HG9" s="271"/>
      <c r="HH9" s="271"/>
      <c r="HI9" s="271"/>
      <c r="HJ9" s="271"/>
      <c r="HK9" s="271"/>
      <c r="HL9" s="271"/>
      <c r="HM9" s="271"/>
      <c r="HN9" s="271"/>
      <c r="HO9" s="271"/>
      <c r="HP9" s="271"/>
      <c r="HQ9" s="271"/>
      <c r="HR9" s="271"/>
      <c r="HS9" s="271"/>
      <c r="HT9" s="271"/>
      <c r="HU9" s="271"/>
      <c r="HV9" s="271"/>
      <c r="HW9" s="271"/>
      <c r="HX9" s="271"/>
      <c r="HY9" s="271"/>
      <c r="HZ9" s="271"/>
      <c r="IA9" s="271"/>
      <c r="IB9" s="271"/>
      <c r="IC9" s="271"/>
      <c r="ID9" s="271"/>
      <c r="IE9" s="271"/>
      <c r="IF9" s="271"/>
      <c r="IG9" s="271"/>
      <c r="IH9" s="271"/>
      <c r="II9" s="271"/>
      <c r="IJ9" s="271"/>
      <c r="IK9" s="271"/>
      <c r="IL9" s="271"/>
      <c r="IM9" s="271"/>
      <c r="IN9" s="271"/>
      <c r="IO9" s="271"/>
      <c r="IP9" s="271"/>
      <c r="IQ9" s="271"/>
      <c r="IR9" s="271"/>
      <c r="IS9" s="271"/>
      <c r="IT9" s="271"/>
    </row>
    <row r="10" spans="1:254" s="279" customFormat="1" ht="16.2">
      <c r="A10" s="305" t="s">
        <v>441</v>
      </c>
      <c r="B10" s="300"/>
      <c r="C10" s="300"/>
      <c r="D10" s="300"/>
      <c r="E10" s="300"/>
      <c r="F10" s="300"/>
      <c r="G10" s="300"/>
      <c r="H10" s="300"/>
      <c r="I10" s="300"/>
      <c r="J10" s="300"/>
      <c r="K10" s="300"/>
      <c r="L10" s="300"/>
      <c r="M10" s="300"/>
      <c r="N10" s="300"/>
      <c r="O10" s="300"/>
      <c r="P10" s="301"/>
      <c r="Q10" s="301"/>
      <c r="R10" s="301"/>
      <c r="S10" s="301"/>
      <c r="T10" s="301"/>
      <c r="U10" s="301"/>
      <c r="V10" s="301"/>
      <c r="W10" s="301"/>
      <c r="X10" s="301"/>
      <c r="Y10" s="301"/>
      <c r="Z10" s="301"/>
      <c r="AA10" s="301"/>
      <c r="AB10" s="284"/>
      <c r="AC10" s="285"/>
      <c r="AD10" s="285"/>
      <c r="AE10" s="285"/>
      <c r="AF10" s="285"/>
      <c r="AG10" s="285"/>
      <c r="AH10" s="286"/>
      <c r="AI10" s="287">
        <v>0.2</v>
      </c>
      <c r="AJ10" s="287">
        <v>0.3</v>
      </c>
      <c r="AK10" s="287">
        <v>0.12382228999999997</v>
      </c>
      <c r="AL10" s="287">
        <v>1.3212650000000003E-2</v>
      </c>
      <c r="AM10" s="287">
        <v>0</v>
      </c>
      <c r="AN10" s="287">
        <v>6.6416380000000011E-2</v>
      </c>
      <c r="AO10" s="287">
        <v>6.3245499999999991E-3</v>
      </c>
      <c r="AP10" s="287">
        <v>8.0871199999999997E-3</v>
      </c>
      <c r="AQ10" s="287">
        <v>0</v>
      </c>
      <c r="AR10" s="271"/>
      <c r="AS10" s="271"/>
      <c r="AT10" s="271"/>
      <c r="AU10" s="271"/>
      <c r="AV10" s="271"/>
      <c r="AW10" s="271"/>
      <c r="AX10" s="271"/>
      <c r="AY10" s="271"/>
      <c r="AZ10" s="271"/>
      <c r="BA10" s="271"/>
      <c r="BB10" s="271"/>
      <c r="BC10" s="271"/>
      <c r="BD10" s="271"/>
      <c r="BE10" s="271"/>
      <c r="BF10" s="271"/>
      <c r="BG10" s="271"/>
      <c r="BH10" s="271"/>
      <c r="BI10" s="271"/>
      <c r="BJ10" s="271"/>
      <c r="BK10" s="271"/>
      <c r="BL10" s="271"/>
      <c r="BM10" s="271"/>
      <c r="BN10" s="271"/>
      <c r="BO10" s="271"/>
      <c r="BP10" s="271"/>
      <c r="BQ10" s="271"/>
      <c r="BR10" s="271"/>
      <c r="BS10" s="271"/>
      <c r="BT10" s="271"/>
      <c r="BU10" s="271"/>
      <c r="BV10" s="271"/>
      <c r="BW10" s="271"/>
      <c r="BX10" s="271"/>
      <c r="BY10" s="271"/>
      <c r="BZ10" s="271"/>
      <c r="CA10" s="271"/>
      <c r="CB10" s="271"/>
      <c r="CC10" s="271"/>
      <c r="CD10" s="271"/>
      <c r="CE10" s="271"/>
      <c r="CF10" s="271"/>
      <c r="CG10" s="271"/>
      <c r="CH10" s="271"/>
      <c r="CI10" s="271"/>
      <c r="CJ10" s="271"/>
      <c r="CK10" s="271"/>
      <c r="CL10" s="271"/>
      <c r="CM10" s="271"/>
      <c r="CN10" s="271"/>
      <c r="CO10" s="271"/>
      <c r="CP10" s="271"/>
      <c r="CQ10" s="271"/>
      <c r="CR10" s="271"/>
      <c r="CS10" s="271"/>
      <c r="CT10" s="271"/>
      <c r="CU10" s="271"/>
      <c r="CV10" s="271"/>
      <c r="CW10" s="271"/>
      <c r="CX10" s="271"/>
      <c r="CY10" s="271"/>
      <c r="CZ10" s="271"/>
      <c r="DA10" s="271"/>
      <c r="DB10" s="271"/>
      <c r="DC10" s="271"/>
      <c r="DD10" s="271"/>
      <c r="DE10" s="271"/>
      <c r="DF10" s="271"/>
      <c r="DG10" s="271"/>
      <c r="DH10" s="271"/>
      <c r="DI10" s="271"/>
      <c r="DJ10" s="271"/>
      <c r="DK10" s="271"/>
      <c r="DL10" s="271"/>
      <c r="DM10" s="271"/>
      <c r="DN10" s="271"/>
      <c r="DO10" s="271"/>
      <c r="DP10" s="271"/>
      <c r="DQ10" s="271"/>
      <c r="DR10" s="271"/>
      <c r="DS10" s="271"/>
      <c r="DT10" s="271"/>
      <c r="DU10" s="271"/>
      <c r="DV10" s="271"/>
      <c r="DW10" s="271"/>
      <c r="DX10" s="271"/>
      <c r="DY10" s="271"/>
      <c r="DZ10" s="271"/>
      <c r="EA10" s="271"/>
      <c r="EB10" s="271"/>
      <c r="EC10" s="271"/>
      <c r="ED10" s="271"/>
      <c r="EE10" s="271"/>
      <c r="EF10" s="271"/>
      <c r="EG10" s="271"/>
      <c r="EH10" s="271"/>
      <c r="EI10" s="271"/>
      <c r="EJ10" s="271"/>
      <c r="EK10" s="271"/>
      <c r="EL10" s="271"/>
      <c r="EM10" s="271"/>
      <c r="EN10" s="271"/>
      <c r="EO10" s="271"/>
      <c r="EP10" s="271"/>
      <c r="EQ10" s="271"/>
      <c r="ER10" s="271"/>
      <c r="ES10" s="271"/>
      <c r="ET10" s="271"/>
      <c r="EU10" s="271"/>
      <c r="EV10" s="271"/>
      <c r="EW10" s="271"/>
      <c r="EX10" s="271"/>
      <c r="EY10" s="271"/>
      <c r="EZ10" s="271"/>
      <c r="FA10" s="271"/>
      <c r="FB10" s="271"/>
      <c r="FC10" s="271"/>
      <c r="FD10" s="271"/>
      <c r="FE10" s="271"/>
      <c r="FF10" s="271"/>
      <c r="FG10" s="271"/>
      <c r="FH10" s="271"/>
      <c r="FI10" s="271"/>
      <c r="FJ10" s="271"/>
      <c r="FK10" s="271"/>
      <c r="FL10" s="271"/>
      <c r="FM10" s="271"/>
      <c r="FN10" s="271"/>
      <c r="FO10" s="271"/>
      <c r="FP10" s="271"/>
      <c r="FQ10" s="271"/>
      <c r="FR10" s="271"/>
      <c r="FS10" s="271"/>
      <c r="FT10" s="271"/>
      <c r="FU10" s="271"/>
      <c r="FV10" s="271"/>
      <c r="FW10" s="271"/>
      <c r="FX10" s="271"/>
      <c r="FY10" s="271"/>
      <c r="FZ10" s="271"/>
      <c r="GA10" s="271"/>
      <c r="GB10" s="271"/>
      <c r="GC10" s="271"/>
      <c r="GD10" s="271"/>
      <c r="GE10" s="271"/>
      <c r="GF10" s="271"/>
      <c r="GG10" s="271"/>
      <c r="GH10" s="271"/>
      <c r="GI10" s="271"/>
      <c r="GJ10" s="271"/>
      <c r="GK10" s="271"/>
      <c r="GL10" s="271"/>
      <c r="GM10" s="271"/>
      <c r="GN10" s="271"/>
      <c r="GO10" s="271"/>
      <c r="GP10" s="271"/>
      <c r="GQ10" s="271"/>
      <c r="GR10" s="271"/>
      <c r="GS10" s="271"/>
      <c r="GT10" s="271"/>
      <c r="GU10" s="271"/>
      <c r="GV10" s="271"/>
      <c r="GW10" s="271"/>
      <c r="GX10" s="271"/>
      <c r="GY10" s="271"/>
      <c r="GZ10" s="271"/>
      <c r="HA10" s="271"/>
      <c r="HB10" s="271"/>
      <c r="HC10" s="271"/>
      <c r="HD10" s="271"/>
      <c r="HE10" s="271"/>
      <c r="HF10" s="271"/>
      <c r="HG10" s="271"/>
      <c r="HH10" s="271"/>
      <c r="HI10" s="271"/>
      <c r="HJ10" s="271"/>
      <c r="HK10" s="271"/>
      <c r="HL10" s="271"/>
      <c r="HM10" s="271"/>
      <c r="HN10" s="271"/>
      <c r="HO10" s="271"/>
      <c r="HP10" s="271"/>
      <c r="HQ10" s="271"/>
      <c r="HR10" s="271"/>
      <c r="HS10" s="271"/>
      <c r="HT10" s="271"/>
      <c r="HU10" s="271"/>
      <c r="HV10" s="271"/>
      <c r="HW10" s="271"/>
      <c r="HX10" s="271"/>
      <c r="HY10" s="271"/>
      <c r="HZ10" s="271"/>
      <c r="IA10" s="271"/>
      <c r="IB10" s="271"/>
      <c r="IC10" s="271"/>
      <c r="ID10" s="271"/>
      <c r="IE10" s="271"/>
      <c r="IF10" s="271"/>
      <c r="IG10" s="271"/>
      <c r="IH10" s="271"/>
      <c r="II10" s="271"/>
      <c r="IJ10" s="271"/>
      <c r="IK10" s="271"/>
      <c r="IL10" s="271"/>
      <c r="IM10" s="271"/>
      <c r="IN10" s="271"/>
      <c r="IO10" s="271"/>
      <c r="IP10" s="271"/>
      <c r="IQ10" s="271"/>
      <c r="IR10" s="271"/>
      <c r="IS10" s="271"/>
      <c r="IT10" s="271"/>
    </row>
    <row r="11" spans="1:254" s="279" customFormat="1" ht="17.399999999999999">
      <c r="A11" s="305" t="s">
        <v>381</v>
      </c>
      <c r="B11" s="300">
        <v>0</v>
      </c>
      <c r="C11" s="300">
        <v>0</v>
      </c>
      <c r="D11" s="300">
        <v>0</v>
      </c>
      <c r="E11" s="300">
        <v>0</v>
      </c>
      <c r="F11" s="300">
        <v>0</v>
      </c>
      <c r="G11" s="300">
        <v>0</v>
      </c>
      <c r="H11" s="300">
        <v>0</v>
      </c>
      <c r="I11" s="300">
        <v>0</v>
      </c>
      <c r="J11" s="300">
        <v>0</v>
      </c>
      <c r="K11" s="300">
        <v>0</v>
      </c>
      <c r="L11" s="300">
        <v>0</v>
      </c>
      <c r="M11" s="300">
        <v>0</v>
      </c>
      <c r="N11" s="300">
        <v>0</v>
      </c>
      <c r="O11" s="300">
        <v>0</v>
      </c>
      <c r="P11" s="301">
        <v>0</v>
      </c>
      <c r="Q11" s="301"/>
      <c r="R11" s="301"/>
      <c r="S11" s="301"/>
      <c r="T11" s="301"/>
      <c r="U11" s="301"/>
      <c r="V11" s="301"/>
      <c r="W11" s="301">
        <v>2.9</v>
      </c>
      <c r="X11" s="301">
        <v>7.1</v>
      </c>
      <c r="Y11" s="301">
        <v>6.5</v>
      </c>
      <c r="Z11" s="301">
        <v>7.8</v>
      </c>
      <c r="AA11" s="301">
        <v>0.01</v>
      </c>
      <c r="AB11" s="284">
        <v>0</v>
      </c>
      <c r="AC11" s="285">
        <v>0</v>
      </c>
      <c r="AD11" s="285">
        <v>0</v>
      </c>
      <c r="AE11" s="285">
        <v>0</v>
      </c>
      <c r="AF11" s="285">
        <v>0</v>
      </c>
      <c r="AG11" s="285">
        <v>0</v>
      </c>
      <c r="AH11" s="286">
        <v>0</v>
      </c>
      <c r="AI11" s="287">
        <v>0</v>
      </c>
      <c r="AJ11" s="287">
        <v>0</v>
      </c>
      <c r="AK11" s="287">
        <v>0</v>
      </c>
      <c r="AL11" s="287">
        <v>0</v>
      </c>
      <c r="AM11" s="287">
        <v>0</v>
      </c>
      <c r="AN11" s="287">
        <v>0</v>
      </c>
      <c r="AO11" s="287">
        <v>0</v>
      </c>
      <c r="AP11" s="287">
        <v>0</v>
      </c>
      <c r="AQ11" s="287">
        <v>0</v>
      </c>
      <c r="AR11" s="271"/>
      <c r="AS11" s="271"/>
      <c r="AT11" s="271"/>
      <c r="AU11" s="271"/>
      <c r="AV11" s="271"/>
      <c r="AW11" s="271"/>
      <c r="AX11" s="271"/>
      <c r="AY11" s="271"/>
      <c r="AZ11" s="271"/>
      <c r="BA11" s="271"/>
      <c r="BB11" s="271"/>
      <c r="BC11" s="271"/>
      <c r="BD11" s="271"/>
      <c r="BE11" s="271"/>
      <c r="BF11" s="271"/>
      <c r="BG11" s="271"/>
      <c r="BH11" s="271"/>
      <c r="BI11" s="271"/>
      <c r="BJ11" s="271"/>
      <c r="BK11" s="271"/>
      <c r="BL11" s="271"/>
      <c r="BM11" s="271"/>
      <c r="BN11" s="271"/>
      <c r="BO11" s="271"/>
      <c r="BP11" s="271"/>
      <c r="BQ11" s="271"/>
      <c r="BR11" s="271"/>
      <c r="BS11" s="271"/>
      <c r="BT11" s="271"/>
      <c r="BU11" s="271"/>
      <c r="BV11" s="271"/>
      <c r="BW11" s="271"/>
      <c r="BX11" s="271"/>
      <c r="BY11" s="271"/>
      <c r="BZ11" s="271"/>
      <c r="CA11" s="271"/>
      <c r="CB11" s="271"/>
      <c r="CC11" s="271"/>
      <c r="CD11" s="271"/>
      <c r="CE11" s="271"/>
      <c r="CF11" s="271"/>
      <c r="CG11" s="271"/>
      <c r="CH11" s="271"/>
      <c r="CI11" s="271"/>
      <c r="CJ11" s="271"/>
      <c r="CK11" s="271"/>
      <c r="CL11" s="271"/>
      <c r="CM11" s="271"/>
      <c r="CN11" s="271"/>
      <c r="CO11" s="271"/>
      <c r="CP11" s="271"/>
      <c r="CQ11" s="271"/>
      <c r="CR11" s="271"/>
      <c r="CS11" s="271"/>
      <c r="CT11" s="271"/>
      <c r="CU11" s="271"/>
      <c r="CV11" s="271"/>
      <c r="CW11" s="271"/>
      <c r="CX11" s="271"/>
      <c r="CY11" s="271"/>
      <c r="CZ11" s="271"/>
      <c r="DA11" s="271"/>
      <c r="DB11" s="271"/>
      <c r="DC11" s="271"/>
      <c r="DD11" s="271"/>
      <c r="DE11" s="271"/>
      <c r="DF11" s="271"/>
      <c r="DG11" s="271"/>
      <c r="DH11" s="271"/>
      <c r="DI11" s="271"/>
      <c r="DJ11" s="271"/>
      <c r="DK11" s="271"/>
      <c r="DL11" s="271"/>
      <c r="DM11" s="271"/>
      <c r="DN11" s="271"/>
      <c r="DO11" s="271"/>
      <c r="DP11" s="271"/>
      <c r="DQ11" s="271"/>
      <c r="DR11" s="271"/>
      <c r="DS11" s="271"/>
      <c r="DT11" s="271"/>
      <c r="DU11" s="271"/>
      <c r="DV11" s="271"/>
      <c r="DW11" s="271"/>
      <c r="DX11" s="271"/>
      <c r="DY11" s="271"/>
      <c r="DZ11" s="271"/>
      <c r="EA11" s="271"/>
      <c r="EB11" s="271"/>
      <c r="EC11" s="271"/>
      <c r="ED11" s="271"/>
      <c r="EE11" s="271"/>
      <c r="EF11" s="271"/>
      <c r="EG11" s="271"/>
      <c r="EH11" s="271"/>
      <c r="EI11" s="271"/>
      <c r="EJ11" s="271"/>
      <c r="EK11" s="271"/>
      <c r="EL11" s="271"/>
      <c r="EM11" s="271"/>
      <c r="EN11" s="271"/>
      <c r="EO11" s="271"/>
      <c r="EP11" s="271"/>
      <c r="EQ11" s="271"/>
      <c r="ER11" s="271"/>
      <c r="ES11" s="271"/>
      <c r="ET11" s="271"/>
      <c r="EU11" s="271"/>
      <c r="EV11" s="271"/>
      <c r="EW11" s="271"/>
      <c r="EX11" s="271"/>
      <c r="EY11" s="271"/>
      <c r="EZ11" s="271"/>
      <c r="FA11" s="271"/>
      <c r="FB11" s="271"/>
      <c r="FC11" s="271"/>
      <c r="FD11" s="271"/>
      <c r="FE11" s="271"/>
      <c r="FF11" s="271"/>
      <c r="FG11" s="271"/>
      <c r="FH11" s="271"/>
      <c r="FI11" s="271"/>
      <c r="FJ11" s="271"/>
      <c r="FK11" s="271"/>
      <c r="FL11" s="271"/>
      <c r="FM11" s="271"/>
      <c r="FN11" s="271"/>
      <c r="FO11" s="271"/>
      <c r="FP11" s="271"/>
      <c r="FQ11" s="271"/>
      <c r="FR11" s="271"/>
      <c r="FS11" s="271"/>
      <c r="FT11" s="271"/>
      <c r="FU11" s="271"/>
      <c r="FV11" s="271"/>
      <c r="FW11" s="271"/>
      <c r="FX11" s="271"/>
      <c r="FY11" s="271"/>
      <c r="FZ11" s="271"/>
      <c r="GA11" s="271"/>
      <c r="GB11" s="271"/>
      <c r="GC11" s="271"/>
      <c r="GD11" s="271"/>
      <c r="GE11" s="271"/>
      <c r="GF11" s="271"/>
      <c r="GG11" s="271"/>
      <c r="GH11" s="271"/>
      <c r="GI11" s="271"/>
      <c r="GJ11" s="271"/>
      <c r="GK11" s="271"/>
      <c r="GL11" s="271"/>
      <c r="GM11" s="271"/>
      <c r="GN11" s="271"/>
      <c r="GO11" s="271"/>
      <c r="GP11" s="271"/>
      <c r="GQ11" s="271"/>
      <c r="GR11" s="271"/>
      <c r="GS11" s="271"/>
      <c r="GT11" s="271"/>
      <c r="GU11" s="271"/>
      <c r="GV11" s="271"/>
      <c r="GW11" s="271"/>
      <c r="GX11" s="271"/>
      <c r="GY11" s="271"/>
      <c r="GZ11" s="271"/>
      <c r="HA11" s="271"/>
      <c r="HB11" s="271"/>
      <c r="HC11" s="271"/>
      <c r="HD11" s="271"/>
      <c r="HE11" s="271"/>
      <c r="HF11" s="271"/>
      <c r="HG11" s="271"/>
      <c r="HH11" s="271"/>
      <c r="HI11" s="271"/>
      <c r="HJ11" s="271"/>
      <c r="HK11" s="271"/>
      <c r="HL11" s="271"/>
      <c r="HM11" s="271"/>
      <c r="HN11" s="271"/>
      <c r="HO11" s="271"/>
      <c r="HP11" s="271"/>
      <c r="HQ11" s="271"/>
      <c r="HR11" s="271"/>
      <c r="HS11" s="271"/>
      <c r="HT11" s="271"/>
      <c r="HU11" s="271"/>
      <c r="HV11" s="271"/>
      <c r="HW11" s="271"/>
      <c r="HX11" s="271"/>
      <c r="HY11" s="271"/>
      <c r="HZ11" s="271"/>
      <c r="IA11" s="271"/>
      <c r="IB11" s="271"/>
      <c r="IC11" s="271"/>
      <c r="ID11" s="271"/>
      <c r="IE11" s="271"/>
      <c r="IF11" s="271"/>
      <c r="IG11" s="271"/>
      <c r="IH11" s="271"/>
      <c r="II11" s="271"/>
      <c r="IJ11" s="271"/>
      <c r="IK11" s="271"/>
      <c r="IL11" s="271"/>
      <c r="IM11" s="271"/>
      <c r="IN11" s="271"/>
      <c r="IO11" s="271"/>
      <c r="IP11" s="271"/>
      <c r="IQ11" s="271"/>
      <c r="IR11" s="271"/>
      <c r="IS11" s="271"/>
      <c r="IT11" s="271"/>
    </row>
    <row r="12" spans="1:254" s="279" customFormat="1" ht="17.399999999999999">
      <c r="A12" s="305" t="s">
        <v>382</v>
      </c>
      <c r="B12" s="281">
        <v>0</v>
      </c>
      <c r="C12" s="281">
        <v>0</v>
      </c>
      <c r="D12" s="281">
        <v>0</v>
      </c>
      <c r="E12" s="281">
        <v>0</v>
      </c>
      <c r="F12" s="281">
        <v>0</v>
      </c>
      <c r="G12" s="281">
        <v>0</v>
      </c>
      <c r="H12" s="281">
        <v>0</v>
      </c>
      <c r="I12" s="281">
        <v>0</v>
      </c>
      <c r="J12" s="281">
        <v>0</v>
      </c>
      <c r="K12" s="281">
        <v>0</v>
      </c>
      <c r="L12" s="281">
        <v>0</v>
      </c>
      <c r="M12" s="281">
        <v>0</v>
      </c>
      <c r="N12" s="281">
        <v>0</v>
      </c>
      <c r="O12" s="281">
        <v>0</v>
      </c>
      <c r="P12" s="283">
        <v>0</v>
      </c>
      <c r="Q12" s="283"/>
      <c r="R12" s="283"/>
      <c r="S12" s="283"/>
      <c r="T12" s="283"/>
      <c r="U12" s="283"/>
      <c r="V12" s="283"/>
      <c r="W12" s="283"/>
      <c r="X12" s="283"/>
      <c r="Y12" s="283"/>
      <c r="Z12" s="283"/>
      <c r="AA12" s="283"/>
      <c r="AB12" s="284"/>
      <c r="AC12" s="278"/>
      <c r="AD12" s="278"/>
      <c r="AE12" s="278"/>
      <c r="AF12" s="278"/>
      <c r="AG12" s="278"/>
      <c r="AH12" s="306"/>
      <c r="AI12" s="307"/>
      <c r="AJ12" s="307"/>
      <c r="AK12" s="307"/>
      <c r="AL12" s="307"/>
      <c r="AM12" s="307"/>
      <c r="AN12" s="307"/>
      <c r="AO12" s="307"/>
      <c r="AP12" s="307"/>
      <c r="AQ12" s="307"/>
      <c r="AR12" s="271"/>
      <c r="AS12" s="271"/>
      <c r="AT12" s="271"/>
      <c r="AU12" s="271"/>
      <c r="AV12" s="271"/>
      <c r="AW12" s="271"/>
      <c r="AX12" s="271"/>
      <c r="AY12" s="271"/>
      <c r="AZ12" s="271"/>
      <c r="BA12" s="271"/>
      <c r="BB12" s="271"/>
      <c r="BC12" s="271"/>
      <c r="BD12" s="271"/>
      <c r="BE12" s="271"/>
      <c r="BF12" s="271"/>
      <c r="BG12" s="271"/>
      <c r="BH12" s="271"/>
      <c r="BI12" s="271"/>
      <c r="BJ12" s="271"/>
      <c r="BK12" s="271"/>
      <c r="BL12" s="271"/>
      <c r="BM12" s="271"/>
      <c r="BN12" s="271"/>
      <c r="BO12" s="271"/>
      <c r="BP12" s="271"/>
      <c r="BQ12" s="271"/>
      <c r="BR12" s="271"/>
      <c r="BS12" s="271"/>
      <c r="BT12" s="271"/>
      <c r="BU12" s="271"/>
      <c r="BV12" s="271"/>
      <c r="BW12" s="271"/>
      <c r="BX12" s="271"/>
      <c r="BY12" s="271"/>
      <c r="BZ12" s="271"/>
      <c r="CA12" s="271"/>
      <c r="CB12" s="271"/>
      <c r="CC12" s="271"/>
      <c r="CD12" s="271"/>
      <c r="CE12" s="271"/>
      <c r="CF12" s="271"/>
      <c r="CG12" s="271"/>
      <c r="CH12" s="271"/>
      <c r="CI12" s="271"/>
      <c r="CJ12" s="271"/>
      <c r="CK12" s="271"/>
      <c r="CL12" s="271"/>
      <c r="CM12" s="271"/>
      <c r="CN12" s="271"/>
      <c r="CO12" s="271"/>
      <c r="CP12" s="271"/>
      <c r="CQ12" s="271"/>
      <c r="CR12" s="271"/>
      <c r="CS12" s="271"/>
      <c r="CT12" s="271"/>
      <c r="CU12" s="271"/>
      <c r="CV12" s="271"/>
      <c r="CW12" s="271"/>
      <c r="CX12" s="271"/>
      <c r="CY12" s="271"/>
      <c r="CZ12" s="271"/>
      <c r="DA12" s="271"/>
      <c r="DB12" s="271"/>
      <c r="DC12" s="271"/>
      <c r="DD12" s="271"/>
      <c r="DE12" s="271"/>
      <c r="DF12" s="271"/>
      <c r="DG12" s="271"/>
      <c r="DH12" s="271"/>
      <c r="DI12" s="271"/>
      <c r="DJ12" s="271"/>
      <c r="DK12" s="271"/>
      <c r="DL12" s="271"/>
      <c r="DM12" s="271"/>
      <c r="DN12" s="271"/>
      <c r="DO12" s="271"/>
      <c r="DP12" s="271"/>
      <c r="DQ12" s="271"/>
      <c r="DR12" s="271"/>
      <c r="DS12" s="271"/>
      <c r="DT12" s="271"/>
      <c r="DU12" s="271"/>
      <c r="DV12" s="271"/>
      <c r="DW12" s="271"/>
      <c r="DX12" s="271"/>
      <c r="DY12" s="271"/>
      <c r="DZ12" s="271"/>
      <c r="EA12" s="271"/>
      <c r="EB12" s="271"/>
      <c r="EC12" s="271"/>
      <c r="ED12" s="271"/>
      <c r="EE12" s="271"/>
      <c r="EF12" s="271"/>
      <c r="EG12" s="271"/>
      <c r="EH12" s="271"/>
      <c r="EI12" s="271"/>
      <c r="EJ12" s="271"/>
      <c r="EK12" s="271"/>
      <c r="EL12" s="271"/>
      <c r="EM12" s="271"/>
      <c r="EN12" s="271"/>
      <c r="EO12" s="271"/>
      <c r="EP12" s="271"/>
      <c r="EQ12" s="271"/>
      <c r="ER12" s="271"/>
      <c r="ES12" s="271"/>
      <c r="ET12" s="271"/>
      <c r="EU12" s="271"/>
      <c r="EV12" s="271"/>
      <c r="EW12" s="271"/>
      <c r="EX12" s="271"/>
      <c r="EY12" s="271"/>
      <c r="EZ12" s="271"/>
      <c r="FA12" s="271"/>
      <c r="FB12" s="271"/>
      <c r="FC12" s="271"/>
      <c r="FD12" s="271"/>
      <c r="FE12" s="271"/>
      <c r="FF12" s="271"/>
      <c r="FG12" s="271"/>
      <c r="FH12" s="271"/>
      <c r="FI12" s="271"/>
      <c r="FJ12" s="271"/>
      <c r="FK12" s="271"/>
      <c r="FL12" s="271"/>
      <c r="FM12" s="271"/>
      <c r="FN12" s="271"/>
      <c r="FO12" s="271"/>
      <c r="FP12" s="271"/>
      <c r="FQ12" s="271"/>
      <c r="FR12" s="271"/>
      <c r="FS12" s="271"/>
      <c r="FT12" s="271"/>
      <c r="FU12" s="271"/>
      <c r="FV12" s="271"/>
      <c r="FW12" s="271"/>
      <c r="FX12" s="271"/>
      <c r="FY12" s="271"/>
      <c r="FZ12" s="271"/>
      <c r="GA12" s="271"/>
      <c r="GB12" s="271"/>
      <c r="GC12" s="271"/>
      <c r="GD12" s="271"/>
      <c r="GE12" s="271"/>
      <c r="GF12" s="271"/>
      <c r="GG12" s="271"/>
      <c r="GH12" s="271"/>
      <c r="GI12" s="271"/>
      <c r="GJ12" s="271"/>
      <c r="GK12" s="271"/>
      <c r="GL12" s="271"/>
      <c r="GM12" s="271"/>
      <c r="GN12" s="271"/>
      <c r="GO12" s="271"/>
      <c r="GP12" s="271"/>
      <c r="GQ12" s="271"/>
      <c r="GR12" s="271"/>
      <c r="GS12" s="271"/>
      <c r="GT12" s="271"/>
      <c r="GU12" s="271"/>
      <c r="GV12" s="271"/>
      <c r="GW12" s="271"/>
      <c r="GX12" s="271"/>
      <c r="GY12" s="271"/>
      <c r="GZ12" s="271"/>
      <c r="HA12" s="271"/>
      <c r="HB12" s="271"/>
      <c r="HC12" s="271"/>
      <c r="HD12" s="271"/>
      <c r="HE12" s="271"/>
      <c r="HF12" s="271"/>
      <c r="HG12" s="271"/>
      <c r="HH12" s="271"/>
      <c r="HI12" s="271"/>
      <c r="HJ12" s="271"/>
      <c r="HK12" s="271"/>
      <c r="HL12" s="271"/>
      <c r="HM12" s="271"/>
      <c r="HN12" s="271"/>
      <c r="HO12" s="271"/>
      <c r="HP12" s="271"/>
      <c r="HQ12" s="271"/>
      <c r="HR12" s="271"/>
      <c r="HS12" s="271"/>
      <c r="HT12" s="271"/>
      <c r="HU12" s="271"/>
      <c r="HV12" s="271"/>
      <c r="HW12" s="271"/>
      <c r="HX12" s="271"/>
      <c r="HY12" s="271"/>
      <c r="HZ12" s="271"/>
      <c r="IA12" s="271"/>
      <c r="IB12" s="271"/>
      <c r="IC12" s="271"/>
      <c r="ID12" s="271"/>
      <c r="IE12" s="271"/>
      <c r="IF12" s="271"/>
      <c r="IG12" s="271"/>
      <c r="IH12" s="271"/>
      <c r="II12" s="271"/>
      <c r="IJ12" s="271"/>
      <c r="IK12" s="271"/>
      <c r="IL12" s="271"/>
      <c r="IM12" s="271"/>
      <c r="IN12" s="271"/>
      <c r="IO12" s="271"/>
      <c r="IP12" s="271"/>
      <c r="IQ12" s="271"/>
      <c r="IR12" s="271"/>
      <c r="IS12" s="271"/>
      <c r="IT12" s="271"/>
    </row>
    <row r="13" spans="1:254" s="279" customFormat="1" ht="16.2">
      <c r="A13" s="280" t="s">
        <v>384</v>
      </c>
      <c r="B13" s="281">
        <v>0</v>
      </c>
      <c r="C13" s="281">
        <v>0.5</v>
      </c>
      <c r="D13" s="281">
        <v>1</v>
      </c>
      <c r="E13" s="281">
        <v>2.2000000000000002</v>
      </c>
      <c r="F13" s="281">
        <v>3.6</v>
      </c>
      <c r="G13" s="281">
        <v>5.4</v>
      </c>
      <c r="H13" s="281">
        <v>4.9000000000000004</v>
      </c>
      <c r="I13" s="281">
        <v>5.8</v>
      </c>
      <c r="J13" s="281">
        <v>5.0999999999999996</v>
      </c>
      <c r="K13" s="281">
        <v>7.6</v>
      </c>
      <c r="L13" s="281">
        <v>8.3000000000000007</v>
      </c>
      <c r="M13" s="281">
        <v>8.6999999999999993</v>
      </c>
      <c r="N13" s="281">
        <v>11.2</v>
      </c>
      <c r="O13" s="281">
        <v>11.2</v>
      </c>
      <c r="P13" s="283">
        <v>12.4</v>
      </c>
      <c r="Q13" s="283">
        <v>12.7</v>
      </c>
      <c r="R13" s="283">
        <v>11.5</v>
      </c>
      <c r="S13" s="283">
        <v>11.8</v>
      </c>
      <c r="T13" s="283">
        <v>11.44</v>
      </c>
      <c r="U13" s="283">
        <v>13</v>
      </c>
      <c r="V13" s="283">
        <v>12.4</v>
      </c>
      <c r="W13" s="283">
        <v>12.7</v>
      </c>
      <c r="X13" s="283">
        <v>14.9</v>
      </c>
      <c r="Y13" s="283">
        <v>15.115</v>
      </c>
      <c r="Z13" s="283">
        <v>17.3</v>
      </c>
      <c r="AA13" s="283">
        <v>17.2</v>
      </c>
      <c r="AB13" s="284">
        <v>20.100000000000001</v>
      </c>
      <c r="AC13" s="285">
        <v>19.27</v>
      </c>
      <c r="AD13" s="285">
        <v>19.399999999999999</v>
      </c>
      <c r="AE13" s="285">
        <v>20.77</v>
      </c>
      <c r="AF13" s="285">
        <v>23.300685000000005</v>
      </c>
      <c r="AG13" s="285">
        <v>24.5</v>
      </c>
      <c r="AH13" s="286">
        <v>21.99</v>
      </c>
      <c r="AI13" s="287">
        <v>28.7</v>
      </c>
      <c r="AJ13" s="287">
        <v>31</v>
      </c>
      <c r="AK13" s="287">
        <v>30.930388000000001</v>
      </c>
      <c r="AL13" s="287">
        <v>28.64534832</v>
      </c>
      <c r="AM13" s="287">
        <v>26</v>
      </c>
      <c r="AN13" s="287">
        <v>31.391885770000005</v>
      </c>
      <c r="AO13" s="287">
        <v>26.667754219999999</v>
      </c>
      <c r="AP13" s="287">
        <v>31.852091000000001</v>
      </c>
      <c r="AQ13" s="287">
        <v>30.7</v>
      </c>
      <c r="AR13" s="271"/>
      <c r="AS13" s="271"/>
      <c r="AT13" s="271"/>
      <c r="AU13" s="271"/>
      <c r="AV13" s="271"/>
      <c r="AW13" s="271"/>
      <c r="AX13" s="271"/>
      <c r="AY13" s="271"/>
      <c r="AZ13" s="271"/>
      <c r="BA13" s="271"/>
      <c r="BB13" s="271"/>
      <c r="BC13" s="271"/>
      <c r="BD13" s="271"/>
      <c r="BE13" s="271"/>
      <c r="BF13" s="271"/>
      <c r="BG13" s="271"/>
      <c r="BH13" s="271"/>
      <c r="BI13" s="271"/>
      <c r="BJ13" s="271"/>
      <c r="BK13" s="271"/>
      <c r="BL13" s="271"/>
      <c r="BM13" s="271"/>
      <c r="BN13" s="271"/>
      <c r="BO13" s="271"/>
      <c r="BP13" s="271"/>
      <c r="BQ13" s="271"/>
      <c r="BR13" s="271"/>
      <c r="BS13" s="271"/>
      <c r="BT13" s="271"/>
      <c r="BU13" s="271"/>
      <c r="BV13" s="271"/>
      <c r="BW13" s="271"/>
      <c r="BX13" s="271"/>
      <c r="BY13" s="271"/>
      <c r="BZ13" s="271"/>
      <c r="CA13" s="271"/>
      <c r="CB13" s="271"/>
      <c r="CC13" s="271"/>
      <c r="CD13" s="271"/>
      <c r="CE13" s="271"/>
      <c r="CF13" s="271"/>
      <c r="CG13" s="271"/>
      <c r="CH13" s="271"/>
      <c r="CI13" s="271"/>
      <c r="CJ13" s="271"/>
      <c r="CK13" s="271"/>
      <c r="CL13" s="271"/>
      <c r="CM13" s="271"/>
      <c r="CN13" s="271"/>
      <c r="CO13" s="271"/>
      <c r="CP13" s="271"/>
      <c r="CQ13" s="271"/>
      <c r="CR13" s="271"/>
      <c r="CS13" s="271"/>
      <c r="CT13" s="271"/>
      <c r="CU13" s="271"/>
      <c r="CV13" s="271"/>
      <c r="CW13" s="271"/>
      <c r="CX13" s="271"/>
      <c r="CY13" s="271"/>
      <c r="CZ13" s="271"/>
      <c r="DA13" s="271"/>
      <c r="DB13" s="271"/>
      <c r="DC13" s="271"/>
      <c r="DD13" s="271"/>
      <c r="DE13" s="271"/>
      <c r="DF13" s="271"/>
      <c r="DG13" s="271"/>
      <c r="DH13" s="271"/>
      <c r="DI13" s="271"/>
      <c r="DJ13" s="271"/>
      <c r="DK13" s="271"/>
      <c r="DL13" s="271"/>
      <c r="DM13" s="271"/>
      <c r="DN13" s="271"/>
      <c r="DO13" s="271"/>
      <c r="DP13" s="271"/>
      <c r="DQ13" s="271"/>
      <c r="DR13" s="271"/>
      <c r="DS13" s="271"/>
      <c r="DT13" s="271"/>
      <c r="DU13" s="271"/>
      <c r="DV13" s="271"/>
      <c r="DW13" s="271"/>
      <c r="DX13" s="271"/>
      <c r="DY13" s="271"/>
      <c r="DZ13" s="271"/>
      <c r="EA13" s="271"/>
      <c r="EB13" s="271"/>
      <c r="EC13" s="271"/>
      <c r="ED13" s="271"/>
      <c r="EE13" s="271"/>
      <c r="EF13" s="271"/>
      <c r="EG13" s="271"/>
      <c r="EH13" s="271"/>
      <c r="EI13" s="271"/>
      <c r="EJ13" s="271"/>
      <c r="EK13" s="271"/>
      <c r="EL13" s="271"/>
      <c r="EM13" s="271"/>
      <c r="EN13" s="271"/>
      <c r="EO13" s="271"/>
      <c r="EP13" s="271"/>
      <c r="EQ13" s="271"/>
      <c r="ER13" s="271"/>
      <c r="ES13" s="271"/>
      <c r="ET13" s="271"/>
      <c r="EU13" s="271"/>
      <c r="EV13" s="271"/>
      <c r="EW13" s="271"/>
      <c r="EX13" s="271"/>
      <c r="EY13" s="271"/>
      <c r="EZ13" s="271"/>
      <c r="FA13" s="271"/>
      <c r="FB13" s="271"/>
      <c r="FC13" s="271"/>
      <c r="FD13" s="271"/>
      <c r="FE13" s="271"/>
      <c r="FF13" s="271"/>
      <c r="FG13" s="271"/>
      <c r="FH13" s="271"/>
      <c r="FI13" s="271"/>
      <c r="FJ13" s="271"/>
      <c r="FK13" s="271"/>
      <c r="FL13" s="271"/>
      <c r="FM13" s="271"/>
      <c r="FN13" s="271"/>
      <c r="FO13" s="271"/>
      <c r="FP13" s="271"/>
      <c r="FQ13" s="271"/>
      <c r="FR13" s="271"/>
      <c r="FS13" s="271"/>
      <c r="FT13" s="271"/>
      <c r="FU13" s="271"/>
      <c r="FV13" s="271"/>
      <c r="FW13" s="271"/>
      <c r="FX13" s="271"/>
      <c r="FY13" s="271"/>
      <c r="FZ13" s="271"/>
      <c r="GA13" s="271"/>
      <c r="GB13" s="271"/>
      <c r="GC13" s="271"/>
      <c r="GD13" s="271"/>
      <c r="GE13" s="271"/>
      <c r="GF13" s="271"/>
      <c r="GG13" s="271"/>
      <c r="GH13" s="271"/>
      <c r="GI13" s="271"/>
      <c r="GJ13" s="271"/>
      <c r="GK13" s="271"/>
      <c r="GL13" s="271"/>
      <c r="GM13" s="271"/>
      <c r="GN13" s="271"/>
      <c r="GO13" s="271"/>
      <c r="GP13" s="271"/>
      <c r="GQ13" s="271"/>
      <c r="GR13" s="271"/>
      <c r="GS13" s="271"/>
      <c r="GT13" s="271"/>
      <c r="GU13" s="271"/>
      <c r="GV13" s="271"/>
      <c r="GW13" s="271"/>
      <c r="GX13" s="271"/>
      <c r="GY13" s="271"/>
      <c r="GZ13" s="271"/>
      <c r="HA13" s="271"/>
      <c r="HB13" s="271"/>
      <c r="HC13" s="271"/>
      <c r="HD13" s="271"/>
      <c r="HE13" s="271"/>
      <c r="HF13" s="271"/>
      <c r="HG13" s="271"/>
      <c r="HH13" s="271"/>
      <c r="HI13" s="271"/>
      <c r="HJ13" s="271"/>
      <c r="HK13" s="271"/>
      <c r="HL13" s="271"/>
      <c r="HM13" s="271"/>
      <c r="HN13" s="271"/>
      <c r="HO13" s="271"/>
      <c r="HP13" s="271"/>
      <c r="HQ13" s="271"/>
      <c r="HR13" s="271"/>
      <c r="HS13" s="271"/>
      <c r="HT13" s="271"/>
      <c r="HU13" s="271"/>
      <c r="HV13" s="271"/>
      <c r="HW13" s="271"/>
      <c r="HX13" s="271"/>
      <c r="HY13" s="271"/>
      <c r="HZ13" s="271"/>
      <c r="IA13" s="271"/>
      <c r="IB13" s="271"/>
      <c r="IC13" s="271"/>
      <c r="ID13" s="271"/>
      <c r="IE13" s="271"/>
      <c r="IF13" s="271"/>
      <c r="IG13" s="271"/>
      <c r="IH13" s="271"/>
      <c r="II13" s="271"/>
      <c r="IJ13" s="271"/>
      <c r="IK13" s="271"/>
      <c r="IL13" s="271"/>
      <c r="IM13" s="271"/>
      <c r="IN13" s="271"/>
      <c r="IO13" s="271"/>
      <c r="IP13" s="271"/>
      <c r="IQ13" s="271"/>
      <c r="IR13" s="271"/>
      <c r="IS13" s="271"/>
      <c r="IT13" s="271"/>
    </row>
    <row r="14" spans="1:254" s="279" customFormat="1" ht="16.2">
      <c r="A14" s="280" t="s">
        <v>363</v>
      </c>
      <c r="B14" s="281">
        <v>15</v>
      </c>
      <c r="C14" s="281">
        <v>5.4</v>
      </c>
      <c r="D14" s="281">
        <v>7.6</v>
      </c>
      <c r="E14" s="281">
        <v>9.1</v>
      </c>
      <c r="F14" s="281">
        <v>10</v>
      </c>
      <c r="G14" s="281">
        <v>11.4</v>
      </c>
      <c r="H14" s="281">
        <v>15.8</v>
      </c>
      <c r="I14" s="281">
        <v>20.7</v>
      </c>
      <c r="J14" s="281">
        <v>10.5</v>
      </c>
      <c r="K14" s="281">
        <v>12.3</v>
      </c>
      <c r="L14" s="281">
        <v>11.5</v>
      </c>
      <c r="M14" s="281">
        <v>11.8</v>
      </c>
      <c r="N14" s="281">
        <v>13.3</v>
      </c>
      <c r="O14" s="281">
        <v>14</v>
      </c>
      <c r="P14" s="283">
        <v>16.899999999999999</v>
      </c>
      <c r="Q14" s="283">
        <v>17.8</v>
      </c>
      <c r="R14" s="283">
        <v>18.2</v>
      </c>
      <c r="S14" s="283">
        <v>18.899999999999999</v>
      </c>
      <c r="T14" s="283">
        <v>18.54</v>
      </c>
      <c r="U14" s="283">
        <v>19.899999999999999</v>
      </c>
      <c r="V14" s="283">
        <v>19.7</v>
      </c>
      <c r="W14" s="283">
        <v>23.1</v>
      </c>
      <c r="X14" s="283">
        <v>28.23</v>
      </c>
      <c r="Y14" s="283">
        <v>30.32</v>
      </c>
      <c r="Z14" s="283">
        <v>32.299999999999997</v>
      </c>
      <c r="AA14" s="283">
        <v>32.5</v>
      </c>
      <c r="AB14" s="284">
        <v>31.8</v>
      </c>
      <c r="AC14" s="285">
        <v>32.9</v>
      </c>
      <c r="AD14" s="285">
        <v>34.4</v>
      </c>
      <c r="AE14" s="285">
        <v>34.299999999999997</v>
      </c>
      <c r="AF14" s="285">
        <v>36.515000000000001</v>
      </c>
      <c r="AG14" s="285">
        <v>40.299999999999997</v>
      </c>
      <c r="AH14" s="286">
        <v>41.1</v>
      </c>
      <c r="AI14" s="287">
        <v>39.200000000000003</v>
      </c>
      <c r="AJ14" s="287">
        <v>47.8</v>
      </c>
      <c r="AK14" s="287">
        <v>46.4</v>
      </c>
      <c r="AL14" s="287">
        <v>48.195</v>
      </c>
      <c r="AM14" s="287">
        <v>46.8</v>
      </c>
      <c r="AN14" s="287">
        <v>47.5</v>
      </c>
      <c r="AO14" s="287">
        <v>48.9</v>
      </c>
      <c r="AP14" s="287">
        <v>46.347048999999998</v>
      </c>
      <c r="AQ14" s="287">
        <v>48.3</v>
      </c>
      <c r="AR14" s="271"/>
      <c r="AS14" s="271"/>
      <c r="AT14" s="271"/>
      <c r="AU14" s="271"/>
      <c r="AV14" s="271"/>
      <c r="AW14" s="271"/>
      <c r="AX14" s="271"/>
      <c r="AY14" s="271"/>
      <c r="AZ14" s="271"/>
      <c r="BA14" s="271"/>
      <c r="BB14" s="271"/>
      <c r="BC14" s="271"/>
      <c r="BD14" s="271"/>
      <c r="BE14" s="271"/>
      <c r="BF14" s="271"/>
      <c r="BG14" s="271"/>
      <c r="BH14" s="271"/>
      <c r="BI14" s="271"/>
      <c r="BJ14" s="271"/>
      <c r="BK14" s="271"/>
      <c r="BL14" s="271"/>
      <c r="BM14" s="271"/>
      <c r="BN14" s="271"/>
      <c r="BO14" s="271"/>
      <c r="BP14" s="271"/>
      <c r="BQ14" s="271"/>
      <c r="BR14" s="271"/>
      <c r="BS14" s="271"/>
      <c r="BT14" s="271"/>
      <c r="BU14" s="271"/>
      <c r="BV14" s="271"/>
      <c r="BW14" s="271"/>
      <c r="BX14" s="271"/>
      <c r="BY14" s="271"/>
      <c r="BZ14" s="271"/>
      <c r="CA14" s="271"/>
      <c r="CB14" s="271"/>
      <c r="CC14" s="271"/>
      <c r="CD14" s="271"/>
      <c r="CE14" s="271"/>
      <c r="CF14" s="271"/>
      <c r="CG14" s="271"/>
      <c r="CH14" s="271"/>
      <c r="CI14" s="271"/>
      <c r="CJ14" s="271"/>
      <c r="CK14" s="271"/>
      <c r="CL14" s="271"/>
      <c r="CM14" s="271"/>
      <c r="CN14" s="271"/>
      <c r="CO14" s="271"/>
      <c r="CP14" s="271"/>
      <c r="CQ14" s="271"/>
      <c r="CR14" s="271"/>
      <c r="CS14" s="271"/>
      <c r="CT14" s="271"/>
      <c r="CU14" s="271"/>
      <c r="CV14" s="271"/>
      <c r="CW14" s="271"/>
      <c r="CX14" s="271"/>
      <c r="CY14" s="271"/>
      <c r="CZ14" s="271"/>
      <c r="DA14" s="271"/>
      <c r="DB14" s="271"/>
      <c r="DC14" s="271"/>
      <c r="DD14" s="271"/>
      <c r="DE14" s="271"/>
      <c r="DF14" s="271"/>
      <c r="DG14" s="271"/>
      <c r="DH14" s="271"/>
      <c r="DI14" s="271"/>
      <c r="DJ14" s="271"/>
      <c r="DK14" s="271"/>
      <c r="DL14" s="271"/>
      <c r="DM14" s="271"/>
      <c r="DN14" s="271"/>
      <c r="DO14" s="271"/>
      <c r="DP14" s="271"/>
      <c r="DQ14" s="271"/>
      <c r="DR14" s="271"/>
      <c r="DS14" s="271"/>
      <c r="DT14" s="271"/>
      <c r="DU14" s="271"/>
      <c r="DV14" s="271"/>
      <c r="DW14" s="271"/>
      <c r="DX14" s="271"/>
      <c r="DY14" s="271"/>
      <c r="DZ14" s="271"/>
      <c r="EA14" s="271"/>
      <c r="EB14" s="271"/>
      <c r="EC14" s="271"/>
      <c r="ED14" s="271"/>
      <c r="EE14" s="271"/>
      <c r="EF14" s="271"/>
      <c r="EG14" s="271"/>
      <c r="EH14" s="271"/>
      <c r="EI14" s="271"/>
      <c r="EJ14" s="271"/>
      <c r="EK14" s="271"/>
      <c r="EL14" s="271"/>
      <c r="EM14" s="271"/>
      <c r="EN14" s="271"/>
      <c r="EO14" s="271"/>
      <c r="EP14" s="271"/>
      <c r="EQ14" s="271"/>
      <c r="ER14" s="271"/>
      <c r="ES14" s="271"/>
      <c r="ET14" s="271"/>
      <c r="EU14" s="271"/>
      <c r="EV14" s="271"/>
      <c r="EW14" s="271"/>
      <c r="EX14" s="271"/>
      <c r="EY14" s="271"/>
      <c r="EZ14" s="271"/>
      <c r="FA14" s="271"/>
      <c r="FB14" s="271"/>
      <c r="FC14" s="271"/>
      <c r="FD14" s="271"/>
      <c r="FE14" s="271"/>
      <c r="FF14" s="271"/>
      <c r="FG14" s="271"/>
      <c r="FH14" s="271"/>
      <c r="FI14" s="271"/>
      <c r="FJ14" s="271"/>
      <c r="FK14" s="271"/>
      <c r="FL14" s="271"/>
      <c r="FM14" s="271"/>
      <c r="FN14" s="271"/>
      <c r="FO14" s="271"/>
      <c r="FP14" s="271"/>
      <c r="FQ14" s="271"/>
      <c r="FR14" s="271"/>
      <c r="FS14" s="271"/>
      <c r="FT14" s="271"/>
      <c r="FU14" s="271"/>
      <c r="FV14" s="271"/>
      <c r="FW14" s="271"/>
      <c r="FX14" s="271"/>
      <c r="FY14" s="271"/>
      <c r="FZ14" s="271"/>
      <c r="GA14" s="271"/>
      <c r="GB14" s="271"/>
      <c r="GC14" s="271"/>
      <c r="GD14" s="271"/>
      <c r="GE14" s="271"/>
      <c r="GF14" s="271"/>
      <c r="GG14" s="271"/>
      <c r="GH14" s="271"/>
      <c r="GI14" s="271"/>
      <c r="GJ14" s="271"/>
      <c r="GK14" s="271"/>
      <c r="GL14" s="271"/>
      <c r="GM14" s="271"/>
      <c r="GN14" s="271"/>
      <c r="GO14" s="271"/>
      <c r="GP14" s="271"/>
      <c r="GQ14" s="271"/>
      <c r="GR14" s="271"/>
      <c r="GS14" s="271"/>
      <c r="GT14" s="271"/>
      <c r="GU14" s="271"/>
      <c r="GV14" s="271"/>
      <c r="GW14" s="271"/>
      <c r="GX14" s="271"/>
      <c r="GY14" s="271"/>
      <c r="GZ14" s="271"/>
      <c r="HA14" s="271"/>
      <c r="HB14" s="271"/>
      <c r="HC14" s="271"/>
      <c r="HD14" s="271"/>
      <c r="HE14" s="271"/>
      <c r="HF14" s="271"/>
      <c r="HG14" s="271"/>
      <c r="HH14" s="271"/>
      <c r="HI14" s="271"/>
      <c r="HJ14" s="271"/>
      <c r="HK14" s="271"/>
      <c r="HL14" s="271"/>
      <c r="HM14" s="271"/>
      <c r="HN14" s="271"/>
      <c r="HO14" s="271"/>
      <c r="HP14" s="271"/>
      <c r="HQ14" s="271"/>
      <c r="HR14" s="271"/>
      <c r="HS14" s="271"/>
      <c r="HT14" s="271"/>
      <c r="HU14" s="271"/>
      <c r="HV14" s="271"/>
      <c r="HW14" s="271"/>
      <c r="HX14" s="271"/>
      <c r="HY14" s="271"/>
      <c r="HZ14" s="271"/>
      <c r="IA14" s="271"/>
      <c r="IB14" s="271"/>
      <c r="IC14" s="271"/>
      <c r="ID14" s="271"/>
      <c r="IE14" s="271"/>
      <c r="IF14" s="271"/>
      <c r="IG14" s="271"/>
      <c r="IH14" s="271"/>
      <c r="II14" s="271"/>
      <c r="IJ14" s="271"/>
      <c r="IK14" s="271"/>
      <c r="IL14" s="271"/>
      <c r="IM14" s="271"/>
      <c r="IN14" s="271"/>
      <c r="IO14" s="271"/>
      <c r="IP14" s="271"/>
      <c r="IQ14" s="271"/>
      <c r="IR14" s="271"/>
      <c r="IS14" s="271"/>
      <c r="IT14" s="271"/>
    </row>
    <row r="15" spans="1:254" s="279" customFormat="1" ht="16.2">
      <c r="A15" s="280" t="s">
        <v>364</v>
      </c>
      <c r="B15" s="281">
        <v>0</v>
      </c>
      <c r="C15" s="281">
        <v>0</v>
      </c>
      <c r="D15" s="281">
        <v>0</v>
      </c>
      <c r="E15" s="281">
        <v>0</v>
      </c>
      <c r="F15" s="281">
        <v>0</v>
      </c>
      <c r="G15" s="281">
        <v>0</v>
      </c>
      <c r="H15" s="281">
        <v>0</v>
      </c>
      <c r="I15" s="281">
        <v>0</v>
      </c>
      <c r="J15" s="281">
        <v>0</v>
      </c>
      <c r="K15" s="281">
        <v>0</v>
      </c>
      <c r="L15" s="281">
        <v>0</v>
      </c>
      <c r="M15" s="281">
        <v>0</v>
      </c>
      <c r="N15" s="281">
        <v>0</v>
      </c>
      <c r="O15" s="281">
        <v>1.2</v>
      </c>
      <c r="P15" s="283">
        <v>1.3</v>
      </c>
      <c r="Q15" s="283">
        <v>1.3</v>
      </c>
      <c r="R15" s="283">
        <v>1.5</v>
      </c>
      <c r="S15" s="283">
        <v>1.5</v>
      </c>
      <c r="T15" s="283">
        <v>2.7</v>
      </c>
      <c r="U15" s="283">
        <v>2.6</v>
      </c>
      <c r="V15" s="283">
        <v>1.8</v>
      </c>
      <c r="W15" s="283">
        <v>3</v>
      </c>
      <c r="X15" s="283">
        <v>3.78</v>
      </c>
      <c r="Y15" s="283">
        <v>3.12</v>
      </c>
      <c r="Z15" s="283">
        <v>3.9</v>
      </c>
      <c r="AA15" s="283">
        <v>3.92</v>
      </c>
      <c r="AB15" s="284">
        <v>4.5</v>
      </c>
      <c r="AC15" s="285">
        <v>3.9</v>
      </c>
      <c r="AD15" s="285">
        <v>4.3</v>
      </c>
      <c r="AE15" s="285">
        <v>4.5</v>
      </c>
      <c r="AF15" s="285">
        <v>5.2329999999999997</v>
      </c>
      <c r="AG15" s="285">
        <v>5</v>
      </c>
      <c r="AH15" s="286">
        <v>5.3</v>
      </c>
      <c r="AI15" s="287">
        <v>5.6</v>
      </c>
      <c r="AJ15" s="287">
        <v>6.6</v>
      </c>
      <c r="AK15" s="287">
        <v>2.6</v>
      </c>
      <c r="AL15" s="287">
        <v>5.9850000000000003</v>
      </c>
      <c r="AM15" s="287">
        <v>7</v>
      </c>
      <c r="AN15" s="287">
        <v>5.5</v>
      </c>
      <c r="AO15" s="287">
        <v>8.6999999999999993</v>
      </c>
      <c r="AP15" s="287">
        <v>5.7902050000000003</v>
      </c>
      <c r="AQ15" s="287">
        <v>6.5</v>
      </c>
      <c r="AR15" s="271"/>
      <c r="AS15" s="271"/>
      <c r="AT15" s="271"/>
      <c r="AU15" s="271"/>
      <c r="AV15" s="271"/>
      <c r="AW15" s="271"/>
      <c r="AX15" s="271"/>
      <c r="AY15" s="271"/>
      <c r="AZ15" s="271"/>
      <c r="BA15" s="271"/>
      <c r="BB15" s="271"/>
      <c r="BC15" s="271"/>
      <c r="BD15" s="271"/>
      <c r="BE15" s="271"/>
      <c r="BF15" s="271"/>
      <c r="BG15" s="271"/>
      <c r="BH15" s="271"/>
      <c r="BI15" s="271"/>
      <c r="BJ15" s="271"/>
      <c r="BK15" s="271"/>
      <c r="BL15" s="271"/>
      <c r="BM15" s="271"/>
      <c r="BN15" s="271"/>
      <c r="BO15" s="271"/>
      <c r="BP15" s="271"/>
      <c r="BQ15" s="271"/>
      <c r="BR15" s="271"/>
      <c r="BS15" s="271"/>
      <c r="BT15" s="271"/>
      <c r="BU15" s="271"/>
      <c r="BV15" s="271"/>
      <c r="BW15" s="271"/>
      <c r="BX15" s="271"/>
      <c r="BY15" s="271"/>
      <c r="BZ15" s="271"/>
      <c r="CA15" s="271"/>
      <c r="CB15" s="271"/>
      <c r="CC15" s="271"/>
      <c r="CD15" s="271"/>
      <c r="CE15" s="271"/>
      <c r="CF15" s="271"/>
      <c r="CG15" s="271"/>
      <c r="CH15" s="271"/>
      <c r="CI15" s="271"/>
      <c r="CJ15" s="271"/>
      <c r="CK15" s="271"/>
      <c r="CL15" s="271"/>
      <c r="CM15" s="271"/>
      <c r="CN15" s="271"/>
      <c r="CO15" s="271"/>
      <c r="CP15" s="271"/>
      <c r="CQ15" s="271"/>
      <c r="CR15" s="271"/>
      <c r="CS15" s="271"/>
      <c r="CT15" s="271"/>
      <c r="CU15" s="271"/>
      <c r="CV15" s="271"/>
      <c r="CW15" s="271"/>
      <c r="CX15" s="271"/>
      <c r="CY15" s="271"/>
      <c r="CZ15" s="271"/>
      <c r="DA15" s="271"/>
      <c r="DB15" s="271"/>
      <c r="DC15" s="271"/>
      <c r="DD15" s="271"/>
      <c r="DE15" s="271"/>
      <c r="DF15" s="271"/>
      <c r="DG15" s="271"/>
      <c r="DH15" s="271"/>
      <c r="DI15" s="271"/>
      <c r="DJ15" s="271"/>
      <c r="DK15" s="271"/>
      <c r="DL15" s="271"/>
      <c r="DM15" s="271"/>
      <c r="DN15" s="271"/>
      <c r="DO15" s="271"/>
      <c r="DP15" s="271"/>
      <c r="DQ15" s="271"/>
      <c r="DR15" s="271"/>
      <c r="DS15" s="271"/>
      <c r="DT15" s="271"/>
      <c r="DU15" s="271"/>
      <c r="DV15" s="271"/>
      <c r="DW15" s="271"/>
      <c r="DX15" s="271"/>
      <c r="DY15" s="271"/>
      <c r="DZ15" s="271"/>
      <c r="EA15" s="271"/>
      <c r="EB15" s="271"/>
      <c r="EC15" s="271"/>
      <c r="ED15" s="271"/>
      <c r="EE15" s="271"/>
      <c r="EF15" s="271"/>
      <c r="EG15" s="271"/>
      <c r="EH15" s="271"/>
      <c r="EI15" s="271"/>
      <c r="EJ15" s="271"/>
      <c r="EK15" s="271"/>
      <c r="EL15" s="271"/>
      <c r="EM15" s="271"/>
      <c r="EN15" s="271"/>
      <c r="EO15" s="271"/>
      <c r="EP15" s="271"/>
      <c r="EQ15" s="271"/>
      <c r="ER15" s="271"/>
      <c r="ES15" s="271"/>
      <c r="ET15" s="271"/>
      <c r="EU15" s="271"/>
      <c r="EV15" s="271"/>
      <c r="EW15" s="271"/>
      <c r="EX15" s="271"/>
      <c r="EY15" s="271"/>
      <c r="EZ15" s="271"/>
      <c r="FA15" s="271"/>
      <c r="FB15" s="271"/>
      <c r="FC15" s="271"/>
      <c r="FD15" s="271"/>
      <c r="FE15" s="271"/>
      <c r="FF15" s="271"/>
      <c r="FG15" s="271"/>
      <c r="FH15" s="271"/>
      <c r="FI15" s="271"/>
      <c r="FJ15" s="271"/>
      <c r="FK15" s="271"/>
      <c r="FL15" s="271"/>
      <c r="FM15" s="271"/>
      <c r="FN15" s="271"/>
      <c r="FO15" s="271"/>
      <c r="FP15" s="271"/>
      <c r="FQ15" s="271"/>
      <c r="FR15" s="271"/>
      <c r="FS15" s="271"/>
      <c r="FT15" s="271"/>
      <c r="FU15" s="271"/>
      <c r="FV15" s="271"/>
      <c r="FW15" s="271"/>
      <c r="FX15" s="271"/>
      <c r="FY15" s="271"/>
      <c r="FZ15" s="271"/>
      <c r="GA15" s="271"/>
      <c r="GB15" s="271"/>
      <c r="GC15" s="271"/>
      <c r="GD15" s="271"/>
      <c r="GE15" s="271"/>
      <c r="GF15" s="271"/>
      <c r="GG15" s="271"/>
      <c r="GH15" s="271"/>
      <c r="GI15" s="271"/>
      <c r="GJ15" s="271"/>
      <c r="GK15" s="271"/>
      <c r="GL15" s="271"/>
      <c r="GM15" s="271"/>
      <c r="GN15" s="271"/>
      <c r="GO15" s="271"/>
      <c r="GP15" s="271"/>
      <c r="GQ15" s="271"/>
      <c r="GR15" s="271"/>
      <c r="GS15" s="271"/>
      <c r="GT15" s="271"/>
      <c r="GU15" s="271"/>
      <c r="GV15" s="271"/>
      <c r="GW15" s="271"/>
      <c r="GX15" s="271"/>
      <c r="GY15" s="271"/>
      <c r="GZ15" s="271"/>
      <c r="HA15" s="271"/>
      <c r="HB15" s="271"/>
      <c r="HC15" s="271"/>
      <c r="HD15" s="271"/>
      <c r="HE15" s="271"/>
      <c r="HF15" s="271"/>
      <c r="HG15" s="271"/>
      <c r="HH15" s="271"/>
      <c r="HI15" s="271"/>
      <c r="HJ15" s="271"/>
      <c r="HK15" s="271"/>
      <c r="HL15" s="271"/>
      <c r="HM15" s="271"/>
      <c r="HN15" s="271"/>
      <c r="HO15" s="271"/>
      <c r="HP15" s="271"/>
      <c r="HQ15" s="271"/>
      <c r="HR15" s="271"/>
      <c r="HS15" s="271"/>
      <c r="HT15" s="271"/>
      <c r="HU15" s="271"/>
      <c r="HV15" s="271"/>
      <c r="HW15" s="271"/>
      <c r="HX15" s="271"/>
      <c r="HY15" s="271"/>
      <c r="HZ15" s="271"/>
      <c r="IA15" s="271"/>
      <c r="IB15" s="271"/>
      <c r="IC15" s="271"/>
      <c r="ID15" s="271"/>
      <c r="IE15" s="271"/>
      <c r="IF15" s="271"/>
      <c r="IG15" s="271"/>
      <c r="IH15" s="271"/>
      <c r="II15" s="271"/>
      <c r="IJ15" s="271"/>
      <c r="IK15" s="271"/>
      <c r="IL15" s="271"/>
      <c r="IM15" s="271"/>
      <c r="IN15" s="271"/>
      <c r="IO15" s="271"/>
      <c r="IP15" s="271"/>
      <c r="IQ15" s="271"/>
      <c r="IR15" s="271"/>
      <c r="IS15" s="271"/>
      <c r="IT15" s="271"/>
    </row>
    <row r="16" spans="1:254" s="279" customFormat="1" ht="16.8" thickBot="1">
      <c r="A16" s="288" t="s">
        <v>365</v>
      </c>
      <c r="B16" s="290">
        <v>0</v>
      </c>
      <c r="C16" s="290">
        <v>0.2</v>
      </c>
      <c r="D16" s="290">
        <v>2.9</v>
      </c>
      <c r="E16" s="290">
        <v>2.9</v>
      </c>
      <c r="F16" s="290">
        <v>2.4</v>
      </c>
      <c r="G16" s="290">
        <v>3.1</v>
      </c>
      <c r="H16" s="290">
        <v>3</v>
      </c>
      <c r="I16" s="290">
        <v>3.2</v>
      </c>
      <c r="J16" s="290">
        <v>3.4</v>
      </c>
      <c r="K16" s="290">
        <v>3.7</v>
      </c>
      <c r="L16" s="290">
        <v>3.6</v>
      </c>
      <c r="M16" s="290">
        <v>3.8</v>
      </c>
      <c r="N16" s="290">
        <v>3.9</v>
      </c>
      <c r="O16" s="290">
        <v>4.0999999999999996</v>
      </c>
      <c r="P16" s="289">
        <v>4.3</v>
      </c>
      <c r="Q16" s="289">
        <v>4.3</v>
      </c>
      <c r="R16" s="289">
        <v>4.2</v>
      </c>
      <c r="S16" s="289">
        <v>3.7</v>
      </c>
      <c r="T16" s="289">
        <v>3.7</v>
      </c>
      <c r="U16" s="289">
        <v>3.4</v>
      </c>
      <c r="V16" s="289">
        <v>3.7</v>
      </c>
      <c r="W16" s="289">
        <v>3.7</v>
      </c>
      <c r="X16" s="289">
        <v>4</v>
      </c>
      <c r="Y16" s="289">
        <v>4</v>
      </c>
      <c r="Z16" s="289">
        <v>3.7</v>
      </c>
      <c r="AA16" s="289">
        <v>4.3</v>
      </c>
      <c r="AB16" s="291">
        <v>4.25</v>
      </c>
      <c r="AC16" s="308">
        <v>4.1950000000000003</v>
      </c>
      <c r="AD16" s="308">
        <f>8.245/2</f>
        <v>4.1224999999999996</v>
      </c>
      <c r="AE16" s="308">
        <v>4.7</v>
      </c>
      <c r="AF16" s="308">
        <v>4.6523023600000002</v>
      </c>
      <c r="AG16" s="308">
        <v>4.4651007800000002</v>
      </c>
      <c r="AH16" s="309">
        <v>4.62</v>
      </c>
      <c r="AI16" s="310">
        <v>5</v>
      </c>
      <c r="AJ16" s="310">
        <v>4.9000000000000004</v>
      </c>
      <c r="AK16" s="310">
        <v>4.9350975000000004</v>
      </c>
      <c r="AL16" s="311">
        <v>5.36</v>
      </c>
      <c r="AM16" s="311">
        <v>5.4</v>
      </c>
      <c r="AN16" s="311">
        <v>5.4847033149999991</v>
      </c>
      <c r="AO16" s="311">
        <v>5.6375000000000002</v>
      </c>
      <c r="AP16" s="311">
        <v>5.59</v>
      </c>
      <c r="AQ16" s="311">
        <v>5.5</v>
      </c>
      <c r="AR16" s="271"/>
      <c r="AS16" s="271"/>
      <c r="AT16" s="271"/>
      <c r="AU16" s="271"/>
      <c r="AV16" s="271"/>
      <c r="AW16" s="271"/>
      <c r="AX16" s="271"/>
      <c r="AY16" s="271"/>
      <c r="AZ16" s="271"/>
      <c r="BA16" s="271"/>
      <c r="BB16" s="271"/>
      <c r="BC16" s="271"/>
      <c r="BD16" s="271"/>
      <c r="BE16" s="271"/>
      <c r="BF16" s="271"/>
      <c r="BG16" s="271"/>
      <c r="BH16" s="271"/>
      <c r="BI16" s="271"/>
      <c r="BJ16" s="271"/>
      <c r="BK16" s="271"/>
      <c r="BL16" s="271"/>
      <c r="BM16" s="271"/>
      <c r="BN16" s="271"/>
      <c r="BO16" s="271"/>
      <c r="BP16" s="271"/>
      <c r="BQ16" s="271"/>
      <c r="BR16" s="271"/>
      <c r="BS16" s="271"/>
      <c r="BT16" s="271"/>
      <c r="BU16" s="271"/>
      <c r="BV16" s="271"/>
      <c r="BW16" s="271"/>
      <c r="BX16" s="271"/>
      <c r="BY16" s="271"/>
      <c r="BZ16" s="271"/>
      <c r="CA16" s="271"/>
      <c r="CB16" s="271"/>
      <c r="CC16" s="271"/>
      <c r="CD16" s="271"/>
      <c r="CE16" s="271"/>
      <c r="CF16" s="271"/>
      <c r="CG16" s="271"/>
      <c r="CH16" s="271"/>
      <c r="CI16" s="271"/>
      <c r="CJ16" s="271"/>
      <c r="CK16" s="271"/>
      <c r="CL16" s="271"/>
      <c r="CM16" s="271"/>
      <c r="CN16" s="271"/>
      <c r="CO16" s="271"/>
      <c r="CP16" s="271"/>
      <c r="CQ16" s="271"/>
      <c r="CR16" s="271"/>
      <c r="CS16" s="271"/>
      <c r="CT16" s="271"/>
      <c r="CU16" s="271"/>
      <c r="CV16" s="271"/>
      <c r="CW16" s="271"/>
      <c r="CX16" s="271"/>
      <c r="CY16" s="271"/>
      <c r="CZ16" s="271"/>
      <c r="DA16" s="271"/>
      <c r="DB16" s="271"/>
      <c r="DC16" s="271"/>
      <c r="DD16" s="271"/>
      <c r="DE16" s="271"/>
      <c r="DF16" s="271"/>
      <c r="DG16" s="271"/>
      <c r="DH16" s="271"/>
      <c r="DI16" s="271"/>
      <c r="DJ16" s="271"/>
      <c r="DK16" s="271"/>
      <c r="DL16" s="271"/>
      <c r="DM16" s="271"/>
      <c r="DN16" s="271"/>
      <c r="DO16" s="271"/>
      <c r="DP16" s="271"/>
      <c r="DQ16" s="271"/>
      <c r="DR16" s="271"/>
      <c r="DS16" s="271"/>
      <c r="DT16" s="271"/>
      <c r="DU16" s="271"/>
      <c r="DV16" s="271"/>
      <c r="DW16" s="271"/>
      <c r="DX16" s="271"/>
      <c r="DY16" s="271"/>
      <c r="DZ16" s="271"/>
      <c r="EA16" s="271"/>
      <c r="EB16" s="271"/>
      <c r="EC16" s="271"/>
      <c r="ED16" s="271"/>
      <c r="EE16" s="271"/>
      <c r="EF16" s="271"/>
      <c r="EG16" s="271"/>
      <c r="EH16" s="271"/>
      <c r="EI16" s="271"/>
      <c r="EJ16" s="271"/>
      <c r="EK16" s="271"/>
      <c r="EL16" s="271"/>
      <c r="EM16" s="271"/>
      <c r="EN16" s="271"/>
      <c r="EO16" s="271"/>
      <c r="EP16" s="271"/>
      <c r="EQ16" s="271"/>
      <c r="ER16" s="271"/>
      <c r="ES16" s="271"/>
      <c r="ET16" s="271"/>
      <c r="EU16" s="271"/>
      <c r="EV16" s="271"/>
      <c r="EW16" s="271"/>
      <c r="EX16" s="271"/>
      <c r="EY16" s="271"/>
      <c r="EZ16" s="271"/>
      <c r="FA16" s="271"/>
      <c r="FB16" s="271"/>
      <c r="FC16" s="271"/>
      <c r="FD16" s="271"/>
      <c r="FE16" s="271"/>
      <c r="FF16" s="271"/>
      <c r="FG16" s="271"/>
      <c r="FH16" s="271"/>
      <c r="FI16" s="271"/>
      <c r="FJ16" s="271"/>
      <c r="FK16" s="271"/>
      <c r="FL16" s="271"/>
      <c r="FM16" s="271"/>
      <c r="FN16" s="271"/>
      <c r="FO16" s="271"/>
      <c r="FP16" s="271"/>
      <c r="FQ16" s="271"/>
      <c r="FR16" s="271"/>
      <c r="FS16" s="271"/>
      <c r="FT16" s="271"/>
      <c r="FU16" s="271"/>
      <c r="FV16" s="271"/>
      <c r="FW16" s="271"/>
      <c r="FX16" s="271"/>
      <c r="FY16" s="271"/>
      <c r="FZ16" s="271"/>
      <c r="GA16" s="271"/>
      <c r="GB16" s="271"/>
      <c r="GC16" s="271"/>
      <c r="GD16" s="271"/>
      <c r="GE16" s="271"/>
      <c r="GF16" s="271"/>
      <c r="GG16" s="271"/>
      <c r="GH16" s="271"/>
      <c r="GI16" s="271"/>
      <c r="GJ16" s="271"/>
      <c r="GK16" s="271"/>
      <c r="GL16" s="271"/>
      <c r="GM16" s="271"/>
      <c r="GN16" s="271"/>
      <c r="GO16" s="271"/>
      <c r="GP16" s="271"/>
      <c r="GQ16" s="271"/>
      <c r="GR16" s="271"/>
      <c r="GS16" s="271"/>
      <c r="GT16" s="271"/>
      <c r="GU16" s="271"/>
      <c r="GV16" s="271"/>
      <c r="GW16" s="271"/>
      <c r="GX16" s="271"/>
      <c r="GY16" s="271"/>
      <c r="GZ16" s="271"/>
      <c r="HA16" s="271"/>
      <c r="HB16" s="271"/>
      <c r="HC16" s="271"/>
      <c r="HD16" s="271"/>
      <c r="HE16" s="271"/>
      <c r="HF16" s="271"/>
      <c r="HG16" s="271"/>
      <c r="HH16" s="271"/>
      <c r="HI16" s="271"/>
      <c r="HJ16" s="271"/>
      <c r="HK16" s="271"/>
      <c r="HL16" s="271"/>
      <c r="HM16" s="271"/>
      <c r="HN16" s="271"/>
      <c r="HO16" s="271"/>
      <c r="HP16" s="271"/>
      <c r="HQ16" s="271"/>
      <c r="HR16" s="271"/>
      <c r="HS16" s="271"/>
      <c r="HT16" s="271"/>
      <c r="HU16" s="271"/>
      <c r="HV16" s="271"/>
      <c r="HW16" s="271"/>
      <c r="HX16" s="271"/>
      <c r="HY16" s="271"/>
      <c r="HZ16" s="271"/>
      <c r="IA16" s="271"/>
      <c r="IB16" s="271"/>
      <c r="IC16" s="271"/>
      <c r="ID16" s="271"/>
      <c r="IE16" s="271"/>
      <c r="IF16" s="271"/>
      <c r="IG16" s="271"/>
      <c r="IH16" s="271"/>
      <c r="II16" s="271"/>
      <c r="IJ16" s="271"/>
      <c r="IK16" s="271"/>
      <c r="IL16" s="271"/>
      <c r="IM16" s="271"/>
      <c r="IN16" s="271"/>
      <c r="IO16" s="271"/>
      <c r="IP16" s="271"/>
      <c r="IQ16" s="271"/>
      <c r="IR16" s="271"/>
      <c r="IS16" s="271"/>
      <c r="IT16" s="271"/>
    </row>
    <row r="17" spans="1:254" s="279" customFormat="1" ht="17.399999999999999" thickTop="1" thickBot="1">
      <c r="A17" s="312" t="s">
        <v>366</v>
      </c>
      <c r="B17" s="313">
        <v>15</v>
      </c>
      <c r="C17" s="313">
        <v>6.1</v>
      </c>
      <c r="D17" s="313">
        <v>11.5</v>
      </c>
      <c r="E17" s="313">
        <v>14.2</v>
      </c>
      <c r="F17" s="313">
        <v>16</v>
      </c>
      <c r="G17" s="313">
        <v>19.899999999999999</v>
      </c>
      <c r="H17" s="313">
        <v>23.7</v>
      </c>
      <c r="I17" s="313">
        <v>29.7</v>
      </c>
      <c r="J17" s="313">
        <v>19</v>
      </c>
      <c r="K17" s="313">
        <v>23.6</v>
      </c>
      <c r="L17" s="313">
        <v>23.4</v>
      </c>
      <c r="M17" s="313">
        <v>24.3</v>
      </c>
      <c r="N17" s="313">
        <v>28.4</v>
      </c>
      <c r="O17" s="313">
        <v>30.5</v>
      </c>
      <c r="P17" s="314">
        <v>34.9</v>
      </c>
      <c r="Q17" s="314">
        <f t="shared" ref="Q17:AJ17" si="1">SUM(Q13:Q16)</f>
        <v>36.1</v>
      </c>
      <c r="R17" s="314">
        <f t="shared" si="1"/>
        <v>35.4</v>
      </c>
      <c r="S17" s="314">
        <f t="shared" si="1"/>
        <v>35.900000000000006</v>
      </c>
      <c r="T17" s="314">
        <f t="shared" si="1"/>
        <v>36.380000000000003</v>
      </c>
      <c r="U17" s="314">
        <f t="shared" si="1"/>
        <v>38.9</v>
      </c>
      <c r="V17" s="314">
        <f t="shared" si="1"/>
        <v>37.6</v>
      </c>
      <c r="W17" s="314">
        <f t="shared" si="1"/>
        <v>42.5</v>
      </c>
      <c r="X17" s="314">
        <f t="shared" si="1"/>
        <v>50.910000000000004</v>
      </c>
      <c r="Y17" s="314">
        <f t="shared" si="1"/>
        <v>52.555</v>
      </c>
      <c r="Z17" s="314">
        <f t="shared" si="1"/>
        <v>57.199999999999996</v>
      </c>
      <c r="AA17" s="314">
        <f t="shared" si="1"/>
        <v>57.92</v>
      </c>
      <c r="AB17" s="315">
        <f t="shared" si="1"/>
        <v>60.650000000000006</v>
      </c>
      <c r="AC17" s="315">
        <f t="shared" si="1"/>
        <v>60.265000000000001</v>
      </c>
      <c r="AD17" s="315">
        <f t="shared" si="1"/>
        <v>62.222499999999997</v>
      </c>
      <c r="AE17" s="315">
        <f t="shared" si="1"/>
        <v>64.27</v>
      </c>
      <c r="AF17" s="315">
        <f t="shared" si="1"/>
        <v>69.700987359999999</v>
      </c>
      <c r="AG17" s="315">
        <f t="shared" si="1"/>
        <v>74.265100779999997</v>
      </c>
      <c r="AH17" s="316">
        <f t="shared" si="1"/>
        <v>73.010000000000005</v>
      </c>
      <c r="AI17" s="316">
        <f t="shared" si="1"/>
        <v>78.5</v>
      </c>
      <c r="AJ17" s="316">
        <f t="shared" si="1"/>
        <v>90.3</v>
      </c>
      <c r="AK17" s="316">
        <f>SUM(AK13:AK16)</f>
        <v>84.865485499999991</v>
      </c>
      <c r="AL17" s="316">
        <f>SUM(AL13:AL16)</f>
        <v>88.185348320000003</v>
      </c>
      <c r="AM17" s="316">
        <f>SUM(AM13:AM16)</f>
        <v>85.2</v>
      </c>
      <c r="AN17" s="316">
        <v>89.876589085000006</v>
      </c>
      <c r="AO17" s="316">
        <v>89.905254220000003</v>
      </c>
      <c r="AP17" s="316">
        <v>89.579345000000004</v>
      </c>
      <c r="AQ17" s="316">
        <v>91</v>
      </c>
      <c r="AR17" s="271"/>
      <c r="AS17" s="271"/>
      <c r="AT17" s="271"/>
      <c r="AU17" s="271"/>
      <c r="AV17" s="271"/>
      <c r="AW17" s="271"/>
      <c r="AX17" s="271"/>
      <c r="AY17" s="271"/>
      <c r="AZ17" s="271"/>
      <c r="BA17" s="271"/>
      <c r="BB17" s="271"/>
      <c r="BC17" s="271"/>
      <c r="BD17" s="271"/>
      <c r="BE17" s="271"/>
      <c r="BF17" s="271"/>
      <c r="BG17" s="271"/>
      <c r="BH17" s="271"/>
      <c r="BI17" s="271"/>
      <c r="BJ17" s="271"/>
      <c r="BK17" s="271"/>
      <c r="BL17" s="271"/>
      <c r="BM17" s="271"/>
      <c r="BN17" s="271"/>
      <c r="BO17" s="271"/>
      <c r="BP17" s="271"/>
      <c r="BQ17" s="271"/>
      <c r="BR17" s="271"/>
      <c r="BS17" s="271"/>
      <c r="BT17" s="271"/>
      <c r="BU17" s="271"/>
      <c r="BV17" s="271"/>
      <c r="BW17" s="271"/>
      <c r="BX17" s="271"/>
      <c r="BY17" s="271"/>
      <c r="BZ17" s="271"/>
      <c r="CA17" s="271"/>
      <c r="CB17" s="271"/>
      <c r="CC17" s="271"/>
      <c r="CD17" s="271"/>
      <c r="CE17" s="271"/>
      <c r="CF17" s="271"/>
      <c r="CG17" s="271"/>
      <c r="CH17" s="271"/>
      <c r="CI17" s="271"/>
      <c r="CJ17" s="271"/>
      <c r="CK17" s="271"/>
      <c r="CL17" s="271"/>
      <c r="CM17" s="271"/>
      <c r="CN17" s="271"/>
      <c r="CO17" s="271"/>
      <c r="CP17" s="271"/>
      <c r="CQ17" s="271"/>
      <c r="CR17" s="271"/>
      <c r="CS17" s="271"/>
      <c r="CT17" s="271"/>
      <c r="CU17" s="271"/>
      <c r="CV17" s="271"/>
      <c r="CW17" s="271"/>
      <c r="CX17" s="271"/>
      <c r="CY17" s="271"/>
      <c r="CZ17" s="271"/>
      <c r="DA17" s="271"/>
      <c r="DB17" s="271"/>
      <c r="DC17" s="271"/>
      <c r="DD17" s="271"/>
      <c r="DE17" s="271"/>
      <c r="DF17" s="271"/>
      <c r="DG17" s="271"/>
      <c r="DH17" s="271"/>
      <c r="DI17" s="271"/>
      <c r="DJ17" s="271"/>
      <c r="DK17" s="271"/>
      <c r="DL17" s="271"/>
      <c r="DM17" s="271"/>
      <c r="DN17" s="271"/>
      <c r="DO17" s="271"/>
      <c r="DP17" s="271"/>
      <c r="DQ17" s="271"/>
      <c r="DR17" s="271"/>
      <c r="DS17" s="271"/>
      <c r="DT17" s="271"/>
      <c r="DU17" s="271"/>
      <c r="DV17" s="271"/>
      <c r="DW17" s="271"/>
      <c r="DX17" s="271"/>
      <c r="DY17" s="271"/>
      <c r="DZ17" s="271"/>
      <c r="EA17" s="271"/>
      <c r="EB17" s="271"/>
      <c r="EC17" s="271"/>
      <c r="ED17" s="271"/>
      <c r="EE17" s="271"/>
      <c r="EF17" s="271"/>
      <c r="EG17" s="271"/>
      <c r="EH17" s="271"/>
      <c r="EI17" s="271"/>
      <c r="EJ17" s="271"/>
      <c r="EK17" s="271"/>
      <c r="EL17" s="271"/>
      <c r="EM17" s="271"/>
      <c r="EN17" s="271"/>
      <c r="EO17" s="271"/>
      <c r="EP17" s="271"/>
      <c r="EQ17" s="271"/>
      <c r="ER17" s="271"/>
      <c r="ES17" s="271"/>
      <c r="ET17" s="271"/>
      <c r="EU17" s="271"/>
      <c r="EV17" s="271"/>
      <c r="EW17" s="271"/>
      <c r="EX17" s="271"/>
      <c r="EY17" s="271"/>
      <c r="EZ17" s="271"/>
      <c r="FA17" s="271"/>
      <c r="FB17" s="271"/>
      <c r="FC17" s="271"/>
      <c r="FD17" s="271"/>
      <c r="FE17" s="271"/>
      <c r="FF17" s="271"/>
      <c r="FG17" s="271"/>
      <c r="FH17" s="271"/>
      <c r="FI17" s="271"/>
      <c r="FJ17" s="271"/>
      <c r="FK17" s="271"/>
      <c r="FL17" s="271"/>
      <c r="FM17" s="271"/>
      <c r="FN17" s="271"/>
      <c r="FO17" s="271"/>
      <c r="FP17" s="271"/>
      <c r="FQ17" s="271"/>
      <c r="FR17" s="271"/>
      <c r="FS17" s="271"/>
      <c r="FT17" s="271"/>
      <c r="FU17" s="271"/>
      <c r="FV17" s="271"/>
      <c r="FW17" s="271"/>
      <c r="FX17" s="271"/>
      <c r="FY17" s="271"/>
      <c r="FZ17" s="271"/>
      <c r="GA17" s="271"/>
      <c r="GB17" s="271"/>
      <c r="GC17" s="271"/>
      <c r="GD17" s="271"/>
      <c r="GE17" s="271"/>
      <c r="GF17" s="271"/>
      <c r="GG17" s="271"/>
      <c r="GH17" s="271"/>
      <c r="GI17" s="271"/>
      <c r="GJ17" s="271"/>
      <c r="GK17" s="271"/>
      <c r="GL17" s="271"/>
      <c r="GM17" s="271"/>
      <c r="GN17" s="271"/>
      <c r="GO17" s="271"/>
      <c r="GP17" s="271"/>
      <c r="GQ17" s="271"/>
      <c r="GR17" s="271"/>
      <c r="GS17" s="271"/>
      <c r="GT17" s="271"/>
      <c r="GU17" s="271"/>
      <c r="GV17" s="271"/>
      <c r="GW17" s="271"/>
      <c r="GX17" s="271"/>
      <c r="GY17" s="271"/>
      <c r="GZ17" s="271"/>
      <c r="HA17" s="271"/>
      <c r="HB17" s="271"/>
      <c r="HC17" s="271"/>
      <c r="HD17" s="271"/>
      <c r="HE17" s="271"/>
      <c r="HF17" s="271"/>
      <c r="HG17" s="271"/>
      <c r="HH17" s="271"/>
      <c r="HI17" s="271"/>
      <c r="HJ17" s="271"/>
      <c r="HK17" s="271"/>
      <c r="HL17" s="271"/>
      <c r="HM17" s="271"/>
      <c r="HN17" s="271"/>
      <c r="HO17" s="271"/>
      <c r="HP17" s="271"/>
      <c r="HQ17" s="271"/>
      <c r="HR17" s="271"/>
      <c r="HS17" s="271"/>
      <c r="HT17" s="271"/>
      <c r="HU17" s="271"/>
      <c r="HV17" s="271"/>
      <c r="HW17" s="271"/>
      <c r="HX17" s="271"/>
      <c r="HY17" s="271"/>
      <c r="HZ17" s="271"/>
      <c r="IA17" s="271"/>
      <c r="IB17" s="271"/>
      <c r="IC17" s="271"/>
      <c r="ID17" s="271"/>
      <c r="IE17" s="271"/>
      <c r="IF17" s="271"/>
      <c r="IG17" s="271"/>
      <c r="IH17" s="271"/>
      <c r="II17" s="271"/>
      <c r="IJ17" s="271"/>
      <c r="IK17" s="271"/>
      <c r="IL17" s="271"/>
      <c r="IM17" s="271"/>
      <c r="IN17" s="271"/>
      <c r="IO17" s="271"/>
      <c r="IP17" s="271"/>
      <c r="IQ17" s="271"/>
      <c r="IR17" s="271"/>
      <c r="IS17" s="271"/>
      <c r="IT17" s="271"/>
    </row>
    <row r="18" spans="1:254" s="318" customFormat="1" ht="17.399999999999999" thickBot="1">
      <c r="A18" s="295" t="s">
        <v>367</v>
      </c>
      <c r="B18" s="296">
        <f t="shared" ref="B18:AH18" si="2">B9+B11+B17</f>
        <v>17.3</v>
      </c>
      <c r="C18" s="296">
        <f t="shared" si="2"/>
        <v>8.3999999999999986</v>
      </c>
      <c r="D18" s="296">
        <f t="shared" si="2"/>
        <v>16.100000000000001</v>
      </c>
      <c r="E18" s="296">
        <f t="shared" si="2"/>
        <v>23.299999999999997</v>
      </c>
      <c r="F18" s="296">
        <f t="shared" si="2"/>
        <v>35.6</v>
      </c>
      <c r="G18" s="296">
        <f t="shared" si="2"/>
        <v>35.799999999999997</v>
      </c>
      <c r="H18" s="296">
        <f t="shared" si="2"/>
        <v>43.3</v>
      </c>
      <c r="I18" s="296">
        <f t="shared" si="2"/>
        <v>51.9</v>
      </c>
      <c r="J18" s="296">
        <f t="shared" si="2"/>
        <v>37.799999999999997</v>
      </c>
      <c r="K18" s="296">
        <f t="shared" si="2"/>
        <v>46.6</v>
      </c>
      <c r="L18" s="296">
        <f t="shared" si="2"/>
        <v>56.199999999999996</v>
      </c>
      <c r="M18" s="296">
        <f t="shared" si="2"/>
        <v>57.3</v>
      </c>
      <c r="N18" s="296">
        <f t="shared" si="2"/>
        <v>95.4</v>
      </c>
      <c r="O18" s="296">
        <f t="shared" si="2"/>
        <v>80.099999999999994</v>
      </c>
      <c r="P18" s="296">
        <f t="shared" si="2"/>
        <v>90.8</v>
      </c>
      <c r="Q18" s="296">
        <f t="shared" si="2"/>
        <v>107.5</v>
      </c>
      <c r="R18" s="296">
        <f t="shared" si="2"/>
        <v>103.9</v>
      </c>
      <c r="S18" s="296">
        <f t="shared" si="2"/>
        <v>118.10000000000001</v>
      </c>
      <c r="T18" s="296">
        <f t="shared" si="2"/>
        <v>141.28</v>
      </c>
      <c r="U18" s="296">
        <f t="shared" si="2"/>
        <v>147.1</v>
      </c>
      <c r="V18" s="296">
        <f t="shared" si="2"/>
        <v>145.80000000000001</v>
      </c>
      <c r="W18" s="296">
        <f t="shared" si="2"/>
        <v>146.5</v>
      </c>
      <c r="X18" s="296">
        <f t="shared" si="2"/>
        <v>195.10999999999999</v>
      </c>
      <c r="Y18" s="296">
        <f t="shared" si="2"/>
        <v>199.755</v>
      </c>
      <c r="Z18" s="296">
        <f t="shared" si="2"/>
        <v>202.9</v>
      </c>
      <c r="AA18" s="296">
        <f t="shared" si="2"/>
        <v>193.73000000000002</v>
      </c>
      <c r="AB18" s="297">
        <f t="shared" si="2"/>
        <v>198.55</v>
      </c>
      <c r="AC18" s="297">
        <f t="shared" si="2"/>
        <v>199.74700000000001</v>
      </c>
      <c r="AD18" s="297">
        <f t="shared" si="2"/>
        <v>211.11993393999995</v>
      </c>
      <c r="AE18" s="297">
        <f t="shared" si="2"/>
        <v>242.12944282999996</v>
      </c>
      <c r="AF18" s="297">
        <f t="shared" si="2"/>
        <v>269.28320039000005</v>
      </c>
      <c r="AG18" s="297">
        <f t="shared" si="2"/>
        <v>295.31872501999993</v>
      </c>
      <c r="AH18" s="298">
        <f t="shared" si="2"/>
        <v>321.94</v>
      </c>
      <c r="AI18" s="317">
        <f>AI9+AI10+AI17</f>
        <v>317.7</v>
      </c>
      <c r="AJ18" s="317">
        <f>AJ9+AJ10+AJ17</f>
        <v>322.40148199999999</v>
      </c>
      <c r="AK18" s="317">
        <f>AK9+AK10+AK17</f>
        <v>343.16651961999997</v>
      </c>
      <c r="AL18" s="317">
        <f>AL9+AL10+AL17</f>
        <v>346.34075089999999</v>
      </c>
      <c r="AM18" s="317">
        <f>AM9+AM10+AM17</f>
        <v>339.9</v>
      </c>
      <c r="AN18" s="317">
        <v>348.64765680500011</v>
      </c>
      <c r="AO18" s="317">
        <v>330.29548194</v>
      </c>
      <c r="AP18" s="317">
        <v>327.66055675000001</v>
      </c>
      <c r="AQ18" s="317">
        <v>344.6</v>
      </c>
      <c r="AR18" s="271"/>
      <c r="AS18" s="271"/>
      <c r="AT18" s="271"/>
      <c r="AU18" s="271"/>
      <c r="AV18" s="271"/>
      <c r="AW18" s="271"/>
      <c r="AX18" s="271"/>
      <c r="AY18" s="271"/>
      <c r="AZ18" s="271"/>
      <c r="BA18" s="271"/>
      <c r="BB18" s="271"/>
      <c r="BC18" s="271"/>
      <c r="BD18" s="271"/>
      <c r="BE18" s="271"/>
      <c r="BF18" s="271"/>
      <c r="BG18" s="271"/>
      <c r="BH18" s="271"/>
      <c r="BI18" s="271"/>
      <c r="BJ18" s="271"/>
      <c r="BK18" s="271"/>
      <c r="BL18" s="271"/>
      <c r="BM18" s="271"/>
      <c r="BN18" s="271"/>
      <c r="BO18" s="271"/>
      <c r="BP18" s="271"/>
      <c r="BQ18" s="271"/>
      <c r="BR18" s="271"/>
      <c r="BS18" s="271"/>
      <c r="BT18" s="271"/>
      <c r="BU18" s="271"/>
      <c r="BV18" s="271"/>
      <c r="BW18" s="271"/>
      <c r="BX18" s="271"/>
      <c r="BY18" s="271"/>
      <c r="BZ18" s="271"/>
      <c r="CA18" s="271"/>
      <c r="CB18" s="271"/>
      <c r="CC18" s="271"/>
      <c r="CD18" s="271"/>
      <c r="CE18" s="271"/>
      <c r="CF18" s="271"/>
      <c r="CG18" s="271"/>
      <c r="CH18" s="271"/>
      <c r="CI18" s="271"/>
      <c r="CJ18" s="271"/>
      <c r="CK18" s="271"/>
      <c r="CL18" s="271"/>
      <c r="CM18" s="271"/>
      <c r="CN18" s="271"/>
      <c r="CO18" s="271"/>
      <c r="CP18" s="271"/>
      <c r="CQ18" s="271"/>
      <c r="CR18" s="271"/>
      <c r="CS18" s="271"/>
      <c r="CT18" s="271"/>
      <c r="CU18" s="271"/>
      <c r="CV18" s="271"/>
      <c r="CW18" s="271"/>
      <c r="CX18" s="271"/>
      <c r="CY18" s="271"/>
      <c r="CZ18" s="271"/>
      <c r="DA18" s="271"/>
      <c r="DB18" s="271"/>
      <c r="DC18" s="271"/>
      <c r="DD18" s="271"/>
      <c r="DE18" s="271"/>
      <c r="DF18" s="271"/>
      <c r="DG18" s="271"/>
      <c r="DH18" s="271"/>
      <c r="DI18" s="271"/>
      <c r="DJ18" s="271"/>
      <c r="DK18" s="271"/>
      <c r="DL18" s="271"/>
      <c r="DM18" s="271"/>
      <c r="DN18" s="271"/>
      <c r="DO18" s="271"/>
      <c r="DP18" s="271"/>
      <c r="DQ18" s="271"/>
      <c r="DR18" s="271"/>
      <c r="DS18" s="271"/>
      <c r="DT18" s="271"/>
      <c r="DU18" s="271"/>
      <c r="DV18" s="271"/>
      <c r="DW18" s="271"/>
      <c r="DX18" s="271"/>
      <c r="DY18" s="271"/>
      <c r="DZ18" s="271"/>
      <c r="EA18" s="271"/>
      <c r="EB18" s="271"/>
      <c r="EC18" s="271"/>
      <c r="ED18" s="271"/>
      <c r="EE18" s="271"/>
      <c r="EF18" s="271"/>
      <c r="EG18" s="271"/>
      <c r="EH18" s="271"/>
      <c r="EI18" s="271"/>
      <c r="EJ18" s="271"/>
      <c r="EK18" s="271"/>
      <c r="EL18" s="271"/>
      <c r="EM18" s="271"/>
      <c r="EN18" s="271"/>
      <c r="EO18" s="271"/>
      <c r="EP18" s="271"/>
      <c r="EQ18" s="271"/>
      <c r="ER18" s="271"/>
      <c r="ES18" s="271"/>
      <c r="ET18" s="271"/>
      <c r="EU18" s="271"/>
      <c r="EV18" s="271"/>
      <c r="EW18" s="271"/>
      <c r="EX18" s="271"/>
      <c r="EY18" s="271"/>
      <c r="EZ18" s="271"/>
      <c r="FA18" s="271"/>
      <c r="FB18" s="271"/>
      <c r="FC18" s="271"/>
      <c r="FD18" s="271"/>
      <c r="FE18" s="271"/>
      <c r="FF18" s="271"/>
      <c r="FG18" s="271"/>
      <c r="FH18" s="271"/>
      <c r="FI18" s="271"/>
      <c r="FJ18" s="271"/>
      <c r="FK18" s="271"/>
      <c r="FL18" s="271"/>
      <c r="FM18" s="271"/>
      <c r="FN18" s="271"/>
      <c r="FO18" s="271"/>
      <c r="FP18" s="271"/>
      <c r="FQ18" s="271"/>
      <c r="FR18" s="271"/>
      <c r="FS18" s="271"/>
      <c r="FT18" s="271"/>
      <c r="FU18" s="271"/>
      <c r="FV18" s="271"/>
      <c r="FW18" s="271"/>
      <c r="FX18" s="271"/>
      <c r="FY18" s="271"/>
      <c r="FZ18" s="271"/>
      <c r="GA18" s="271"/>
      <c r="GB18" s="271"/>
      <c r="GC18" s="271"/>
      <c r="GD18" s="271"/>
      <c r="GE18" s="271"/>
      <c r="GF18" s="271"/>
      <c r="GG18" s="271"/>
      <c r="GH18" s="271"/>
      <c r="GI18" s="271"/>
      <c r="GJ18" s="271"/>
      <c r="GK18" s="271"/>
      <c r="GL18" s="271"/>
      <c r="GM18" s="271"/>
      <c r="GN18" s="271"/>
      <c r="GO18" s="271"/>
      <c r="GP18" s="271"/>
      <c r="GQ18" s="271"/>
      <c r="GR18" s="271"/>
      <c r="GS18" s="271"/>
      <c r="GT18" s="271"/>
      <c r="GU18" s="271"/>
      <c r="GV18" s="271"/>
      <c r="GW18" s="271"/>
      <c r="GX18" s="271"/>
      <c r="GY18" s="271"/>
      <c r="GZ18" s="271"/>
      <c r="HA18" s="271"/>
      <c r="HB18" s="271"/>
      <c r="HC18" s="271"/>
      <c r="HD18" s="271"/>
      <c r="HE18" s="271"/>
      <c r="HF18" s="271"/>
      <c r="HG18" s="271"/>
      <c r="HH18" s="271"/>
      <c r="HI18" s="271"/>
      <c r="HJ18" s="271"/>
      <c r="HK18" s="271"/>
      <c r="HL18" s="271"/>
      <c r="HM18" s="271"/>
      <c r="HN18" s="271"/>
      <c r="HO18" s="271"/>
      <c r="HP18" s="271"/>
      <c r="HQ18" s="271"/>
      <c r="HR18" s="271"/>
      <c r="HS18" s="271"/>
      <c r="HT18" s="271"/>
      <c r="HU18" s="271"/>
      <c r="HV18" s="271"/>
      <c r="HW18" s="271"/>
      <c r="HX18" s="271"/>
      <c r="HY18" s="271"/>
      <c r="HZ18" s="271"/>
      <c r="IA18" s="271"/>
      <c r="IB18" s="271"/>
      <c r="IC18" s="271"/>
      <c r="ID18" s="271"/>
      <c r="IE18" s="271"/>
      <c r="IF18" s="271"/>
      <c r="IG18" s="271"/>
      <c r="IH18" s="271"/>
      <c r="II18" s="271"/>
      <c r="IJ18" s="271"/>
      <c r="IK18" s="271"/>
      <c r="IL18" s="271"/>
      <c r="IM18" s="271"/>
      <c r="IN18" s="271"/>
      <c r="IO18" s="271"/>
      <c r="IP18" s="271"/>
      <c r="IQ18" s="271"/>
      <c r="IR18" s="271"/>
      <c r="IS18" s="271"/>
      <c r="IT18" s="271"/>
    </row>
    <row r="19" spans="1:254" s="279" customFormat="1" ht="17.399999999999999">
      <c r="A19" s="319" t="s">
        <v>383</v>
      </c>
      <c r="B19" s="300">
        <v>0</v>
      </c>
      <c r="C19" s="300">
        <v>0</v>
      </c>
      <c r="D19" s="300">
        <v>0</v>
      </c>
      <c r="E19" s="300">
        <v>0</v>
      </c>
      <c r="F19" s="300">
        <v>0</v>
      </c>
      <c r="G19" s="300">
        <v>0</v>
      </c>
      <c r="H19" s="300">
        <v>0</v>
      </c>
      <c r="I19" s="300">
        <v>0</v>
      </c>
      <c r="J19" s="300">
        <v>0</v>
      </c>
      <c r="K19" s="300">
        <v>0</v>
      </c>
      <c r="L19" s="300">
        <v>0</v>
      </c>
      <c r="M19" s="300">
        <v>0</v>
      </c>
      <c r="N19" s="300">
        <v>0</v>
      </c>
      <c r="O19" s="300">
        <v>0</v>
      </c>
      <c r="P19" s="301">
        <v>0</v>
      </c>
      <c r="Q19" s="301"/>
      <c r="R19" s="301"/>
      <c r="S19" s="301"/>
      <c r="T19" s="301"/>
      <c r="U19" s="301"/>
      <c r="V19" s="301"/>
      <c r="W19" s="301"/>
      <c r="X19" s="301"/>
      <c r="Y19" s="301"/>
      <c r="Z19" s="301"/>
      <c r="AA19" s="301"/>
      <c r="AB19" s="302"/>
      <c r="AC19" s="303"/>
      <c r="AD19" s="303"/>
      <c r="AE19" s="303"/>
      <c r="AF19" s="303"/>
      <c r="AG19" s="303"/>
      <c r="AH19" s="304"/>
      <c r="AI19" s="303"/>
      <c r="AJ19" s="303"/>
      <c r="AK19" s="303"/>
      <c r="AL19" s="303"/>
      <c r="AM19" s="303"/>
      <c r="AN19" s="303"/>
      <c r="AO19" s="303"/>
      <c r="AP19" s="303"/>
      <c r="AQ19" s="303"/>
      <c r="AR19" s="271"/>
      <c r="AS19" s="271"/>
      <c r="AT19" s="271"/>
      <c r="AU19" s="271"/>
      <c r="AV19" s="271"/>
      <c r="AW19" s="271"/>
      <c r="AX19" s="271"/>
      <c r="AY19" s="271"/>
      <c r="AZ19" s="271"/>
      <c r="BA19" s="271"/>
      <c r="BB19" s="271"/>
      <c r="BC19" s="271"/>
      <c r="BD19" s="271"/>
      <c r="BE19" s="271"/>
      <c r="BF19" s="271"/>
      <c r="BG19" s="271"/>
      <c r="BH19" s="271"/>
      <c r="BI19" s="271"/>
      <c r="BJ19" s="271"/>
      <c r="BK19" s="271"/>
      <c r="BL19" s="271"/>
      <c r="BM19" s="271"/>
      <c r="BN19" s="271"/>
      <c r="BO19" s="271"/>
      <c r="BP19" s="271"/>
      <c r="BQ19" s="271"/>
      <c r="BR19" s="271"/>
      <c r="BS19" s="271"/>
      <c r="BT19" s="271"/>
      <c r="BU19" s="271"/>
      <c r="BV19" s="271"/>
      <c r="BW19" s="271"/>
      <c r="BX19" s="271"/>
      <c r="BY19" s="271"/>
      <c r="BZ19" s="271"/>
      <c r="CA19" s="271"/>
      <c r="CB19" s="271"/>
      <c r="CC19" s="271"/>
      <c r="CD19" s="271"/>
      <c r="CE19" s="271"/>
      <c r="CF19" s="271"/>
      <c r="CG19" s="271"/>
      <c r="CH19" s="271"/>
      <c r="CI19" s="271"/>
      <c r="CJ19" s="271"/>
      <c r="CK19" s="271"/>
      <c r="CL19" s="271"/>
      <c r="CM19" s="271"/>
      <c r="CN19" s="271"/>
      <c r="CO19" s="271"/>
      <c r="CP19" s="271"/>
      <c r="CQ19" s="271"/>
      <c r="CR19" s="271"/>
      <c r="CS19" s="271"/>
      <c r="CT19" s="271"/>
      <c r="CU19" s="271"/>
      <c r="CV19" s="271"/>
      <c r="CW19" s="271"/>
      <c r="CX19" s="271"/>
      <c r="CY19" s="271"/>
      <c r="CZ19" s="271"/>
      <c r="DA19" s="271"/>
      <c r="DB19" s="271"/>
      <c r="DC19" s="271"/>
      <c r="DD19" s="271"/>
      <c r="DE19" s="271"/>
      <c r="DF19" s="271"/>
      <c r="DG19" s="271"/>
      <c r="DH19" s="271"/>
      <c r="DI19" s="271"/>
      <c r="DJ19" s="271"/>
      <c r="DK19" s="271"/>
      <c r="DL19" s="271"/>
      <c r="DM19" s="271"/>
      <c r="DN19" s="271"/>
      <c r="DO19" s="271"/>
      <c r="DP19" s="271"/>
      <c r="DQ19" s="271"/>
      <c r="DR19" s="271"/>
      <c r="DS19" s="271"/>
      <c r="DT19" s="271"/>
      <c r="DU19" s="271"/>
      <c r="DV19" s="271"/>
      <c r="DW19" s="271"/>
      <c r="DX19" s="271"/>
      <c r="DY19" s="271"/>
      <c r="DZ19" s="271"/>
      <c r="EA19" s="271"/>
      <c r="EB19" s="271"/>
      <c r="EC19" s="271"/>
      <c r="ED19" s="271"/>
      <c r="EE19" s="271"/>
      <c r="EF19" s="271"/>
      <c r="EG19" s="271"/>
      <c r="EH19" s="271"/>
      <c r="EI19" s="271"/>
      <c r="EJ19" s="271"/>
      <c r="EK19" s="271"/>
      <c r="EL19" s="271"/>
      <c r="EM19" s="271"/>
      <c r="EN19" s="271"/>
      <c r="EO19" s="271"/>
      <c r="EP19" s="271"/>
      <c r="EQ19" s="271"/>
      <c r="ER19" s="271"/>
      <c r="ES19" s="271"/>
      <c r="ET19" s="271"/>
      <c r="EU19" s="271"/>
      <c r="EV19" s="271"/>
      <c r="EW19" s="271"/>
      <c r="EX19" s="271"/>
      <c r="EY19" s="271"/>
      <c r="EZ19" s="271"/>
      <c r="FA19" s="271"/>
      <c r="FB19" s="271"/>
      <c r="FC19" s="271"/>
      <c r="FD19" s="271"/>
      <c r="FE19" s="271"/>
      <c r="FF19" s="271"/>
      <c r="FG19" s="271"/>
      <c r="FH19" s="271"/>
      <c r="FI19" s="271"/>
      <c r="FJ19" s="271"/>
      <c r="FK19" s="271"/>
      <c r="FL19" s="271"/>
      <c r="FM19" s="271"/>
      <c r="FN19" s="271"/>
      <c r="FO19" s="271"/>
      <c r="FP19" s="271"/>
      <c r="FQ19" s="271"/>
      <c r="FR19" s="271"/>
      <c r="FS19" s="271"/>
      <c r="FT19" s="271"/>
      <c r="FU19" s="271"/>
      <c r="FV19" s="271"/>
      <c r="FW19" s="271"/>
      <c r="FX19" s="271"/>
      <c r="FY19" s="271"/>
      <c r="FZ19" s="271"/>
      <c r="GA19" s="271"/>
      <c r="GB19" s="271"/>
      <c r="GC19" s="271"/>
      <c r="GD19" s="271"/>
      <c r="GE19" s="271"/>
      <c r="GF19" s="271"/>
      <c r="GG19" s="271"/>
      <c r="GH19" s="271"/>
      <c r="GI19" s="271"/>
      <c r="GJ19" s="271"/>
      <c r="GK19" s="271"/>
      <c r="GL19" s="271"/>
      <c r="GM19" s="271"/>
      <c r="GN19" s="271"/>
      <c r="GO19" s="271"/>
      <c r="GP19" s="271"/>
      <c r="GQ19" s="271"/>
      <c r="GR19" s="271"/>
      <c r="GS19" s="271"/>
      <c r="GT19" s="271"/>
      <c r="GU19" s="271"/>
      <c r="GV19" s="271"/>
      <c r="GW19" s="271"/>
      <c r="GX19" s="271"/>
      <c r="GY19" s="271"/>
      <c r="GZ19" s="271"/>
      <c r="HA19" s="271"/>
      <c r="HB19" s="271"/>
      <c r="HC19" s="271"/>
      <c r="HD19" s="271"/>
      <c r="HE19" s="271"/>
      <c r="HF19" s="271"/>
      <c r="HG19" s="271"/>
      <c r="HH19" s="271"/>
      <c r="HI19" s="271"/>
      <c r="HJ19" s="271"/>
      <c r="HK19" s="271"/>
      <c r="HL19" s="271"/>
      <c r="HM19" s="271"/>
      <c r="HN19" s="271"/>
      <c r="HO19" s="271"/>
      <c r="HP19" s="271"/>
      <c r="HQ19" s="271"/>
      <c r="HR19" s="271"/>
      <c r="HS19" s="271"/>
      <c r="HT19" s="271"/>
      <c r="HU19" s="271"/>
      <c r="HV19" s="271"/>
      <c r="HW19" s="271"/>
      <c r="HX19" s="271"/>
      <c r="HY19" s="271"/>
      <c r="HZ19" s="271"/>
      <c r="IA19" s="271"/>
      <c r="IB19" s="271"/>
      <c r="IC19" s="271"/>
      <c r="ID19" s="271"/>
      <c r="IE19" s="271"/>
      <c r="IF19" s="271"/>
      <c r="IG19" s="271"/>
      <c r="IH19" s="271"/>
      <c r="II19" s="271"/>
      <c r="IJ19" s="271"/>
      <c r="IK19" s="271"/>
      <c r="IL19" s="271"/>
      <c r="IM19" s="271"/>
      <c r="IN19" s="271"/>
      <c r="IO19" s="271"/>
      <c r="IP19" s="271"/>
      <c r="IQ19" s="271"/>
      <c r="IR19" s="271"/>
      <c r="IS19" s="271"/>
      <c r="IT19" s="271"/>
    </row>
    <row r="20" spans="1:254" s="279" customFormat="1" ht="16.2">
      <c r="A20" s="320" t="s">
        <v>368</v>
      </c>
      <c r="B20" s="281">
        <v>15</v>
      </c>
      <c r="C20" s="281">
        <v>6.4</v>
      </c>
      <c r="D20" s="281">
        <v>9.1999999999999993</v>
      </c>
      <c r="E20" s="281">
        <v>12.1</v>
      </c>
      <c r="F20" s="281">
        <v>12.7</v>
      </c>
      <c r="G20" s="281">
        <v>15.3</v>
      </c>
      <c r="H20" s="281">
        <v>17.100000000000001</v>
      </c>
      <c r="I20" s="281">
        <v>22.2</v>
      </c>
      <c r="J20" s="281">
        <v>24.3</v>
      </c>
      <c r="K20" s="281">
        <v>24.5</v>
      </c>
      <c r="L20" s="281">
        <v>26</v>
      </c>
      <c r="M20" s="281">
        <v>29.2</v>
      </c>
      <c r="N20" s="281">
        <v>31.4</v>
      </c>
      <c r="O20" s="281">
        <v>40.6</v>
      </c>
      <c r="P20" s="283">
        <v>46.1</v>
      </c>
      <c r="Q20" s="283">
        <v>44.9</v>
      </c>
      <c r="R20" s="283">
        <v>51.1</v>
      </c>
      <c r="S20" s="283">
        <v>52.4</v>
      </c>
      <c r="T20" s="283">
        <v>48.9</v>
      </c>
      <c r="U20" s="283">
        <v>49.4</v>
      </c>
      <c r="V20" s="283">
        <v>48.4</v>
      </c>
      <c r="W20" s="283">
        <v>49.1</v>
      </c>
      <c r="X20" s="283">
        <v>48.5</v>
      </c>
      <c r="Y20" s="283">
        <v>49.9</v>
      </c>
      <c r="Z20" s="283">
        <v>53.3</v>
      </c>
      <c r="AA20" s="283">
        <v>56.4</v>
      </c>
      <c r="AB20" s="284">
        <v>53.4</v>
      </c>
      <c r="AC20" s="285">
        <v>76.009</v>
      </c>
      <c r="AD20" s="285">
        <v>76.900000000000006</v>
      </c>
      <c r="AE20" s="285">
        <v>78.7</v>
      </c>
      <c r="AF20" s="285">
        <v>80.530576881176245</v>
      </c>
      <c r="AG20" s="285">
        <v>79.209488511332921</v>
      </c>
      <c r="AH20" s="286">
        <v>80.599999999999994</v>
      </c>
      <c r="AI20" s="287">
        <v>89.1</v>
      </c>
      <c r="AJ20" s="287">
        <v>83.4</v>
      </c>
      <c r="AK20" s="287">
        <v>89.190742819737665</v>
      </c>
      <c r="AL20" s="287">
        <v>85.597791098136184</v>
      </c>
      <c r="AM20" s="287">
        <v>58.6</v>
      </c>
      <c r="AN20" s="287">
        <v>40.96293249063028</v>
      </c>
      <c r="AO20" s="287">
        <v>39.749498006875612</v>
      </c>
      <c r="AP20" s="287">
        <v>32.529644248456414</v>
      </c>
      <c r="AQ20" s="287">
        <v>29.3</v>
      </c>
      <c r="AR20" s="271"/>
      <c r="AS20" s="271"/>
      <c r="AT20" s="271"/>
      <c r="AU20" s="271"/>
      <c r="AV20" s="271"/>
      <c r="AW20" s="271"/>
      <c r="AX20" s="271"/>
      <c r="AY20" s="271"/>
      <c r="AZ20" s="271"/>
      <c r="BA20" s="271"/>
      <c r="BB20" s="271"/>
      <c r="BC20" s="271"/>
      <c r="BD20" s="271"/>
      <c r="BE20" s="271"/>
      <c r="BF20" s="271"/>
      <c r="BG20" s="271"/>
      <c r="BH20" s="271"/>
      <c r="BI20" s="271"/>
      <c r="BJ20" s="271"/>
      <c r="BK20" s="271"/>
      <c r="BL20" s="271"/>
      <c r="BM20" s="271"/>
      <c r="BN20" s="271"/>
      <c r="BO20" s="271"/>
      <c r="BP20" s="271"/>
      <c r="BQ20" s="271"/>
      <c r="BR20" s="271"/>
      <c r="BS20" s="271"/>
      <c r="BT20" s="271"/>
      <c r="BU20" s="271"/>
      <c r="BV20" s="271"/>
      <c r="BW20" s="271"/>
      <c r="BX20" s="271"/>
      <c r="BY20" s="271"/>
      <c r="BZ20" s="271"/>
      <c r="CA20" s="271"/>
      <c r="CB20" s="271"/>
      <c r="CC20" s="271"/>
      <c r="CD20" s="271"/>
      <c r="CE20" s="271"/>
      <c r="CF20" s="271"/>
      <c r="CG20" s="271"/>
      <c r="CH20" s="271"/>
      <c r="CI20" s="271"/>
      <c r="CJ20" s="271"/>
      <c r="CK20" s="271"/>
      <c r="CL20" s="271"/>
      <c r="CM20" s="271"/>
      <c r="CN20" s="271"/>
      <c r="CO20" s="271"/>
      <c r="CP20" s="271"/>
      <c r="CQ20" s="271"/>
      <c r="CR20" s="271"/>
      <c r="CS20" s="271"/>
      <c r="CT20" s="271"/>
      <c r="CU20" s="271"/>
      <c r="CV20" s="271"/>
      <c r="CW20" s="271"/>
      <c r="CX20" s="271"/>
      <c r="CY20" s="271"/>
      <c r="CZ20" s="271"/>
      <c r="DA20" s="271"/>
      <c r="DB20" s="271"/>
      <c r="DC20" s="271"/>
      <c r="DD20" s="271"/>
      <c r="DE20" s="271"/>
      <c r="DF20" s="271"/>
      <c r="DG20" s="271"/>
      <c r="DH20" s="271"/>
      <c r="DI20" s="271"/>
      <c r="DJ20" s="271"/>
      <c r="DK20" s="271"/>
      <c r="DL20" s="271"/>
      <c r="DM20" s="271"/>
      <c r="DN20" s="271"/>
      <c r="DO20" s="271"/>
      <c r="DP20" s="271"/>
      <c r="DQ20" s="271"/>
      <c r="DR20" s="271"/>
      <c r="DS20" s="271"/>
      <c r="DT20" s="271"/>
      <c r="DU20" s="271"/>
      <c r="DV20" s="271"/>
      <c r="DW20" s="271"/>
      <c r="DX20" s="271"/>
      <c r="DY20" s="271"/>
      <c r="DZ20" s="271"/>
      <c r="EA20" s="271"/>
      <c r="EB20" s="271"/>
      <c r="EC20" s="271"/>
      <c r="ED20" s="271"/>
      <c r="EE20" s="271"/>
      <c r="EF20" s="271"/>
      <c r="EG20" s="271"/>
      <c r="EH20" s="271"/>
      <c r="EI20" s="271"/>
      <c r="EJ20" s="271"/>
      <c r="EK20" s="271"/>
      <c r="EL20" s="271"/>
      <c r="EM20" s="271"/>
      <c r="EN20" s="271"/>
      <c r="EO20" s="271"/>
      <c r="EP20" s="271"/>
      <c r="EQ20" s="271"/>
      <c r="ER20" s="271"/>
      <c r="ES20" s="271"/>
      <c r="ET20" s="271"/>
      <c r="EU20" s="271"/>
      <c r="EV20" s="271"/>
      <c r="EW20" s="271"/>
      <c r="EX20" s="271"/>
      <c r="EY20" s="271"/>
      <c r="EZ20" s="271"/>
      <c r="FA20" s="271"/>
      <c r="FB20" s="271"/>
      <c r="FC20" s="271"/>
      <c r="FD20" s="271"/>
      <c r="FE20" s="271"/>
      <c r="FF20" s="271"/>
      <c r="FG20" s="271"/>
      <c r="FH20" s="271"/>
      <c r="FI20" s="271"/>
      <c r="FJ20" s="271"/>
      <c r="FK20" s="271"/>
      <c r="FL20" s="271"/>
      <c r="FM20" s="271"/>
      <c r="FN20" s="271"/>
      <c r="FO20" s="271"/>
      <c r="FP20" s="271"/>
      <c r="FQ20" s="271"/>
      <c r="FR20" s="271"/>
      <c r="FS20" s="271"/>
      <c r="FT20" s="271"/>
      <c r="FU20" s="271"/>
      <c r="FV20" s="271"/>
      <c r="FW20" s="271"/>
      <c r="FX20" s="271"/>
      <c r="FY20" s="271"/>
      <c r="FZ20" s="271"/>
      <c r="GA20" s="271"/>
      <c r="GB20" s="271"/>
      <c r="GC20" s="271"/>
      <c r="GD20" s="271"/>
      <c r="GE20" s="271"/>
      <c r="GF20" s="271"/>
      <c r="GG20" s="271"/>
      <c r="GH20" s="271"/>
      <c r="GI20" s="271"/>
      <c r="GJ20" s="271"/>
      <c r="GK20" s="271"/>
      <c r="GL20" s="271"/>
      <c r="GM20" s="271"/>
      <c r="GN20" s="271"/>
      <c r="GO20" s="271"/>
      <c r="GP20" s="271"/>
      <c r="GQ20" s="271"/>
      <c r="GR20" s="271"/>
      <c r="GS20" s="271"/>
      <c r="GT20" s="271"/>
      <c r="GU20" s="271"/>
      <c r="GV20" s="271"/>
      <c r="GW20" s="271"/>
      <c r="GX20" s="271"/>
      <c r="GY20" s="271"/>
      <c r="GZ20" s="271"/>
      <c r="HA20" s="271"/>
      <c r="HB20" s="271"/>
      <c r="HC20" s="271"/>
      <c r="HD20" s="271"/>
      <c r="HE20" s="271"/>
      <c r="HF20" s="271"/>
      <c r="HG20" s="271"/>
      <c r="HH20" s="271"/>
      <c r="HI20" s="271"/>
      <c r="HJ20" s="271"/>
      <c r="HK20" s="271"/>
      <c r="HL20" s="271"/>
      <c r="HM20" s="271"/>
      <c r="HN20" s="271"/>
      <c r="HO20" s="271"/>
      <c r="HP20" s="271"/>
      <c r="HQ20" s="271"/>
      <c r="HR20" s="271"/>
      <c r="HS20" s="271"/>
      <c r="HT20" s="271"/>
      <c r="HU20" s="271"/>
      <c r="HV20" s="271"/>
      <c r="HW20" s="271"/>
      <c r="HX20" s="271"/>
      <c r="HY20" s="271"/>
      <c r="HZ20" s="271"/>
      <c r="IA20" s="271"/>
      <c r="IB20" s="271"/>
      <c r="IC20" s="271"/>
      <c r="ID20" s="271"/>
      <c r="IE20" s="271"/>
      <c r="IF20" s="271"/>
      <c r="IG20" s="271"/>
      <c r="IH20" s="271"/>
      <c r="II20" s="271"/>
      <c r="IJ20" s="271"/>
      <c r="IK20" s="271"/>
      <c r="IL20" s="271"/>
      <c r="IM20" s="271"/>
      <c r="IN20" s="271"/>
      <c r="IO20" s="271"/>
      <c r="IP20" s="271"/>
      <c r="IQ20" s="271"/>
      <c r="IR20" s="271"/>
      <c r="IS20" s="271"/>
      <c r="IT20" s="271"/>
    </row>
    <row r="21" spans="1:254" s="279" customFormat="1" ht="16.2">
      <c r="A21" s="320" t="s">
        <v>369</v>
      </c>
      <c r="B21" s="281">
        <v>0</v>
      </c>
      <c r="C21" s="281">
        <v>0</v>
      </c>
      <c r="D21" s="281">
        <v>0</v>
      </c>
      <c r="E21" s="281">
        <v>0</v>
      </c>
      <c r="F21" s="281">
        <v>0</v>
      </c>
      <c r="G21" s="281">
        <v>0.1</v>
      </c>
      <c r="H21" s="281">
        <v>0.5</v>
      </c>
      <c r="I21" s="281">
        <v>0.8</v>
      </c>
      <c r="J21" s="281">
        <v>1.1000000000000001</v>
      </c>
      <c r="K21" s="281">
        <v>1.7</v>
      </c>
      <c r="L21" s="281">
        <v>2.4</v>
      </c>
      <c r="M21" s="281">
        <v>3.6</v>
      </c>
      <c r="N21" s="281">
        <v>4.8</v>
      </c>
      <c r="O21" s="281">
        <v>5.5</v>
      </c>
      <c r="P21" s="283">
        <v>6.8</v>
      </c>
      <c r="Q21" s="283">
        <v>8.5</v>
      </c>
      <c r="R21" s="283">
        <v>10.6</v>
      </c>
      <c r="S21" s="283">
        <v>12.4</v>
      </c>
      <c r="T21" s="283">
        <v>14.1</v>
      </c>
      <c r="U21" s="283">
        <v>15.3</v>
      </c>
      <c r="V21" s="283">
        <v>16.100000000000001</v>
      </c>
      <c r="W21" s="283">
        <v>16.8</v>
      </c>
      <c r="X21" s="283">
        <v>17.2</v>
      </c>
      <c r="Y21" s="283">
        <v>17.399999999999999</v>
      </c>
      <c r="Z21" s="283">
        <v>17.5</v>
      </c>
      <c r="AA21" s="283">
        <v>17.399999999999999</v>
      </c>
      <c r="AB21" s="284">
        <v>17.399999999999999</v>
      </c>
      <c r="AC21" s="285">
        <v>22.885000000000002</v>
      </c>
      <c r="AD21" s="285">
        <v>24.4</v>
      </c>
      <c r="AE21" s="285">
        <v>24.6</v>
      </c>
      <c r="AF21" s="285">
        <v>24.957999999999998</v>
      </c>
      <c r="AG21" s="285">
        <v>28.347999999999999</v>
      </c>
      <c r="AH21" s="286">
        <v>30.2</v>
      </c>
      <c r="AI21" s="287">
        <v>35.700000000000003</v>
      </c>
      <c r="AJ21" s="287">
        <v>38.700000000000003</v>
      </c>
      <c r="AK21" s="287">
        <v>41.33590118</v>
      </c>
      <c r="AL21" s="287">
        <v>42.480182859999999</v>
      </c>
      <c r="AM21" s="287">
        <v>42.5</v>
      </c>
      <c r="AN21" s="287">
        <v>43.360067620000002</v>
      </c>
      <c r="AO21" s="287">
        <v>45.052117350000003</v>
      </c>
      <c r="AP21" s="287">
        <v>46.68507893999999</v>
      </c>
      <c r="AQ21" s="287">
        <v>47.4</v>
      </c>
      <c r="AR21" s="271"/>
      <c r="AS21" s="271"/>
      <c r="AT21" s="271"/>
      <c r="AU21" s="271"/>
      <c r="AV21" s="271"/>
      <c r="AW21" s="271"/>
      <c r="AX21" s="271"/>
      <c r="AY21" s="271"/>
      <c r="AZ21" s="271"/>
      <c r="BA21" s="271"/>
      <c r="BB21" s="271"/>
      <c r="BC21" s="271"/>
      <c r="BD21" s="271"/>
      <c r="BE21" s="271"/>
      <c r="BF21" s="271"/>
      <c r="BG21" s="271"/>
      <c r="BH21" s="271"/>
      <c r="BI21" s="271"/>
      <c r="BJ21" s="271"/>
      <c r="BK21" s="271"/>
      <c r="BL21" s="271"/>
      <c r="BM21" s="271"/>
      <c r="BN21" s="271"/>
      <c r="BO21" s="271"/>
      <c r="BP21" s="271"/>
      <c r="BQ21" s="271"/>
      <c r="BR21" s="271"/>
      <c r="BS21" s="271"/>
      <c r="BT21" s="271"/>
      <c r="BU21" s="271"/>
      <c r="BV21" s="271"/>
      <c r="BW21" s="271"/>
      <c r="BX21" s="271"/>
      <c r="BY21" s="271"/>
      <c r="BZ21" s="271"/>
      <c r="CA21" s="271"/>
      <c r="CB21" s="271"/>
      <c r="CC21" s="271"/>
      <c r="CD21" s="271"/>
      <c r="CE21" s="271"/>
      <c r="CF21" s="271"/>
      <c r="CG21" s="271"/>
      <c r="CH21" s="271"/>
      <c r="CI21" s="271"/>
      <c r="CJ21" s="271"/>
      <c r="CK21" s="271"/>
      <c r="CL21" s="271"/>
      <c r="CM21" s="271"/>
      <c r="CN21" s="271"/>
      <c r="CO21" s="271"/>
      <c r="CP21" s="271"/>
      <c r="CQ21" s="271"/>
      <c r="CR21" s="271"/>
      <c r="CS21" s="271"/>
      <c r="CT21" s="271"/>
      <c r="CU21" s="271"/>
      <c r="CV21" s="271"/>
      <c r="CW21" s="271"/>
      <c r="CX21" s="271"/>
      <c r="CY21" s="271"/>
      <c r="CZ21" s="271"/>
      <c r="DA21" s="271"/>
      <c r="DB21" s="271"/>
      <c r="DC21" s="271"/>
      <c r="DD21" s="271"/>
      <c r="DE21" s="271"/>
      <c r="DF21" s="271"/>
      <c r="DG21" s="271"/>
      <c r="DH21" s="271"/>
      <c r="DI21" s="271"/>
      <c r="DJ21" s="271"/>
      <c r="DK21" s="271"/>
      <c r="DL21" s="271"/>
      <c r="DM21" s="271"/>
      <c r="DN21" s="271"/>
      <c r="DO21" s="271"/>
      <c r="DP21" s="271"/>
      <c r="DQ21" s="271"/>
      <c r="DR21" s="271"/>
      <c r="DS21" s="271"/>
      <c r="DT21" s="271"/>
      <c r="DU21" s="271"/>
      <c r="DV21" s="271"/>
      <c r="DW21" s="271"/>
      <c r="DX21" s="271"/>
      <c r="DY21" s="271"/>
      <c r="DZ21" s="271"/>
      <c r="EA21" s="271"/>
      <c r="EB21" s="271"/>
      <c r="EC21" s="271"/>
      <c r="ED21" s="271"/>
      <c r="EE21" s="271"/>
      <c r="EF21" s="271"/>
      <c r="EG21" s="271"/>
      <c r="EH21" s="271"/>
      <c r="EI21" s="271"/>
      <c r="EJ21" s="271"/>
      <c r="EK21" s="271"/>
      <c r="EL21" s="271"/>
      <c r="EM21" s="271"/>
      <c r="EN21" s="271"/>
      <c r="EO21" s="271"/>
      <c r="EP21" s="271"/>
      <c r="EQ21" s="271"/>
      <c r="ER21" s="271"/>
      <c r="ES21" s="271"/>
      <c r="ET21" s="271"/>
      <c r="EU21" s="271"/>
      <c r="EV21" s="271"/>
      <c r="EW21" s="271"/>
      <c r="EX21" s="271"/>
      <c r="EY21" s="271"/>
      <c r="EZ21" s="271"/>
      <c r="FA21" s="271"/>
      <c r="FB21" s="271"/>
      <c r="FC21" s="271"/>
      <c r="FD21" s="271"/>
      <c r="FE21" s="271"/>
      <c r="FF21" s="271"/>
      <c r="FG21" s="271"/>
      <c r="FH21" s="271"/>
      <c r="FI21" s="271"/>
      <c r="FJ21" s="271"/>
      <c r="FK21" s="271"/>
      <c r="FL21" s="271"/>
      <c r="FM21" s="271"/>
      <c r="FN21" s="271"/>
      <c r="FO21" s="271"/>
      <c r="FP21" s="271"/>
      <c r="FQ21" s="271"/>
      <c r="FR21" s="271"/>
      <c r="FS21" s="271"/>
      <c r="FT21" s="271"/>
      <c r="FU21" s="271"/>
      <c r="FV21" s="271"/>
      <c r="FW21" s="271"/>
      <c r="FX21" s="271"/>
      <c r="FY21" s="271"/>
      <c r="FZ21" s="271"/>
      <c r="GA21" s="271"/>
      <c r="GB21" s="271"/>
      <c r="GC21" s="271"/>
      <c r="GD21" s="271"/>
      <c r="GE21" s="271"/>
      <c r="GF21" s="271"/>
      <c r="GG21" s="271"/>
      <c r="GH21" s="271"/>
      <c r="GI21" s="271"/>
      <c r="GJ21" s="271"/>
      <c r="GK21" s="271"/>
      <c r="GL21" s="271"/>
      <c r="GM21" s="271"/>
      <c r="GN21" s="271"/>
      <c r="GO21" s="271"/>
      <c r="GP21" s="271"/>
      <c r="GQ21" s="271"/>
      <c r="GR21" s="271"/>
      <c r="GS21" s="271"/>
      <c r="GT21" s="271"/>
      <c r="GU21" s="271"/>
      <c r="GV21" s="271"/>
      <c r="GW21" s="271"/>
      <c r="GX21" s="271"/>
      <c r="GY21" s="271"/>
      <c r="GZ21" s="271"/>
      <c r="HA21" s="271"/>
      <c r="HB21" s="271"/>
      <c r="HC21" s="271"/>
      <c r="HD21" s="271"/>
      <c r="HE21" s="271"/>
      <c r="HF21" s="271"/>
      <c r="HG21" s="271"/>
      <c r="HH21" s="271"/>
      <c r="HI21" s="271"/>
      <c r="HJ21" s="271"/>
      <c r="HK21" s="271"/>
      <c r="HL21" s="271"/>
      <c r="HM21" s="271"/>
      <c r="HN21" s="271"/>
      <c r="HO21" s="271"/>
      <c r="HP21" s="271"/>
      <c r="HQ21" s="271"/>
      <c r="HR21" s="271"/>
      <c r="HS21" s="271"/>
      <c r="HT21" s="271"/>
      <c r="HU21" s="271"/>
      <c r="HV21" s="271"/>
      <c r="HW21" s="271"/>
      <c r="HX21" s="271"/>
      <c r="HY21" s="271"/>
      <c r="HZ21" s="271"/>
      <c r="IA21" s="271"/>
      <c r="IB21" s="271"/>
      <c r="IC21" s="271"/>
      <c r="ID21" s="271"/>
      <c r="IE21" s="271"/>
      <c r="IF21" s="271"/>
      <c r="IG21" s="271"/>
      <c r="IH21" s="271"/>
      <c r="II21" s="271"/>
      <c r="IJ21" s="271"/>
      <c r="IK21" s="271"/>
      <c r="IL21" s="271"/>
      <c r="IM21" s="271"/>
      <c r="IN21" s="271"/>
      <c r="IO21" s="271"/>
      <c r="IP21" s="271"/>
      <c r="IQ21" s="271"/>
      <c r="IR21" s="271"/>
      <c r="IS21" s="271"/>
      <c r="IT21" s="271"/>
    </row>
    <row r="22" spans="1:254" s="279" customFormat="1" ht="16.2">
      <c r="A22" s="321" t="s">
        <v>370</v>
      </c>
      <c r="B22" s="290">
        <v>9</v>
      </c>
      <c r="C22" s="290">
        <v>2.4</v>
      </c>
      <c r="D22" s="290">
        <v>3.2</v>
      </c>
      <c r="E22" s="290">
        <v>3.8</v>
      </c>
      <c r="F22" s="290">
        <v>3.9</v>
      </c>
      <c r="G22" s="290">
        <v>4.3</v>
      </c>
      <c r="H22" s="290">
        <v>4.5</v>
      </c>
      <c r="I22" s="290">
        <v>5.5</v>
      </c>
      <c r="J22" s="290">
        <v>5.6</v>
      </c>
      <c r="K22" s="290">
        <v>5.7</v>
      </c>
      <c r="L22" s="290">
        <v>5.9</v>
      </c>
      <c r="M22" s="290">
        <v>5.4</v>
      </c>
      <c r="N22" s="290">
        <v>5.7</v>
      </c>
      <c r="O22" s="290">
        <v>7.5</v>
      </c>
      <c r="P22" s="289">
        <v>8.4</v>
      </c>
      <c r="Q22" s="289">
        <v>10.199999999999999</v>
      </c>
      <c r="R22" s="289">
        <v>11.4</v>
      </c>
      <c r="S22" s="289">
        <v>11.5</v>
      </c>
      <c r="T22" s="289">
        <v>11.1</v>
      </c>
      <c r="U22" s="289">
        <v>11.4</v>
      </c>
      <c r="V22" s="289">
        <v>11.8</v>
      </c>
      <c r="W22" s="289">
        <v>12.3</v>
      </c>
      <c r="X22" s="289">
        <v>12.5</v>
      </c>
      <c r="Y22" s="289">
        <v>13.2</v>
      </c>
      <c r="Z22" s="289">
        <v>14.6</v>
      </c>
      <c r="AA22" s="289">
        <v>15.9</v>
      </c>
      <c r="AB22" s="284">
        <v>16.7</v>
      </c>
      <c r="AC22" s="285">
        <v>14.016</v>
      </c>
      <c r="AD22" s="285">
        <v>14.9</v>
      </c>
      <c r="AE22" s="285">
        <v>16.7</v>
      </c>
      <c r="AF22" s="285">
        <v>18.027533333333334</v>
      </c>
      <c r="AG22" s="285">
        <v>19.615093333333334</v>
      </c>
      <c r="AH22" s="286">
        <v>20.7</v>
      </c>
      <c r="AI22" s="287">
        <v>18.600000000000001</v>
      </c>
      <c r="AJ22" s="287">
        <v>19.2</v>
      </c>
      <c r="AK22" s="287">
        <v>20.052135293333333</v>
      </c>
      <c r="AL22" s="287">
        <v>20.139013176666666</v>
      </c>
      <c r="AM22" s="287">
        <v>20.3</v>
      </c>
      <c r="AN22" s="287">
        <v>20.750098586666667</v>
      </c>
      <c r="AO22" s="287">
        <v>21.025147253333333</v>
      </c>
      <c r="AP22" s="287">
        <v>21.130393066666663</v>
      </c>
      <c r="AQ22" s="287">
        <v>22</v>
      </c>
      <c r="AR22" s="271"/>
      <c r="AS22" s="271"/>
      <c r="AT22" s="271"/>
      <c r="AU22" s="271"/>
      <c r="AV22" s="271"/>
      <c r="AW22" s="271"/>
      <c r="AX22" s="271"/>
      <c r="AY22" s="271"/>
      <c r="AZ22" s="271"/>
      <c r="BA22" s="271"/>
      <c r="BB22" s="271"/>
      <c r="BC22" s="271"/>
      <c r="BD22" s="271"/>
      <c r="BE22" s="271"/>
      <c r="BF22" s="271"/>
      <c r="BG22" s="271"/>
      <c r="BH22" s="271"/>
      <c r="BI22" s="271"/>
      <c r="BJ22" s="271"/>
      <c r="BK22" s="271"/>
      <c r="BL22" s="271"/>
      <c r="BM22" s="271"/>
      <c r="BN22" s="271"/>
      <c r="BO22" s="271"/>
      <c r="BP22" s="271"/>
      <c r="BQ22" s="271"/>
      <c r="BR22" s="271"/>
      <c r="BS22" s="271"/>
      <c r="BT22" s="271"/>
      <c r="BU22" s="271"/>
      <c r="BV22" s="271"/>
      <c r="BW22" s="271"/>
      <c r="BX22" s="271"/>
      <c r="BY22" s="271"/>
      <c r="BZ22" s="271"/>
      <c r="CA22" s="271"/>
      <c r="CB22" s="271"/>
      <c r="CC22" s="271"/>
      <c r="CD22" s="271"/>
      <c r="CE22" s="271"/>
      <c r="CF22" s="271"/>
      <c r="CG22" s="271"/>
      <c r="CH22" s="271"/>
      <c r="CI22" s="271"/>
      <c r="CJ22" s="271"/>
      <c r="CK22" s="271"/>
      <c r="CL22" s="271"/>
      <c r="CM22" s="271"/>
      <c r="CN22" s="271"/>
      <c r="CO22" s="271"/>
      <c r="CP22" s="271"/>
      <c r="CQ22" s="271"/>
      <c r="CR22" s="271"/>
      <c r="CS22" s="271"/>
      <c r="CT22" s="271"/>
      <c r="CU22" s="271"/>
      <c r="CV22" s="271"/>
      <c r="CW22" s="271"/>
      <c r="CX22" s="271"/>
      <c r="CY22" s="271"/>
      <c r="CZ22" s="271"/>
      <c r="DA22" s="271"/>
      <c r="DB22" s="271"/>
      <c r="DC22" s="271"/>
      <c r="DD22" s="271"/>
      <c r="DE22" s="271"/>
      <c r="DF22" s="271"/>
      <c r="DG22" s="271"/>
      <c r="DH22" s="271"/>
      <c r="DI22" s="271"/>
      <c r="DJ22" s="271"/>
      <c r="DK22" s="271"/>
      <c r="DL22" s="271"/>
      <c r="DM22" s="271"/>
      <c r="DN22" s="271"/>
      <c r="DO22" s="271"/>
      <c r="DP22" s="271"/>
      <c r="DQ22" s="271"/>
      <c r="DR22" s="271"/>
      <c r="DS22" s="271"/>
      <c r="DT22" s="271"/>
      <c r="DU22" s="271"/>
      <c r="DV22" s="271"/>
      <c r="DW22" s="271"/>
      <c r="DX22" s="271"/>
      <c r="DY22" s="271"/>
      <c r="DZ22" s="271"/>
      <c r="EA22" s="271"/>
      <c r="EB22" s="271"/>
      <c r="EC22" s="271"/>
      <c r="ED22" s="271"/>
      <c r="EE22" s="271"/>
      <c r="EF22" s="271"/>
      <c r="EG22" s="271"/>
      <c r="EH22" s="271"/>
      <c r="EI22" s="271"/>
      <c r="EJ22" s="271"/>
      <c r="EK22" s="271"/>
      <c r="EL22" s="271"/>
      <c r="EM22" s="271"/>
      <c r="EN22" s="271"/>
      <c r="EO22" s="271"/>
      <c r="EP22" s="271"/>
      <c r="EQ22" s="271"/>
      <c r="ER22" s="271"/>
      <c r="ES22" s="271"/>
      <c r="ET22" s="271"/>
      <c r="EU22" s="271"/>
      <c r="EV22" s="271"/>
      <c r="EW22" s="271"/>
      <c r="EX22" s="271"/>
      <c r="EY22" s="271"/>
      <c r="EZ22" s="271"/>
      <c r="FA22" s="271"/>
      <c r="FB22" s="271"/>
      <c r="FC22" s="271"/>
      <c r="FD22" s="271"/>
      <c r="FE22" s="271"/>
      <c r="FF22" s="271"/>
      <c r="FG22" s="271"/>
      <c r="FH22" s="271"/>
      <c r="FI22" s="271"/>
      <c r="FJ22" s="271"/>
      <c r="FK22" s="271"/>
      <c r="FL22" s="271"/>
      <c r="FM22" s="271"/>
      <c r="FN22" s="271"/>
      <c r="FO22" s="271"/>
      <c r="FP22" s="271"/>
      <c r="FQ22" s="271"/>
      <c r="FR22" s="271"/>
      <c r="FS22" s="271"/>
      <c r="FT22" s="271"/>
      <c r="FU22" s="271"/>
      <c r="FV22" s="271"/>
      <c r="FW22" s="271"/>
      <c r="FX22" s="271"/>
      <c r="FY22" s="271"/>
      <c r="FZ22" s="271"/>
      <c r="GA22" s="271"/>
      <c r="GB22" s="271"/>
      <c r="GC22" s="271"/>
      <c r="GD22" s="271"/>
      <c r="GE22" s="271"/>
      <c r="GF22" s="271"/>
      <c r="GG22" s="271"/>
      <c r="GH22" s="271"/>
      <c r="GI22" s="271"/>
      <c r="GJ22" s="271"/>
      <c r="GK22" s="271"/>
      <c r="GL22" s="271"/>
      <c r="GM22" s="271"/>
      <c r="GN22" s="271"/>
      <c r="GO22" s="271"/>
      <c r="GP22" s="271"/>
      <c r="GQ22" s="271"/>
      <c r="GR22" s="271"/>
      <c r="GS22" s="271"/>
      <c r="GT22" s="271"/>
      <c r="GU22" s="271"/>
      <c r="GV22" s="271"/>
      <c r="GW22" s="271"/>
      <c r="GX22" s="271"/>
      <c r="GY22" s="271"/>
      <c r="GZ22" s="271"/>
      <c r="HA22" s="271"/>
      <c r="HB22" s="271"/>
      <c r="HC22" s="271"/>
      <c r="HD22" s="271"/>
      <c r="HE22" s="271"/>
      <c r="HF22" s="271"/>
      <c r="HG22" s="271"/>
      <c r="HH22" s="271"/>
      <c r="HI22" s="271"/>
      <c r="HJ22" s="271"/>
      <c r="HK22" s="271"/>
      <c r="HL22" s="271"/>
      <c r="HM22" s="271"/>
      <c r="HN22" s="271"/>
      <c r="HO22" s="271"/>
      <c r="HP22" s="271"/>
      <c r="HQ22" s="271"/>
      <c r="HR22" s="271"/>
      <c r="HS22" s="271"/>
      <c r="HT22" s="271"/>
      <c r="HU22" s="271"/>
      <c r="HV22" s="271"/>
      <c r="HW22" s="271"/>
      <c r="HX22" s="271"/>
      <c r="HY22" s="271"/>
      <c r="HZ22" s="271"/>
      <c r="IA22" s="271"/>
      <c r="IB22" s="271"/>
      <c r="IC22" s="271"/>
      <c r="ID22" s="271"/>
      <c r="IE22" s="271"/>
      <c r="IF22" s="271"/>
      <c r="IG22" s="271"/>
      <c r="IH22" s="271"/>
      <c r="II22" s="271"/>
      <c r="IJ22" s="271"/>
      <c r="IK22" s="271"/>
      <c r="IL22" s="271"/>
      <c r="IM22" s="271"/>
      <c r="IN22" s="271"/>
      <c r="IO22" s="271"/>
      <c r="IP22" s="271"/>
      <c r="IQ22" s="271"/>
      <c r="IR22" s="271"/>
      <c r="IS22" s="271"/>
      <c r="IT22" s="271"/>
    </row>
    <row r="23" spans="1:254" s="299" customFormat="1" ht="17.399999999999999" thickBot="1">
      <c r="A23" s="322" t="s">
        <v>371</v>
      </c>
      <c r="B23" s="323">
        <f t="shared" ref="B23:AH23" si="3">SUM(B20:B22)</f>
        <v>24</v>
      </c>
      <c r="C23" s="323">
        <f t="shared" si="3"/>
        <v>8.8000000000000007</v>
      </c>
      <c r="D23" s="323">
        <f t="shared" si="3"/>
        <v>12.399999999999999</v>
      </c>
      <c r="E23" s="323">
        <f t="shared" si="3"/>
        <v>15.899999999999999</v>
      </c>
      <c r="F23" s="323">
        <f t="shared" si="3"/>
        <v>16.599999999999998</v>
      </c>
      <c r="G23" s="323">
        <f t="shared" si="3"/>
        <v>19.7</v>
      </c>
      <c r="H23" s="323">
        <f t="shared" si="3"/>
        <v>22.1</v>
      </c>
      <c r="I23" s="323">
        <f t="shared" si="3"/>
        <v>28.5</v>
      </c>
      <c r="J23" s="323">
        <f t="shared" si="3"/>
        <v>31</v>
      </c>
      <c r="K23" s="323">
        <f t="shared" si="3"/>
        <v>31.9</v>
      </c>
      <c r="L23" s="323">
        <f t="shared" si="3"/>
        <v>34.299999999999997</v>
      </c>
      <c r="M23" s="323">
        <f t="shared" si="3"/>
        <v>38.199999999999996</v>
      </c>
      <c r="N23" s="323">
        <f t="shared" si="3"/>
        <v>41.9</v>
      </c>
      <c r="O23" s="323">
        <f t="shared" si="3"/>
        <v>53.6</v>
      </c>
      <c r="P23" s="323">
        <f t="shared" si="3"/>
        <v>61.3</v>
      </c>
      <c r="Q23" s="323">
        <f t="shared" si="3"/>
        <v>63.599999999999994</v>
      </c>
      <c r="R23" s="323">
        <f t="shared" si="3"/>
        <v>73.100000000000009</v>
      </c>
      <c r="S23" s="323">
        <f t="shared" si="3"/>
        <v>76.3</v>
      </c>
      <c r="T23" s="323">
        <f t="shared" si="3"/>
        <v>74.099999999999994</v>
      </c>
      <c r="U23" s="323">
        <f t="shared" si="3"/>
        <v>76.100000000000009</v>
      </c>
      <c r="V23" s="323">
        <f t="shared" si="3"/>
        <v>76.3</v>
      </c>
      <c r="W23" s="323">
        <f t="shared" si="3"/>
        <v>78.2</v>
      </c>
      <c r="X23" s="323">
        <f t="shared" si="3"/>
        <v>78.2</v>
      </c>
      <c r="Y23" s="323">
        <f t="shared" si="3"/>
        <v>80.5</v>
      </c>
      <c r="Z23" s="323">
        <f t="shared" si="3"/>
        <v>85.399999999999991</v>
      </c>
      <c r="AA23" s="323">
        <f t="shared" si="3"/>
        <v>89.7</v>
      </c>
      <c r="AB23" s="324">
        <f t="shared" si="3"/>
        <v>87.5</v>
      </c>
      <c r="AC23" s="324">
        <f t="shared" si="3"/>
        <v>112.91000000000001</v>
      </c>
      <c r="AD23" s="324">
        <f t="shared" si="3"/>
        <v>116.20000000000002</v>
      </c>
      <c r="AE23" s="324">
        <f t="shared" si="3"/>
        <v>120.00000000000001</v>
      </c>
      <c r="AF23" s="324">
        <f t="shared" si="3"/>
        <v>123.51611021450958</v>
      </c>
      <c r="AG23" s="324">
        <f t="shared" si="3"/>
        <v>127.17258184466625</v>
      </c>
      <c r="AH23" s="325">
        <f t="shared" si="3"/>
        <v>131.5</v>
      </c>
      <c r="AI23" s="324">
        <f>SUM(AI20:AI22)</f>
        <v>143.4</v>
      </c>
      <c r="AJ23" s="324">
        <f>SUM(AJ20:AJ22)</f>
        <v>141.30000000000001</v>
      </c>
      <c r="AK23" s="324">
        <f>SUM(AK20:AK22)</f>
        <v>150.57877929307099</v>
      </c>
      <c r="AL23" s="324">
        <f>SUM(AL20:AL22)</f>
        <v>148.21698713480282</v>
      </c>
      <c r="AM23" s="324">
        <f>SUM(AM20:AM22)</f>
        <v>121.39999999999999</v>
      </c>
      <c r="AN23" s="324">
        <v>105.07309869729696</v>
      </c>
      <c r="AO23" s="324">
        <v>105.82676261020895</v>
      </c>
      <c r="AP23" s="324">
        <v>100.34511625512306</v>
      </c>
      <c r="AQ23" s="324">
        <v>98.7</v>
      </c>
      <c r="AR23" s="271"/>
      <c r="AS23" s="271"/>
      <c r="AT23" s="271"/>
      <c r="AU23" s="271"/>
      <c r="AV23" s="271"/>
      <c r="AW23" s="271"/>
      <c r="AX23" s="271"/>
      <c r="AY23" s="271"/>
      <c r="AZ23" s="271"/>
      <c r="BA23" s="271"/>
      <c r="BB23" s="271"/>
      <c r="BC23" s="271"/>
      <c r="BD23" s="271"/>
      <c r="BE23" s="271"/>
      <c r="BF23" s="271"/>
      <c r="BG23" s="271"/>
      <c r="BH23" s="271"/>
      <c r="BI23" s="271"/>
      <c r="BJ23" s="271"/>
      <c r="BK23" s="271"/>
      <c r="BL23" s="271"/>
      <c r="BM23" s="271"/>
      <c r="BN23" s="271"/>
      <c r="BO23" s="271"/>
      <c r="BP23" s="271"/>
      <c r="BQ23" s="271"/>
      <c r="BR23" s="271"/>
      <c r="BS23" s="271"/>
      <c r="BT23" s="271"/>
      <c r="BU23" s="271"/>
      <c r="BV23" s="271"/>
      <c r="BW23" s="271"/>
      <c r="BX23" s="271"/>
      <c r="BY23" s="271"/>
      <c r="BZ23" s="271"/>
      <c r="CA23" s="271"/>
      <c r="CB23" s="271"/>
      <c r="CC23" s="271"/>
      <c r="CD23" s="271"/>
      <c r="CE23" s="271"/>
      <c r="CF23" s="271"/>
      <c r="CG23" s="271"/>
      <c r="CH23" s="271"/>
      <c r="CI23" s="271"/>
      <c r="CJ23" s="271"/>
      <c r="CK23" s="271"/>
      <c r="CL23" s="271"/>
      <c r="CM23" s="271"/>
      <c r="CN23" s="271"/>
      <c r="CO23" s="271"/>
      <c r="CP23" s="271"/>
      <c r="CQ23" s="271"/>
      <c r="CR23" s="271"/>
      <c r="CS23" s="271"/>
      <c r="CT23" s="271"/>
      <c r="CU23" s="271"/>
      <c r="CV23" s="271"/>
      <c r="CW23" s="271"/>
      <c r="CX23" s="271"/>
      <c r="CY23" s="271"/>
      <c r="CZ23" s="271"/>
      <c r="DA23" s="271"/>
      <c r="DB23" s="271"/>
      <c r="DC23" s="271"/>
      <c r="DD23" s="271"/>
      <c r="DE23" s="271"/>
      <c r="DF23" s="271"/>
      <c r="DG23" s="271"/>
      <c r="DH23" s="271"/>
      <c r="DI23" s="271"/>
      <c r="DJ23" s="271"/>
      <c r="DK23" s="271"/>
      <c r="DL23" s="271"/>
      <c r="DM23" s="271"/>
      <c r="DN23" s="271"/>
      <c r="DO23" s="271"/>
      <c r="DP23" s="271"/>
      <c r="DQ23" s="271"/>
      <c r="DR23" s="271"/>
      <c r="DS23" s="271"/>
      <c r="DT23" s="271"/>
      <c r="DU23" s="271"/>
      <c r="DV23" s="271"/>
      <c r="DW23" s="271"/>
      <c r="DX23" s="271"/>
      <c r="DY23" s="271"/>
      <c r="DZ23" s="271"/>
      <c r="EA23" s="271"/>
      <c r="EB23" s="271"/>
      <c r="EC23" s="271"/>
      <c r="ED23" s="271"/>
      <c r="EE23" s="271"/>
      <c r="EF23" s="271"/>
      <c r="EG23" s="271"/>
      <c r="EH23" s="271"/>
      <c r="EI23" s="271"/>
      <c r="EJ23" s="271"/>
      <c r="EK23" s="271"/>
      <c r="EL23" s="271"/>
      <c r="EM23" s="271"/>
      <c r="EN23" s="271"/>
      <c r="EO23" s="271"/>
      <c r="EP23" s="271"/>
      <c r="EQ23" s="271"/>
      <c r="ER23" s="271"/>
      <c r="ES23" s="271"/>
      <c r="ET23" s="271"/>
      <c r="EU23" s="271"/>
      <c r="EV23" s="271"/>
      <c r="EW23" s="271"/>
      <c r="EX23" s="271"/>
      <c r="EY23" s="271"/>
      <c r="EZ23" s="271"/>
      <c r="FA23" s="271"/>
      <c r="FB23" s="271"/>
      <c r="FC23" s="271"/>
      <c r="FD23" s="271"/>
      <c r="FE23" s="271"/>
      <c r="FF23" s="271"/>
      <c r="FG23" s="271"/>
      <c r="FH23" s="271"/>
      <c r="FI23" s="271"/>
      <c r="FJ23" s="271"/>
      <c r="FK23" s="271"/>
      <c r="FL23" s="271"/>
      <c r="FM23" s="271"/>
      <c r="FN23" s="271"/>
      <c r="FO23" s="271"/>
      <c r="FP23" s="271"/>
      <c r="FQ23" s="271"/>
      <c r="FR23" s="271"/>
      <c r="FS23" s="271"/>
      <c r="FT23" s="271"/>
      <c r="FU23" s="271"/>
      <c r="FV23" s="271"/>
      <c r="FW23" s="271"/>
      <c r="FX23" s="271"/>
      <c r="FY23" s="271"/>
      <c r="FZ23" s="271"/>
      <c r="GA23" s="271"/>
      <c r="GB23" s="271"/>
      <c r="GC23" s="271"/>
      <c r="GD23" s="271"/>
      <c r="GE23" s="271"/>
      <c r="GF23" s="271"/>
      <c r="GG23" s="271"/>
      <c r="GH23" s="271"/>
      <c r="GI23" s="271"/>
      <c r="GJ23" s="271"/>
      <c r="GK23" s="271"/>
      <c r="GL23" s="271"/>
      <c r="GM23" s="271"/>
      <c r="GN23" s="271"/>
      <c r="GO23" s="271"/>
      <c r="GP23" s="271"/>
      <c r="GQ23" s="271"/>
      <c r="GR23" s="271"/>
      <c r="GS23" s="271"/>
      <c r="GT23" s="271"/>
      <c r="GU23" s="271"/>
      <c r="GV23" s="271"/>
      <c r="GW23" s="271"/>
      <c r="GX23" s="271"/>
      <c r="GY23" s="271"/>
      <c r="GZ23" s="271"/>
      <c r="HA23" s="271"/>
      <c r="HB23" s="271"/>
      <c r="HC23" s="271"/>
      <c r="HD23" s="271"/>
      <c r="HE23" s="271"/>
      <c r="HF23" s="271"/>
      <c r="HG23" s="271"/>
      <c r="HH23" s="271"/>
      <c r="HI23" s="271"/>
      <c r="HJ23" s="271"/>
      <c r="HK23" s="271"/>
      <c r="HL23" s="271"/>
      <c r="HM23" s="271"/>
      <c r="HN23" s="271"/>
      <c r="HO23" s="271"/>
      <c r="HP23" s="271"/>
      <c r="HQ23" s="271"/>
      <c r="HR23" s="271"/>
      <c r="HS23" s="271"/>
      <c r="HT23" s="271"/>
      <c r="HU23" s="271"/>
      <c r="HV23" s="271"/>
      <c r="HW23" s="271"/>
      <c r="HX23" s="271"/>
      <c r="HY23" s="271"/>
      <c r="HZ23" s="271"/>
      <c r="IA23" s="271"/>
      <c r="IB23" s="271"/>
      <c r="IC23" s="271"/>
      <c r="ID23" s="271"/>
      <c r="IE23" s="271"/>
      <c r="IF23" s="271"/>
      <c r="IG23" s="271"/>
      <c r="IH23" s="271"/>
      <c r="II23" s="271"/>
      <c r="IJ23" s="271"/>
      <c r="IK23" s="271"/>
      <c r="IL23" s="271"/>
      <c r="IM23" s="271"/>
      <c r="IN23" s="271"/>
      <c r="IO23" s="271"/>
      <c r="IP23" s="271"/>
      <c r="IQ23" s="271"/>
      <c r="IR23" s="271"/>
      <c r="IS23" s="271"/>
      <c r="IT23" s="271"/>
    </row>
    <row r="24" spans="1:254" s="299" customFormat="1" ht="17.399999999999999" thickBot="1">
      <c r="A24" s="295" t="s">
        <v>372</v>
      </c>
      <c r="B24" s="296">
        <f t="shared" ref="B24:AI24" si="4">B18+B23</f>
        <v>41.3</v>
      </c>
      <c r="C24" s="296">
        <f t="shared" si="4"/>
        <v>17.2</v>
      </c>
      <c r="D24" s="296">
        <f t="shared" si="4"/>
        <v>28.5</v>
      </c>
      <c r="E24" s="296">
        <f t="shared" si="4"/>
        <v>39.199999999999996</v>
      </c>
      <c r="F24" s="296">
        <f t="shared" si="4"/>
        <v>52.2</v>
      </c>
      <c r="G24" s="296">
        <f t="shared" si="4"/>
        <v>55.5</v>
      </c>
      <c r="H24" s="296">
        <f t="shared" si="4"/>
        <v>65.400000000000006</v>
      </c>
      <c r="I24" s="296">
        <f t="shared" si="4"/>
        <v>80.400000000000006</v>
      </c>
      <c r="J24" s="296">
        <f t="shared" si="4"/>
        <v>68.8</v>
      </c>
      <c r="K24" s="296">
        <f t="shared" si="4"/>
        <v>78.5</v>
      </c>
      <c r="L24" s="296">
        <f t="shared" si="4"/>
        <v>90.5</v>
      </c>
      <c r="M24" s="296">
        <f t="shared" si="4"/>
        <v>95.5</v>
      </c>
      <c r="N24" s="296">
        <f t="shared" si="4"/>
        <v>137.30000000000001</v>
      </c>
      <c r="O24" s="296">
        <f t="shared" si="4"/>
        <v>133.69999999999999</v>
      </c>
      <c r="P24" s="296">
        <f t="shared" si="4"/>
        <v>152.1</v>
      </c>
      <c r="Q24" s="296">
        <f t="shared" si="4"/>
        <v>171.1</v>
      </c>
      <c r="R24" s="296">
        <f t="shared" si="4"/>
        <v>177</v>
      </c>
      <c r="S24" s="296">
        <f t="shared" si="4"/>
        <v>194.4</v>
      </c>
      <c r="T24" s="296">
        <f t="shared" si="4"/>
        <v>215.38</v>
      </c>
      <c r="U24" s="296">
        <f t="shared" si="4"/>
        <v>223.2</v>
      </c>
      <c r="V24" s="296">
        <f t="shared" si="4"/>
        <v>222.10000000000002</v>
      </c>
      <c r="W24" s="296">
        <f t="shared" si="4"/>
        <v>224.7</v>
      </c>
      <c r="X24" s="296">
        <f t="shared" si="4"/>
        <v>273.31</v>
      </c>
      <c r="Y24" s="296">
        <f t="shared" si="4"/>
        <v>280.255</v>
      </c>
      <c r="Z24" s="296">
        <f t="shared" si="4"/>
        <v>288.3</v>
      </c>
      <c r="AA24" s="296">
        <f t="shared" si="4"/>
        <v>283.43</v>
      </c>
      <c r="AB24" s="297">
        <f t="shared" si="4"/>
        <v>286.05</v>
      </c>
      <c r="AC24" s="297">
        <f t="shared" si="4"/>
        <v>312.65700000000004</v>
      </c>
      <c r="AD24" s="297">
        <f t="shared" si="4"/>
        <v>327.31993393999994</v>
      </c>
      <c r="AE24" s="297">
        <f t="shared" si="4"/>
        <v>362.12944282999996</v>
      </c>
      <c r="AF24" s="297">
        <f t="shared" si="4"/>
        <v>392.79931060450963</v>
      </c>
      <c r="AG24" s="297">
        <f t="shared" si="4"/>
        <v>422.49130686466617</v>
      </c>
      <c r="AH24" s="298">
        <f t="shared" si="4"/>
        <v>453.44</v>
      </c>
      <c r="AI24" s="298">
        <f t="shared" si="4"/>
        <v>461.1</v>
      </c>
      <c r="AJ24" s="298">
        <f>AJ18+AJ23</f>
        <v>463.701482</v>
      </c>
      <c r="AK24" s="298">
        <f>AK18+AK23</f>
        <v>493.745298913071</v>
      </c>
      <c r="AL24" s="298">
        <f>AL18+AL23</f>
        <v>494.55773803480281</v>
      </c>
      <c r="AM24" s="298">
        <f>AM18+AM23</f>
        <v>461.29999999999995</v>
      </c>
      <c r="AN24" s="298">
        <v>453.72075550229704</v>
      </c>
      <c r="AO24" s="298">
        <v>436.12224455020896</v>
      </c>
      <c r="AP24" s="298">
        <v>428.00567300512307</v>
      </c>
      <c r="AQ24" s="298">
        <v>443.3</v>
      </c>
      <c r="AR24" s="271"/>
      <c r="AS24" s="271"/>
      <c r="AT24" s="271"/>
      <c r="AU24" s="271"/>
      <c r="AV24" s="271"/>
      <c r="AW24" s="271"/>
      <c r="AX24" s="271"/>
      <c r="AY24" s="271"/>
      <c r="AZ24" s="271"/>
      <c r="BA24" s="271"/>
      <c r="BB24" s="271"/>
      <c r="BC24" s="271"/>
      <c r="BD24" s="271"/>
      <c r="BE24" s="271"/>
      <c r="BF24" s="271"/>
      <c r="BG24" s="271"/>
      <c r="BH24" s="271"/>
      <c r="BI24" s="271"/>
      <c r="BJ24" s="271"/>
      <c r="BK24" s="271"/>
      <c r="BL24" s="271"/>
      <c r="BM24" s="271"/>
      <c r="BN24" s="271"/>
      <c r="BO24" s="271"/>
      <c r="BP24" s="271"/>
      <c r="BQ24" s="271"/>
      <c r="BR24" s="271"/>
      <c r="BS24" s="271"/>
      <c r="BT24" s="271"/>
      <c r="BU24" s="271"/>
      <c r="BV24" s="271"/>
      <c r="BW24" s="271"/>
      <c r="BX24" s="271"/>
      <c r="BY24" s="271"/>
      <c r="BZ24" s="271"/>
      <c r="CA24" s="271"/>
      <c r="CB24" s="271"/>
      <c r="CC24" s="271"/>
      <c r="CD24" s="271"/>
      <c r="CE24" s="271"/>
      <c r="CF24" s="271"/>
      <c r="CG24" s="271"/>
      <c r="CH24" s="271"/>
      <c r="CI24" s="271"/>
      <c r="CJ24" s="271"/>
      <c r="CK24" s="271"/>
      <c r="CL24" s="271"/>
      <c r="CM24" s="271"/>
      <c r="CN24" s="271"/>
      <c r="CO24" s="271"/>
      <c r="CP24" s="271"/>
      <c r="CQ24" s="271"/>
      <c r="CR24" s="271"/>
      <c r="CS24" s="271"/>
      <c r="CT24" s="271"/>
      <c r="CU24" s="271"/>
      <c r="CV24" s="271"/>
      <c r="CW24" s="271"/>
      <c r="CX24" s="271"/>
      <c r="CY24" s="271"/>
      <c r="CZ24" s="271"/>
      <c r="DA24" s="271"/>
      <c r="DB24" s="271"/>
      <c r="DC24" s="271"/>
      <c r="DD24" s="271"/>
      <c r="DE24" s="271"/>
      <c r="DF24" s="271"/>
      <c r="DG24" s="271"/>
      <c r="DH24" s="271"/>
      <c r="DI24" s="271"/>
      <c r="DJ24" s="271"/>
      <c r="DK24" s="271"/>
      <c r="DL24" s="271"/>
      <c r="DM24" s="271"/>
      <c r="DN24" s="271"/>
      <c r="DO24" s="271"/>
      <c r="DP24" s="271"/>
      <c r="DQ24" s="271"/>
      <c r="DR24" s="271"/>
      <c r="DS24" s="271"/>
      <c r="DT24" s="271"/>
      <c r="DU24" s="271"/>
      <c r="DV24" s="271"/>
      <c r="DW24" s="271"/>
      <c r="DX24" s="271"/>
      <c r="DY24" s="271"/>
      <c r="DZ24" s="271"/>
      <c r="EA24" s="271"/>
      <c r="EB24" s="271"/>
      <c r="EC24" s="271"/>
      <c r="ED24" s="271"/>
      <c r="EE24" s="271"/>
      <c r="EF24" s="271"/>
      <c r="EG24" s="271"/>
      <c r="EH24" s="271"/>
      <c r="EI24" s="271"/>
      <c r="EJ24" s="271"/>
      <c r="EK24" s="271"/>
      <c r="EL24" s="271"/>
      <c r="EM24" s="271"/>
      <c r="EN24" s="271"/>
      <c r="EO24" s="271"/>
      <c r="EP24" s="271"/>
      <c r="EQ24" s="271"/>
      <c r="ER24" s="271"/>
      <c r="ES24" s="271"/>
      <c r="ET24" s="271"/>
      <c r="EU24" s="271"/>
      <c r="EV24" s="271"/>
      <c r="EW24" s="271"/>
      <c r="EX24" s="271"/>
      <c r="EY24" s="271"/>
      <c r="EZ24" s="271"/>
      <c r="FA24" s="271"/>
      <c r="FB24" s="271"/>
      <c r="FC24" s="271"/>
      <c r="FD24" s="271"/>
      <c r="FE24" s="271"/>
      <c r="FF24" s="271"/>
      <c r="FG24" s="271"/>
      <c r="FH24" s="271"/>
      <c r="FI24" s="271"/>
      <c r="FJ24" s="271"/>
      <c r="FK24" s="271"/>
      <c r="FL24" s="271"/>
      <c r="FM24" s="271"/>
      <c r="FN24" s="271"/>
      <c r="FO24" s="271"/>
      <c r="FP24" s="271"/>
      <c r="FQ24" s="271"/>
      <c r="FR24" s="271"/>
      <c r="FS24" s="271"/>
      <c r="FT24" s="271"/>
      <c r="FU24" s="271"/>
      <c r="FV24" s="271"/>
      <c r="FW24" s="271"/>
      <c r="FX24" s="271"/>
      <c r="FY24" s="271"/>
      <c r="FZ24" s="271"/>
      <c r="GA24" s="271"/>
      <c r="GB24" s="271"/>
      <c r="GC24" s="271"/>
      <c r="GD24" s="271"/>
      <c r="GE24" s="271"/>
      <c r="GF24" s="271"/>
      <c r="GG24" s="271"/>
      <c r="GH24" s="271"/>
      <c r="GI24" s="271"/>
      <c r="GJ24" s="271"/>
      <c r="GK24" s="271"/>
      <c r="GL24" s="271"/>
      <c r="GM24" s="271"/>
      <c r="GN24" s="271"/>
      <c r="GO24" s="271"/>
      <c r="GP24" s="271"/>
      <c r="GQ24" s="271"/>
      <c r="GR24" s="271"/>
      <c r="GS24" s="271"/>
      <c r="GT24" s="271"/>
      <c r="GU24" s="271"/>
      <c r="GV24" s="271"/>
      <c r="GW24" s="271"/>
      <c r="GX24" s="271"/>
      <c r="GY24" s="271"/>
      <c r="GZ24" s="271"/>
      <c r="HA24" s="271"/>
      <c r="HB24" s="271"/>
      <c r="HC24" s="271"/>
      <c r="HD24" s="271"/>
      <c r="HE24" s="271"/>
      <c r="HF24" s="271"/>
      <c r="HG24" s="271"/>
      <c r="HH24" s="271"/>
      <c r="HI24" s="271"/>
      <c r="HJ24" s="271"/>
      <c r="HK24" s="271"/>
      <c r="HL24" s="271"/>
      <c r="HM24" s="271"/>
      <c r="HN24" s="271"/>
      <c r="HO24" s="271"/>
      <c r="HP24" s="271"/>
      <c r="HQ24" s="271"/>
      <c r="HR24" s="271"/>
      <c r="HS24" s="271"/>
      <c r="HT24" s="271"/>
      <c r="HU24" s="271"/>
      <c r="HV24" s="271"/>
      <c r="HW24" s="271"/>
      <c r="HX24" s="271"/>
      <c r="HY24" s="271"/>
      <c r="HZ24" s="271"/>
      <c r="IA24" s="271"/>
      <c r="IB24" s="271"/>
      <c r="IC24" s="271"/>
      <c r="ID24" s="271"/>
      <c r="IE24" s="271"/>
      <c r="IF24" s="271"/>
      <c r="IG24" s="271"/>
      <c r="IH24" s="271"/>
      <c r="II24" s="271"/>
      <c r="IJ24" s="271"/>
      <c r="IK24" s="271"/>
      <c r="IL24" s="271"/>
      <c r="IM24" s="271"/>
      <c r="IN24" s="271"/>
      <c r="IO24" s="271"/>
      <c r="IP24" s="271"/>
      <c r="IQ24" s="271"/>
      <c r="IR24" s="271"/>
      <c r="IS24" s="271"/>
      <c r="IT24" s="271"/>
    </row>
    <row r="25" spans="1:254" s="299" customFormat="1" ht="16.8">
      <c r="A25" s="273" t="s">
        <v>373</v>
      </c>
      <c r="B25" s="326">
        <v>0</v>
      </c>
      <c r="C25" s="326">
        <v>0</v>
      </c>
      <c r="D25" s="326">
        <v>0</v>
      </c>
      <c r="E25" s="326">
        <v>0</v>
      </c>
      <c r="F25" s="326">
        <v>0</v>
      </c>
      <c r="G25" s="326">
        <v>0</v>
      </c>
      <c r="H25" s="326">
        <v>0</v>
      </c>
      <c r="I25" s="326">
        <v>0</v>
      </c>
      <c r="J25" s="326">
        <v>0</v>
      </c>
      <c r="K25" s="326">
        <v>0</v>
      </c>
      <c r="L25" s="326">
        <v>0</v>
      </c>
      <c r="M25" s="326">
        <v>0</v>
      </c>
      <c r="N25" s="326">
        <v>0</v>
      </c>
      <c r="O25" s="326">
        <v>0</v>
      </c>
      <c r="P25" s="327">
        <v>0</v>
      </c>
      <c r="Q25" s="327"/>
      <c r="R25" s="327"/>
      <c r="S25" s="327"/>
      <c r="T25" s="327"/>
      <c r="U25" s="327"/>
      <c r="V25" s="327"/>
      <c r="W25" s="327"/>
      <c r="X25" s="327"/>
      <c r="Y25" s="327"/>
      <c r="Z25" s="327"/>
      <c r="AA25" s="327"/>
      <c r="AB25" s="328"/>
      <c r="AC25" s="278"/>
      <c r="AD25" s="278"/>
      <c r="AE25" s="278"/>
      <c r="AF25" s="278"/>
      <c r="AG25" s="278"/>
      <c r="AH25" s="306"/>
      <c r="AI25" s="278"/>
      <c r="AJ25" s="278"/>
      <c r="AK25" s="278"/>
      <c r="AL25" s="278"/>
      <c r="AM25" s="278"/>
      <c r="AN25" s="278"/>
      <c r="AO25" s="278"/>
      <c r="AP25" s="278"/>
      <c r="AQ25" s="278"/>
      <c r="AR25" s="271"/>
      <c r="AS25" s="271"/>
      <c r="AT25" s="271"/>
      <c r="AU25" s="271"/>
      <c r="AV25" s="271"/>
      <c r="AW25" s="271"/>
      <c r="AX25" s="271"/>
      <c r="AY25" s="271"/>
      <c r="AZ25" s="271"/>
      <c r="BA25" s="271"/>
      <c r="BB25" s="271"/>
      <c r="BC25" s="271"/>
      <c r="BD25" s="271"/>
      <c r="BE25" s="271"/>
      <c r="BF25" s="271"/>
      <c r="BG25" s="271"/>
      <c r="BH25" s="271"/>
      <c r="BI25" s="271"/>
      <c r="BJ25" s="271"/>
      <c r="BK25" s="271"/>
      <c r="BL25" s="271"/>
      <c r="BM25" s="271"/>
      <c r="BN25" s="271"/>
      <c r="BO25" s="271"/>
      <c r="BP25" s="271"/>
      <c r="BQ25" s="271"/>
      <c r="BR25" s="271"/>
      <c r="BS25" s="271"/>
      <c r="BT25" s="271"/>
      <c r="BU25" s="271"/>
      <c r="BV25" s="271"/>
      <c r="BW25" s="271"/>
      <c r="BX25" s="271"/>
      <c r="BY25" s="271"/>
      <c r="BZ25" s="271"/>
      <c r="CA25" s="271"/>
      <c r="CB25" s="271"/>
      <c r="CC25" s="271"/>
      <c r="CD25" s="271"/>
      <c r="CE25" s="271"/>
      <c r="CF25" s="271"/>
      <c r="CG25" s="271"/>
      <c r="CH25" s="271"/>
      <c r="CI25" s="271"/>
      <c r="CJ25" s="271"/>
      <c r="CK25" s="271"/>
      <c r="CL25" s="271"/>
      <c r="CM25" s="271"/>
      <c r="CN25" s="271"/>
      <c r="CO25" s="271"/>
      <c r="CP25" s="271"/>
      <c r="CQ25" s="271"/>
      <c r="CR25" s="271"/>
      <c r="CS25" s="271"/>
      <c r="CT25" s="271"/>
      <c r="CU25" s="271"/>
      <c r="CV25" s="271"/>
      <c r="CW25" s="271"/>
      <c r="CX25" s="271"/>
      <c r="CY25" s="271"/>
      <c r="CZ25" s="271"/>
      <c r="DA25" s="271"/>
      <c r="DB25" s="271"/>
      <c r="DC25" s="271"/>
      <c r="DD25" s="271"/>
      <c r="DE25" s="271"/>
      <c r="DF25" s="271"/>
      <c r="DG25" s="271"/>
      <c r="DH25" s="271"/>
      <c r="DI25" s="271"/>
      <c r="DJ25" s="271"/>
      <c r="DK25" s="271"/>
      <c r="DL25" s="271"/>
      <c r="DM25" s="271"/>
      <c r="DN25" s="271"/>
      <c r="DO25" s="271"/>
      <c r="DP25" s="271"/>
      <c r="DQ25" s="271"/>
      <c r="DR25" s="271"/>
      <c r="DS25" s="271"/>
      <c r="DT25" s="271"/>
      <c r="DU25" s="271"/>
      <c r="DV25" s="271"/>
      <c r="DW25" s="271"/>
      <c r="DX25" s="271"/>
      <c r="DY25" s="271"/>
      <c r="DZ25" s="271"/>
      <c r="EA25" s="271"/>
      <c r="EB25" s="271"/>
      <c r="EC25" s="271"/>
      <c r="ED25" s="271"/>
      <c r="EE25" s="271"/>
      <c r="EF25" s="271"/>
      <c r="EG25" s="271"/>
      <c r="EH25" s="271"/>
      <c r="EI25" s="271"/>
      <c r="EJ25" s="271"/>
      <c r="EK25" s="271"/>
      <c r="EL25" s="271"/>
      <c r="EM25" s="271"/>
      <c r="EN25" s="271"/>
      <c r="EO25" s="271"/>
      <c r="EP25" s="271"/>
      <c r="EQ25" s="271"/>
      <c r="ER25" s="271"/>
      <c r="ES25" s="271"/>
      <c r="ET25" s="271"/>
      <c r="EU25" s="271"/>
      <c r="EV25" s="271"/>
      <c r="EW25" s="271"/>
      <c r="EX25" s="271"/>
      <c r="EY25" s="271"/>
      <c r="EZ25" s="271"/>
      <c r="FA25" s="271"/>
      <c r="FB25" s="271"/>
      <c r="FC25" s="271"/>
      <c r="FD25" s="271"/>
      <c r="FE25" s="271"/>
      <c r="FF25" s="271"/>
      <c r="FG25" s="271"/>
      <c r="FH25" s="271"/>
      <c r="FI25" s="271"/>
      <c r="FJ25" s="271"/>
      <c r="FK25" s="271"/>
      <c r="FL25" s="271"/>
      <c r="FM25" s="271"/>
      <c r="FN25" s="271"/>
      <c r="FO25" s="271"/>
      <c r="FP25" s="271"/>
      <c r="FQ25" s="271"/>
      <c r="FR25" s="271"/>
      <c r="FS25" s="271"/>
      <c r="FT25" s="271"/>
      <c r="FU25" s="271"/>
      <c r="FV25" s="271"/>
      <c r="FW25" s="271"/>
      <c r="FX25" s="271"/>
      <c r="FY25" s="271"/>
      <c r="FZ25" s="271"/>
      <c r="GA25" s="271"/>
      <c r="GB25" s="271"/>
      <c r="GC25" s="271"/>
      <c r="GD25" s="271"/>
      <c r="GE25" s="271"/>
      <c r="GF25" s="271"/>
      <c r="GG25" s="271"/>
      <c r="GH25" s="271"/>
      <c r="GI25" s="271"/>
      <c r="GJ25" s="271"/>
      <c r="GK25" s="271"/>
      <c r="GL25" s="271"/>
      <c r="GM25" s="271"/>
      <c r="GN25" s="271"/>
      <c r="GO25" s="271"/>
      <c r="GP25" s="271"/>
      <c r="GQ25" s="271"/>
      <c r="GR25" s="271"/>
      <c r="GS25" s="271"/>
      <c r="GT25" s="271"/>
      <c r="GU25" s="271"/>
      <c r="GV25" s="271"/>
      <c r="GW25" s="271"/>
      <c r="GX25" s="271"/>
      <c r="GY25" s="271"/>
      <c r="GZ25" s="271"/>
      <c r="HA25" s="271"/>
      <c r="HB25" s="271"/>
      <c r="HC25" s="271"/>
      <c r="HD25" s="271"/>
      <c r="HE25" s="271"/>
      <c r="HF25" s="271"/>
      <c r="HG25" s="271"/>
      <c r="HH25" s="271"/>
      <c r="HI25" s="271"/>
      <c r="HJ25" s="271"/>
      <c r="HK25" s="271"/>
      <c r="HL25" s="271"/>
      <c r="HM25" s="271"/>
      <c r="HN25" s="271"/>
      <c r="HO25" s="271"/>
      <c r="HP25" s="271"/>
      <c r="HQ25" s="271"/>
      <c r="HR25" s="271"/>
      <c r="HS25" s="271"/>
      <c r="HT25" s="271"/>
      <c r="HU25" s="271"/>
      <c r="HV25" s="271"/>
      <c r="HW25" s="271"/>
      <c r="HX25" s="271"/>
      <c r="HY25" s="271"/>
      <c r="HZ25" s="271"/>
      <c r="IA25" s="271"/>
      <c r="IB25" s="271"/>
      <c r="IC25" s="271"/>
      <c r="ID25" s="271"/>
      <c r="IE25" s="271"/>
      <c r="IF25" s="271"/>
      <c r="IG25" s="271"/>
      <c r="IH25" s="271"/>
      <c r="II25" s="271"/>
      <c r="IJ25" s="271"/>
      <c r="IK25" s="271"/>
      <c r="IL25" s="271"/>
      <c r="IM25" s="271"/>
      <c r="IN25" s="271"/>
      <c r="IO25" s="271"/>
      <c r="IP25" s="271"/>
      <c r="IQ25" s="271"/>
      <c r="IR25" s="271"/>
      <c r="IS25" s="271"/>
      <c r="IT25" s="271"/>
    </row>
    <row r="26" spans="1:254" s="299" customFormat="1" ht="16.8">
      <c r="A26" s="305" t="s">
        <v>398</v>
      </c>
      <c r="B26" s="281">
        <v>0</v>
      </c>
      <c r="C26" s="281">
        <v>3</v>
      </c>
      <c r="D26" s="281">
        <v>14</v>
      </c>
      <c r="E26" s="281">
        <v>1</v>
      </c>
      <c r="F26" s="281">
        <v>8</v>
      </c>
      <c r="G26" s="281">
        <v>27</v>
      </c>
      <c r="H26" s="281">
        <v>19</v>
      </c>
      <c r="I26" s="281">
        <v>9</v>
      </c>
      <c r="J26" s="281">
        <v>10</v>
      </c>
      <c r="K26" s="281">
        <v>15</v>
      </c>
      <c r="L26" s="281">
        <v>15</v>
      </c>
      <c r="M26" s="281">
        <v>15</v>
      </c>
      <c r="N26" s="281">
        <v>23</v>
      </c>
      <c r="O26" s="281">
        <v>45</v>
      </c>
      <c r="P26" s="283">
        <v>62</v>
      </c>
      <c r="Q26" s="283">
        <v>7.1</v>
      </c>
      <c r="R26" s="283">
        <v>81.7</v>
      </c>
      <c r="S26" s="283">
        <v>107.8</v>
      </c>
      <c r="T26" s="283">
        <v>116.5</v>
      </c>
      <c r="U26" s="283">
        <v>197.8</v>
      </c>
      <c r="V26" s="283">
        <v>193.1</v>
      </c>
      <c r="W26" s="283">
        <v>115.9</v>
      </c>
      <c r="X26" s="283">
        <v>12.6</v>
      </c>
      <c r="Y26" s="283">
        <v>79.2</v>
      </c>
      <c r="Z26" s="283">
        <v>21.7</v>
      </c>
      <c r="AA26" s="283">
        <v>182.1</v>
      </c>
      <c r="AB26" s="284">
        <v>397.43809968000011</v>
      </c>
      <c r="AC26" s="285">
        <v>282.625</v>
      </c>
      <c r="AD26" s="285">
        <v>273.51942685714278</v>
      </c>
      <c r="AE26" s="285">
        <v>142.81399999999999</v>
      </c>
      <c r="AF26" s="285">
        <v>99.430963576774104</v>
      </c>
      <c r="AG26" s="285">
        <v>156.68200350000001</v>
      </c>
      <c r="AH26" s="286">
        <v>152.19999999999999</v>
      </c>
      <c r="AI26" s="287">
        <v>135.50800000000001</v>
      </c>
      <c r="AJ26" s="287">
        <v>122.74434447903229</v>
      </c>
      <c r="AK26" s="287">
        <v>195.79544710838707</v>
      </c>
      <c r="AL26" s="287">
        <v>76.641885441290313</v>
      </c>
      <c r="AM26" s="287">
        <v>9.6</v>
      </c>
      <c r="AN26" s="287">
        <v>2.9</v>
      </c>
      <c r="AO26" s="287">
        <v>174.36280763741945</v>
      </c>
      <c r="AP26" s="287">
        <v>33.426027722903228</v>
      </c>
      <c r="AQ26" s="287">
        <v>190.6</v>
      </c>
      <c r="AR26" s="271"/>
      <c r="AS26" s="271"/>
      <c r="AT26" s="271"/>
      <c r="AU26" s="271"/>
      <c r="AV26" s="271"/>
      <c r="AW26" s="271"/>
      <c r="AX26" s="271"/>
      <c r="AY26" s="271"/>
      <c r="AZ26" s="271"/>
      <c r="BA26" s="271"/>
      <c r="BB26" s="271"/>
      <c r="BC26" s="271"/>
      <c r="BD26" s="271"/>
      <c r="BE26" s="271"/>
      <c r="BF26" s="271"/>
      <c r="BG26" s="271"/>
      <c r="BH26" s="271"/>
      <c r="BI26" s="271"/>
      <c r="BJ26" s="271"/>
      <c r="BK26" s="271"/>
      <c r="BL26" s="271"/>
      <c r="BM26" s="271"/>
      <c r="BN26" s="271"/>
      <c r="BO26" s="271"/>
      <c r="BP26" s="271"/>
      <c r="BQ26" s="271"/>
      <c r="BR26" s="271"/>
      <c r="BS26" s="271"/>
      <c r="BT26" s="271"/>
      <c r="BU26" s="271"/>
      <c r="BV26" s="271"/>
      <c r="BW26" s="271"/>
      <c r="BX26" s="271"/>
      <c r="BY26" s="271"/>
      <c r="BZ26" s="271"/>
      <c r="CA26" s="271"/>
      <c r="CB26" s="271"/>
      <c r="CC26" s="271"/>
      <c r="CD26" s="271"/>
      <c r="CE26" s="271"/>
      <c r="CF26" s="271"/>
      <c r="CG26" s="271"/>
      <c r="CH26" s="271"/>
      <c r="CI26" s="271"/>
      <c r="CJ26" s="271"/>
      <c r="CK26" s="271"/>
      <c r="CL26" s="271"/>
      <c r="CM26" s="271"/>
      <c r="CN26" s="271"/>
      <c r="CO26" s="271"/>
      <c r="CP26" s="271"/>
      <c r="CQ26" s="271"/>
      <c r="CR26" s="271"/>
      <c r="CS26" s="271"/>
      <c r="CT26" s="271"/>
      <c r="CU26" s="271"/>
      <c r="CV26" s="271"/>
      <c r="CW26" s="271"/>
      <c r="CX26" s="271"/>
      <c r="CY26" s="271"/>
      <c r="CZ26" s="271"/>
      <c r="DA26" s="271"/>
      <c r="DB26" s="271"/>
      <c r="DC26" s="271"/>
      <c r="DD26" s="271"/>
      <c r="DE26" s="271"/>
      <c r="DF26" s="271"/>
      <c r="DG26" s="271"/>
      <c r="DH26" s="271"/>
      <c r="DI26" s="271"/>
      <c r="DJ26" s="271"/>
      <c r="DK26" s="271"/>
      <c r="DL26" s="271"/>
      <c r="DM26" s="271"/>
      <c r="DN26" s="271"/>
      <c r="DO26" s="271"/>
      <c r="DP26" s="271"/>
      <c r="DQ26" s="271"/>
      <c r="DR26" s="271"/>
      <c r="DS26" s="271"/>
      <c r="DT26" s="271"/>
      <c r="DU26" s="271"/>
      <c r="DV26" s="271"/>
      <c r="DW26" s="271"/>
      <c r="DX26" s="271"/>
      <c r="DY26" s="271"/>
      <c r="DZ26" s="271"/>
      <c r="EA26" s="271"/>
      <c r="EB26" s="271"/>
      <c r="EC26" s="271"/>
      <c r="ED26" s="271"/>
      <c r="EE26" s="271"/>
      <c r="EF26" s="271"/>
      <c r="EG26" s="271"/>
      <c r="EH26" s="271"/>
      <c r="EI26" s="271"/>
      <c r="EJ26" s="271"/>
      <c r="EK26" s="271"/>
      <c r="EL26" s="271"/>
      <c r="EM26" s="271"/>
      <c r="EN26" s="271"/>
      <c r="EO26" s="271"/>
      <c r="EP26" s="271"/>
      <c r="EQ26" s="271"/>
      <c r="ER26" s="271"/>
      <c r="ES26" s="271"/>
      <c r="ET26" s="271"/>
      <c r="EU26" s="271"/>
      <c r="EV26" s="271"/>
      <c r="EW26" s="271"/>
      <c r="EX26" s="271"/>
      <c r="EY26" s="271"/>
      <c r="EZ26" s="271"/>
      <c r="FA26" s="271"/>
      <c r="FB26" s="271"/>
      <c r="FC26" s="271"/>
      <c r="FD26" s="271"/>
      <c r="FE26" s="271"/>
      <c r="FF26" s="271"/>
      <c r="FG26" s="271"/>
      <c r="FH26" s="271"/>
      <c r="FI26" s="271"/>
      <c r="FJ26" s="271"/>
      <c r="FK26" s="271"/>
      <c r="FL26" s="271"/>
      <c r="FM26" s="271"/>
      <c r="FN26" s="271"/>
      <c r="FO26" s="271"/>
      <c r="FP26" s="271"/>
      <c r="FQ26" s="271"/>
      <c r="FR26" s="271"/>
      <c r="FS26" s="271"/>
      <c r="FT26" s="271"/>
      <c r="FU26" s="271"/>
      <c r="FV26" s="271"/>
      <c r="FW26" s="271"/>
      <c r="FX26" s="271"/>
      <c r="FY26" s="271"/>
      <c r="FZ26" s="271"/>
      <c r="GA26" s="271"/>
      <c r="GB26" s="271"/>
      <c r="GC26" s="271"/>
      <c r="GD26" s="271"/>
      <c r="GE26" s="271"/>
      <c r="GF26" s="271"/>
      <c r="GG26" s="271"/>
      <c r="GH26" s="271"/>
      <c r="GI26" s="271"/>
      <c r="GJ26" s="271"/>
      <c r="GK26" s="271"/>
      <c r="GL26" s="271"/>
      <c r="GM26" s="271"/>
      <c r="GN26" s="271"/>
      <c r="GO26" s="271"/>
      <c r="GP26" s="271"/>
      <c r="GQ26" s="271"/>
      <c r="GR26" s="271"/>
      <c r="GS26" s="271"/>
      <c r="GT26" s="271"/>
      <c r="GU26" s="271"/>
      <c r="GV26" s="271"/>
      <c r="GW26" s="271"/>
      <c r="GX26" s="271"/>
      <c r="GY26" s="271"/>
      <c r="GZ26" s="271"/>
      <c r="HA26" s="271"/>
      <c r="HB26" s="271"/>
      <c r="HC26" s="271"/>
      <c r="HD26" s="271"/>
      <c r="HE26" s="271"/>
      <c r="HF26" s="271"/>
      <c r="HG26" s="271"/>
      <c r="HH26" s="271"/>
      <c r="HI26" s="271"/>
      <c r="HJ26" s="271"/>
      <c r="HK26" s="271"/>
      <c r="HL26" s="271"/>
      <c r="HM26" s="271"/>
      <c r="HN26" s="271"/>
      <c r="HO26" s="271"/>
      <c r="HP26" s="271"/>
      <c r="HQ26" s="271"/>
      <c r="HR26" s="271"/>
      <c r="HS26" s="271"/>
      <c r="HT26" s="271"/>
      <c r="HU26" s="271"/>
      <c r="HV26" s="271"/>
      <c r="HW26" s="271"/>
      <c r="HX26" s="271"/>
      <c r="HY26" s="271"/>
      <c r="HZ26" s="271"/>
      <c r="IA26" s="271"/>
      <c r="IB26" s="271"/>
      <c r="IC26" s="271"/>
      <c r="ID26" s="271"/>
      <c r="IE26" s="271"/>
      <c r="IF26" s="271"/>
      <c r="IG26" s="271"/>
      <c r="IH26" s="271"/>
      <c r="II26" s="271"/>
      <c r="IJ26" s="271"/>
      <c r="IK26" s="271"/>
      <c r="IL26" s="271"/>
      <c r="IM26" s="271"/>
      <c r="IN26" s="271"/>
      <c r="IO26" s="271"/>
      <c r="IP26" s="271"/>
      <c r="IQ26" s="271"/>
      <c r="IR26" s="271"/>
      <c r="IS26" s="271"/>
      <c r="IT26" s="271"/>
    </row>
    <row r="27" spans="1:254" s="279" customFormat="1" ht="16.8" thickBot="1">
      <c r="A27" s="305" t="s">
        <v>374</v>
      </c>
      <c r="B27" s="290">
        <v>0</v>
      </c>
      <c r="C27" s="290">
        <v>0</v>
      </c>
      <c r="D27" s="290">
        <v>0</v>
      </c>
      <c r="E27" s="290">
        <v>0</v>
      </c>
      <c r="F27" s="290">
        <v>12</v>
      </c>
      <c r="G27" s="290">
        <v>17</v>
      </c>
      <c r="H27" s="290">
        <v>74</v>
      </c>
      <c r="I27" s="290">
        <v>11</v>
      </c>
      <c r="J27" s="290">
        <v>40</v>
      </c>
      <c r="K27" s="290">
        <v>40</v>
      </c>
      <c r="L27" s="290">
        <v>40</v>
      </c>
      <c r="M27" s="290">
        <v>40</v>
      </c>
      <c r="N27" s="290">
        <v>59</v>
      </c>
      <c r="O27" s="290">
        <v>104</v>
      </c>
      <c r="P27" s="329">
        <v>111.7</v>
      </c>
      <c r="Q27" s="329">
        <v>63.5</v>
      </c>
      <c r="R27" s="329">
        <v>0</v>
      </c>
      <c r="S27" s="329">
        <v>0</v>
      </c>
      <c r="T27" s="329">
        <v>5.4</v>
      </c>
      <c r="U27" s="329">
        <v>47.6</v>
      </c>
      <c r="V27" s="329">
        <v>64.8</v>
      </c>
      <c r="W27" s="329">
        <v>1389.6</v>
      </c>
      <c r="X27" s="329">
        <v>147.80000000000001</v>
      </c>
      <c r="Y27" s="329">
        <v>171.1</v>
      </c>
      <c r="Z27" s="329">
        <v>191</v>
      </c>
      <c r="AA27" s="329">
        <v>110.8</v>
      </c>
      <c r="AB27" s="291">
        <v>168.17764031279995</v>
      </c>
      <c r="AC27" s="308">
        <v>120.69</v>
      </c>
      <c r="AD27" s="308">
        <v>274.94753118857147</v>
      </c>
      <c r="AE27" s="308">
        <v>240.31142110419358</v>
      </c>
      <c r="AF27" s="308">
        <v>310.06640616322585</v>
      </c>
      <c r="AG27" s="308">
        <v>70.690476160000003</v>
      </c>
      <c r="AH27" s="309">
        <v>38.450000000000003</v>
      </c>
      <c r="AI27" s="330">
        <v>85.804000000000002</v>
      </c>
      <c r="AJ27" s="330">
        <v>196.15177862000002</v>
      </c>
      <c r="AK27" s="330">
        <v>67.48132308645161</v>
      </c>
      <c r="AL27" s="330">
        <v>50.291036205161291</v>
      </c>
      <c r="AM27" s="330">
        <v>-20.536000000000001</v>
      </c>
      <c r="AN27" s="330">
        <v>24.260660996129033</v>
      </c>
      <c r="AO27" s="330">
        <v>177.62201441999997</v>
      </c>
      <c r="AP27" s="330">
        <v>150.01999826999997</v>
      </c>
      <c r="AQ27" s="330">
        <v>110.6</v>
      </c>
      <c r="AR27" s="271"/>
      <c r="AS27" s="271"/>
      <c r="AT27" s="271"/>
      <c r="AU27" s="271"/>
      <c r="AV27" s="271"/>
      <c r="AW27" s="271"/>
      <c r="AX27" s="271"/>
      <c r="AY27" s="271"/>
      <c r="AZ27" s="271"/>
      <c r="BA27" s="271"/>
      <c r="BB27" s="271"/>
      <c r="BC27" s="271"/>
      <c r="BD27" s="271"/>
      <c r="BE27" s="271"/>
      <c r="BF27" s="271"/>
      <c r="BG27" s="271"/>
      <c r="BH27" s="271"/>
      <c r="BI27" s="271"/>
      <c r="BJ27" s="271"/>
      <c r="BK27" s="271"/>
      <c r="BL27" s="271"/>
      <c r="BM27" s="271"/>
      <c r="BN27" s="271"/>
      <c r="BO27" s="271"/>
      <c r="BP27" s="271"/>
      <c r="BQ27" s="271"/>
      <c r="BR27" s="271"/>
      <c r="BS27" s="271"/>
      <c r="BT27" s="271"/>
      <c r="BU27" s="271"/>
      <c r="BV27" s="271"/>
      <c r="BW27" s="271"/>
      <c r="BX27" s="271"/>
      <c r="BY27" s="271"/>
      <c r="BZ27" s="271"/>
      <c r="CA27" s="271"/>
      <c r="CB27" s="271"/>
      <c r="CC27" s="271"/>
      <c r="CD27" s="271"/>
      <c r="CE27" s="271"/>
      <c r="CF27" s="271"/>
      <c r="CG27" s="271"/>
      <c r="CH27" s="271"/>
      <c r="CI27" s="271"/>
      <c r="CJ27" s="271"/>
      <c r="CK27" s="271"/>
      <c r="CL27" s="271"/>
      <c r="CM27" s="271"/>
      <c r="CN27" s="271"/>
      <c r="CO27" s="271"/>
      <c r="CP27" s="271"/>
      <c r="CQ27" s="271"/>
      <c r="CR27" s="271"/>
      <c r="CS27" s="271"/>
      <c r="CT27" s="271"/>
      <c r="CU27" s="271"/>
      <c r="CV27" s="271"/>
      <c r="CW27" s="271"/>
      <c r="CX27" s="271"/>
      <c r="CY27" s="271"/>
      <c r="CZ27" s="271"/>
      <c r="DA27" s="271"/>
      <c r="DB27" s="271"/>
      <c r="DC27" s="271"/>
      <c r="DD27" s="271"/>
      <c r="DE27" s="271"/>
      <c r="DF27" s="271"/>
      <c r="DG27" s="271"/>
      <c r="DH27" s="271"/>
      <c r="DI27" s="271"/>
      <c r="DJ27" s="271"/>
      <c r="DK27" s="271"/>
      <c r="DL27" s="271"/>
      <c r="DM27" s="271"/>
      <c r="DN27" s="271"/>
      <c r="DO27" s="271"/>
      <c r="DP27" s="271"/>
      <c r="DQ27" s="271"/>
      <c r="DR27" s="271"/>
      <c r="DS27" s="271"/>
      <c r="DT27" s="271"/>
      <c r="DU27" s="271"/>
      <c r="DV27" s="271"/>
      <c r="DW27" s="271"/>
      <c r="DX27" s="271"/>
      <c r="DY27" s="271"/>
      <c r="DZ27" s="271"/>
      <c r="EA27" s="271"/>
      <c r="EB27" s="271"/>
      <c r="EC27" s="271"/>
      <c r="ED27" s="271"/>
      <c r="EE27" s="271"/>
      <c r="EF27" s="271"/>
      <c r="EG27" s="271"/>
      <c r="EH27" s="271"/>
      <c r="EI27" s="271"/>
      <c r="EJ27" s="271"/>
      <c r="EK27" s="271"/>
      <c r="EL27" s="271"/>
      <c r="EM27" s="271"/>
      <c r="EN27" s="271"/>
      <c r="EO27" s="271"/>
      <c r="EP27" s="271"/>
      <c r="EQ27" s="271"/>
      <c r="ER27" s="271"/>
      <c r="ES27" s="271"/>
      <c r="ET27" s="271"/>
      <c r="EU27" s="271"/>
      <c r="EV27" s="271"/>
      <c r="EW27" s="271"/>
      <c r="EX27" s="271"/>
      <c r="EY27" s="271"/>
      <c r="EZ27" s="271"/>
      <c r="FA27" s="271"/>
      <c r="FB27" s="271"/>
      <c r="FC27" s="271"/>
      <c r="FD27" s="271"/>
      <c r="FE27" s="271"/>
      <c r="FF27" s="271"/>
      <c r="FG27" s="271"/>
      <c r="FH27" s="271"/>
      <c r="FI27" s="271"/>
      <c r="FJ27" s="271"/>
      <c r="FK27" s="271"/>
      <c r="FL27" s="271"/>
      <c r="FM27" s="271"/>
      <c r="FN27" s="271"/>
      <c r="FO27" s="271"/>
      <c r="FP27" s="271"/>
      <c r="FQ27" s="271"/>
      <c r="FR27" s="271"/>
      <c r="FS27" s="271"/>
      <c r="FT27" s="271"/>
      <c r="FU27" s="271"/>
      <c r="FV27" s="271"/>
      <c r="FW27" s="271"/>
      <c r="FX27" s="271"/>
      <c r="FY27" s="271"/>
      <c r="FZ27" s="271"/>
      <c r="GA27" s="271"/>
      <c r="GB27" s="271"/>
      <c r="GC27" s="271"/>
      <c r="GD27" s="271"/>
      <c r="GE27" s="271"/>
      <c r="GF27" s="271"/>
      <c r="GG27" s="271"/>
      <c r="GH27" s="271"/>
      <c r="GI27" s="271"/>
      <c r="GJ27" s="271"/>
      <c r="GK27" s="271"/>
      <c r="GL27" s="271"/>
      <c r="GM27" s="271"/>
      <c r="GN27" s="271"/>
      <c r="GO27" s="271"/>
      <c r="GP27" s="271"/>
      <c r="GQ27" s="271"/>
      <c r="GR27" s="271"/>
      <c r="GS27" s="271"/>
      <c r="GT27" s="271"/>
      <c r="GU27" s="271"/>
      <c r="GV27" s="271"/>
      <c r="GW27" s="271"/>
      <c r="GX27" s="271"/>
      <c r="GY27" s="271"/>
      <c r="GZ27" s="271"/>
      <c r="HA27" s="271"/>
      <c r="HB27" s="271"/>
      <c r="HC27" s="271"/>
      <c r="HD27" s="271"/>
      <c r="HE27" s="271"/>
      <c r="HF27" s="271"/>
      <c r="HG27" s="271"/>
      <c r="HH27" s="271"/>
      <c r="HI27" s="271"/>
      <c r="HJ27" s="271"/>
      <c r="HK27" s="271"/>
      <c r="HL27" s="271"/>
      <c r="HM27" s="271"/>
      <c r="HN27" s="271"/>
      <c r="HO27" s="271"/>
      <c r="HP27" s="271"/>
      <c r="HQ27" s="271"/>
      <c r="HR27" s="271"/>
      <c r="HS27" s="271"/>
      <c r="HT27" s="271"/>
      <c r="HU27" s="271"/>
      <c r="HV27" s="271"/>
      <c r="HW27" s="271"/>
      <c r="HX27" s="271"/>
      <c r="HY27" s="271"/>
      <c r="HZ27" s="271"/>
      <c r="IA27" s="271"/>
      <c r="IB27" s="271"/>
      <c r="IC27" s="271"/>
      <c r="ID27" s="271"/>
      <c r="IE27" s="271"/>
      <c r="IF27" s="271"/>
      <c r="IG27" s="271"/>
      <c r="IH27" s="271"/>
      <c r="II27" s="271"/>
      <c r="IJ27" s="271"/>
      <c r="IK27" s="271"/>
      <c r="IL27" s="271"/>
      <c r="IM27" s="271"/>
      <c r="IN27" s="271"/>
      <c r="IO27" s="271"/>
      <c r="IP27" s="271"/>
      <c r="IQ27" s="271"/>
      <c r="IR27" s="271"/>
      <c r="IS27" s="271"/>
      <c r="IT27" s="271"/>
    </row>
    <row r="28" spans="1:254" s="299" customFormat="1" ht="18" thickTop="1" thickBot="1">
      <c r="A28" s="331" t="s">
        <v>396</v>
      </c>
      <c r="B28" s="332">
        <f t="shared" ref="B28:AL28" si="5">B26+B27</f>
        <v>0</v>
      </c>
      <c r="C28" s="332">
        <f t="shared" si="5"/>
        <v>3</v>
      </c>
      <c r="D28" s="332">
        <f t="shared" si="5"/>
        <v>14</v>
      </c>
      <c r="E28" s="332">
        <f t="shared" si="5"/>
        <v>1</v>
      </c>
      <c r="F28" s="332">
        <f t="shared" si="5"/>
        <v>20</v>
      </c>
      <c r="G28" s="332">
        <f t="shared" si="5"/>
        <v>44</v>
      </c>
      <c r="H28" s="332">
        <f t="shared" si="5"/>
        <v>93</v>
      </c>
      <c r="I28" s="332">
        <f t="shared" si="5"/>
        <v>20</v>
      </c>
      <c r="J28" s="332">
        <f t="shared" si="5"/>
        <v>50</v>
      </c>
      <c r="K28" s="332">
        <f t="shared" si="5"/>
        <v>55</v>
      </c>
      <c r="L28" s="332">
        <f t="shared" si="5"/>
        <v>55</v>
      </c>
      <c r="M28" s="332">
        <f t="shared" si="5"/>
        <v>55</v>
      </c>
      <c r="N28" s="332">
        <f t="shared" si="5"/>
        <v>82</v>
      </c>
      <c r="O28" s="332">
        <f t="shared" si="5"/>
        <v>149</v>
      </c>
      <c r="P28" s="332">
        <f t="shared" si="5"/>
        <v>173.7</v>
      </c>
      <c r="Q28" s="332">
        <f t="shared" si="5"/>
        <v>70.599999999999994</v>
      </c>
      <c r="R28" s="332">
        <f t="shared" si="5"/>
        <v>81.7</v>
      </c>
      <c r="S28" s="332">
        <f t="shared" si="5"/>
        <v>107.8</v>
      </c>
      <c r="T28" s="332">
        <f t="shared" si="5"/>
        <v>121.9</v>
      </c>
      <c r="U28" s="332">
        <f t="shared" si="5"/>
        <v>245.4</v>
      </c>
      <c r="V28" s="332">
        <f t="shared" si="5"/>
        <v>257.89999999999998</v>
      </c>
      <c r="W28" s="332">
        <f t="shared" si="5"/>
        <v>1505.5</v>
      </c>
      <c r="X28" s="332">
        <f t="shared" si="5"/>
        <v>160.4</v>
      </c>
      <c r="Y28" s="332">
        <f t="shared" si="5"/>
        <v>250.3</v>
      </c>
      <c r="Z28" s="332">
        <f t="shared" si="5"/>
        <v>212.7</v>
      </c>
      <c r="AA28" s="332">
        <f t="shared" si="5"/>
        <v>292.89999999999998</v>
      </c>
      <c r="AB28" s="333">
        <f t="shared" si="5"/>
        <v>565.61573999280006</v>
      </c>
      <c r="AC28" s="333">
        <f t="shared" si="5"/>
        <v>403.315</v>
      </c>
      <c r="AD28" s="333">
        <f t="shared" si="5"/>
        <v>548.46695804571425</v>
      </c>
      <c r="AE28" s="333">
        <f t="shared" si="5"/>
        <v>383.12542110419361</v>
      </c>
      <c r="AF28" s="333">
        <f t="shared" si="5"/>
        <v>409.49736973999995</v>
      </c>
      <c r="AG28" s="333">
        <f t="shared" si="5"/>
        <v>227.37247966000001</v>
      </c>
      <c r="AH28" s="334">
        <f t="shared" si="5"/>
        <v>190.64999999999998</v>
      </c>
      <c r="AI28" s="334">
        <f t="shared" si="5"/>
        <v>221.31200000000001</v>
      </c>
      <c r="AJ28" s="334">
        <f t="shared" si="5"/>
        <v>318.89612309903231</v>
      </c>
      <c r="AK28" s="334">
        <f t="shared" si="5"/>
        <v>263.27677019483866</v>
      </c>
      <c r="AL28" s="334">
        <f t="shared" si="5"/>
        <v>126.9329216464516</v>
      </c>
      <c r="AM28" s="334">
        <f>AM26+AM27</f>
        <v>-10.936000000000002</v>
      </c>
      <c r="AN28" s="334">
        <v>27.160660996129032</v>
      </c>
      <c r="AO28" s="334">
        <v>351.98482205741942</v>
      </c>
      <c r="AP28" s="334">
        <v>183.4460259929032</v>
      </c>
      <c r="AQ28" s="334">
        <v>301.2</v>
      </c>
      <c r="AR28" s="271"/>
      <c r="AS28" s="271"/>
      <c r="AT28" s="271"/>
      <c r="AU28" s="271"/>
      <c r="AV28" s="271"/>
      <c r="AW28" s="271"/>
      <c r="AX28" s="271"/>
      <c r="AY28" s="271"/>
      <c r="AZ28" s="271"/>
      <c r="BA28" s="271"/>
      <c r="BB28" s="271"/>
      <c r="BC28" s="271"/>
      <c r="BD28" s="271"/>
      <c r="BE28" s="271"/>
      <c r="BF28" s="271"/>
      <c r="BG28" s="271"/>
      <c r="BH28" s="271"/>
      <c r="BI28" s="271"/>
      <c r="BJ28" s="271"/>
      <c r="BK28" s="271"/>
      <c r="BL28" s="271"/>
      <c r="BM28" s="271"/>
      <c r="BN28" s="271"/>
      <c r="BO28" s="271"/>
      <c r="BP28" s="271"/>
      <c r="BQ28" s="271"/>
      <c r="BR28" s="271"/>
      <c r="BS28" s="271"/>
      <c r="BT28" s="271"/>
      <c r="BU28" s="271"/>
      <c r="BV28" s="271"/>
      <c r="BW28" s="271"/>
      <c r="BX28" s="271"/>
      <c r="BY28" s="271"/>
      <c r="BZ28" s="271"/>
      <c r="CA28" s="271"/>
      <c r="CB28" s="271"/>
      <c r="CC28" s="271"/>
      <c r="CD28" s="271"/>
      <c r="CE28" s="271"/>
      <c r="CF28" s="271"/>
      <c r="CG28" s="271"/>
      <c r="CH28" s="271"/>
      <c r="CI28" s="271"/>
      <c r="CJ28" s="271"/>
      <c r="CK28" s="271"/>
      <c r="CL28" s="271"/>
      <c r="CM28" s="271"/>
      <c r="CN28" s="271"/>
      <c r="CO28" s="271"/>
      <c r="CP28" s="271"/>
      <c r="CQ28" s="271"/>
      <c r="CR28" s="271"/>
      <c r="CS28" s="271"/>
      <c r="CT28" s="271"/>
      <c r="CU28" s="271"/>
      <c r="CV28" s="271"/>
      <c r="CW28" s="271"/>
      <c r="CX28" s="271"/>
      <c r="CY28" s="271"/>
      <c r="CZ28" s="271"/>
      <c r="DA28" s="271"/>
      <c r="DB28" s="271"/>
      <c r="DC28" s="271"/>
      <c r="DD28" s="271"/>
      <c r="DE28" s="271"/>
      <c r="DF28" s="271"/>
      <c r="DG28" s="271"/>
      <c r="DH28" s="271"/>
      <c r="DI28" s="271"/>
      <c r="DJ28" s="271"/>
      <c r="DK28" s="271"/>
      <c r="DL28" s="271"/>
      <c r="DM28" s="271"/>
      <c r="DN28" s="271"/>
      <c r="DO28" s="271"/>
      <c r="DP28" s="271"/>
      <c r="DQ28" s="271"/>
      <c r="DR28" s="271"/>
      <c r="DS28" s="271"/>
      <c r="DT28" s="271"/>
      <c r="DU28" s="271"/>
      <c r="DV28" s="271"/>
      <c r="DW28" s="271"/>
      <c r="DX28" s="271"/>
      <c r="DY28" s="271"/>
      <c r="DZ28" s="271"/>
      <c r="EA28" s="271"/>
      <c r="EB28" s="271"/>
      <c r="EC28" s="271"/>
      <c r="ED28" s="271"/>
      <c r="EE28" s="271"/>
      <c r="EF28" s="271"/>
      <c r="EG28" s="271"/>
      <c r="EH28" s="271"/>
      <c r="EI28" s="271"/>
      <c r="EJ28" s="271"/>
      <c r="EK28" s="271"/>
      <c r="EL28" s="271"/>
      <c r="EM28" s="271"/>
      <c r="EN28" s="271"/>
      <c r="EO28" s="271"/>
      <c r="EP28" s="271"/>
      <c r="EQ28" s="271"/>
      <c r="ER28" s="271"/>
      <c r="ES28" s="271"/>
      <c r="ET28" s="271"/>
      <c r="EU28" s="271"/>
      <c r="EV28" s="271"/>
      <c r="EW28" s="271"/>
      <c r="EX28" s="271"/>
      <c r="EY28" s="271"/>
      <c r="EZ28" s="271"/>
      <c r="FA28" s="271"/>
      <c r="FB28" s="271"/>
      <c r="FC28" s="271"/>
      <c r="FD28" s="271"/>
      <c r="FE28" s="271"/>
      <c r="FF28" s="271"/>
      <c r="FG28" s="271"/>
      <c r="FH28" s="271"/>
      <c r="FI28" s="271"/>
      <c r="FJ28" s="271"/>
      <c r="FK28" s="271"/>
      <c r="FL28" s="271"/>
      <c r="FM28" s="271"/>
      <c r="FN28" s="271"/>
      <c r="FO28" s="271"/>
      <c r="FP28" s="271"/>
      <c r="FQ28" s="271"/>
      <c r="FR28" s="271"/>
      <c r="FS28" s="271"/>
      <c r="FT28" s="271"/>
      <c r="FU28" s="271"/>
      <c r="FV28" s="271"/>
      <c r="FW28" s="271"/>
      <c r="FX28" s="271"/>
      <c r="FY28" s="271"/>
      <c r="FZ28" s="271"/>
      <c r="GA28" s="271"/>
      <c r="GB28" s="271"/>
      <c r="GC28" s="271"/>
      <c r="GD28" s="271"/>
      <c r="GE28" s="271"/>
      <c r="GF28" s="271"/>
      <c r="GG28" s="271"/>
      <c r="GH28" s="271"/>
      <c r="GI28" s="271"/>
      <c r="GJ28" s="271"/>
      <c r="GK28" s="271"/>
      <c r="GL28" s="271"/>
      <c r="GM28" s="271"/>
      <c r="GN28" s="271"/>
      <c r="GO28" s="271"/>
      <c r="GP28" s="271"/>
      <c r="GQ28" s="271"/>
      <c r="GR28" s="271"/>
      <c r="GS28" s="271"/>
      <c r="GT28" s="271"/>
      <c r="GU28" s="271"/>
      <c r="GV28" s="271"/>
      <c r="GW28" s="271"/>
      <c r="GX28" s="271"/>
      <c r="GY28" s="271"/>
      <c r="GZ28" s="271"/>
      <c r="HA28" s="271"/>
      <c r="HB28" s="271"/>
      <c r="HC28" s="271"/>
      <c r="HD28" s="271"/>
      <c r="HE28" s="271"/>
      <c r="HF28" s="271"/>
      <c r="HG28" s="271"/>
      <c r="HH28" s="271"/>
      <c r="HI28" s="271"/>
      <c r="HJ28" s="271"/>
      <c r="HK28" s="271"/>
      <c r="HL28" s="271"/>
      <c r="HM28" s="271"/>
      <c r="HN28" s="271"/>
      <c r="HO28" s="271"/>
      <c r="HP28" s="271"/>
      <c r="HQ28" s="271"/>
      <c r="HR28" s="271"/>
      <c r="HS28" s="271"/>
      <c r="HT28" s="271"/>
      <c r="HU28" s="271"/>
      <c r="HV28" s="271"/>
      <c r="HW28" s="271"/>
      <c r="HX28" s="271"/>
      <c r="HY28" s="271"/>
      <c r="HZ28" s="271"/>
      <c r="IA28" s="271"/>
      <c r="IB28" s="271"/>
      <c r="IC28" s="271"/>
      <c r="ID28" s="271"/>
      <c r="IE28" s="271"/>
      <c r="IF28" s="271"/>
      <c r="IG28" s="271"/>
      <c r="IH28" s="271"/>
      <c r="II28" s="271"/>
      <c r="IJ28" s="271"/>
      <c r="IK28" s="271"/>
      <c r="IL28" s="271"/>
      <c r="IM28" s="271"/>
      <c r="IN28" s="271"/>
      <c r="IO28" s="271"/>
      <c r="IP28" s="271"/>
      <c r="IQ28" s="271"/>
      <c r="IR28" s="271"/>
      <c r="IS28" s="271"/>
      <c r="IT28" s="271"/>
    </row>
    <row r="29" spans="1:254" s="299" customFormat="1" ht="17.399999999999999" thickBot="1">
      <c r="A29" s="335" t="s">
        <v>397</v>
      </c>
      <c r="B29" s="336">
        <f t="shared" ref="B29:AI29" si="6">B24+B28</f>
        <v>41.3</v>
      </c>
      <c r="C29" s="336">
        <f t="shared" si="6"/>
        <v>20.2</v>
      </c>
      <c r="D29" s="336">
        <f t="shared" si="6"/>
        <v>42.5</v>
      </c>
      <c r="E29" s="336">
        <f t="shared" si="6"/>
        <v>40.199999999999996</v>
      </c>
      <c r="F29" s="336">
        <f t="shared" si="6"/>
        <v>72.2</v>
      </c>
      <c r="G29" s="336">
        <f t="shared" si="6"/>
        <v>99.5</v>
      </c>
      <c r="H29" s="336">
        <f t="shared" si="6"/>
        <v>158.4</v>
      </c>
      <c r="I29" s="336">
        <f t="shared" si="6"/>
        <v>100.4</v>
      </c>
      <c r="J29" s="336">
        <f t="shared" si="6"/>
        <v>118.8</v>
      </c>
      <c r="K29" s="336">
        <f t="shared" si="6"/>
        <v>133.5</v>
      </c>
      <c r="L29" s="336">
        <f t="shared" si="6"/>
        <v>145.5</v>
      </c>
      <c r="M29" s="336">
        <f t="shared" si="6"/>
        <v>150.5</v>
      </c>
      <c r="N29" s="336">
        <f t="shared" si="6"/>
        <v>219.3</v>
      </c>
      <c r="O29" s="336">
        <f t="shared" si="6"/>
        <v>282.7</v>
      </c>
      <c r="P29" s="336">
        <f t="shared" si="6"/>
        <v>325.79999999999995</v>
      </c>
      <c r="Q29" s="336">
        <f t="shared" si="6"/>
        <v>241.7</v>
      </c>
      <c r="R29" s="336">
        <f t="shared" si="6"/>
        <v>258.7</v>
      </c>
      <c r="S29" s="336">
        <f t="shared" si="6"/>
        <v>302.2</v>
      </c>
      <c r="T29" s="336">
        <f t="shared" si="6"/>
        <v>337.28</v>
      </c>
      <c r="U29" s="336">
        <f t="shared" si="6"/>
        <v>468.6</v>
      </c>
      <c r="V29" s="336">
        <f t="shared" si="6"/>
        <v>480</v>
      </c>
      <c r="W29" s="336">
        <f t="shared" si="6"/>
        <v>1730.2</v>
      </c>
      <c r="X29" s="336">
        <f t="shared" si="6"/>
        <v>433.71000000000004</v>
      </c>
      <c r="Y29" s="336">
        <f t="shared" si="6"/>
        <v>530.55500000000006</v>
      </c>
      <c r="Z29" s="336">
        <f t="shared" si="6"/>
        <v>501</v>
      </c>
      <c r="AA29" s="336">
        <f t="shared" si="6"/>
        <v>576.32999999999993</v>
      </c>
      <c r="AB29" s="337">
        <f t="shared" si="6"/>
        <v>851.66573999280013</v>
      </c>
      <c r="AC29" s="338">
        <f t="shared" si="6"/>
        <v>715.97199999999998</v>
      </c>
      <c r="AD29" s="338">
        <f t="shared" si="6"/>
        <v>875.78689198571419</v>
      </c>
      <c r="AE29" s="338">
        <f t="shared" si="6"/>
        <v>745.25486393419351</v>
      </c>
      <c r="AF29" s="338">
        <f t="shared" si="6"/>
        <v>802.29668034450958</v>
      </c>
      <c r="AG29" s="338">
        <f t="shared" si="6"/>
        <v>649.86378652466624</v>
      </c>
      <c r="AH29" s="339">
        <f t="shared" si="6"/>
        <v>644.08999999999992</v>
      </c>
      <c r="AI29" s="340">
        <f t="shared" si="6"/>
        <v>682.41200000000003</v>
      </c>
      <c r="AJ29" s="340">
        <f>AJ24+AJ28</f>
        <v>782.59760509903231</v>
      </c>
      <c r="AK29" s="340">
        <f>AK24+AK28</f>
        <v>757.0220691079096</v>
      </c>
      <c r="AL29" s="340">
        <f>AL24+AL28</f>
        <v>621.49065968125444</v>
      </c>
      <c r="AM29" s="340">
        <f>AM24+AM28</f>
        <v>450.36399999999998</v>
      </c>
      <c r="AN29" s="340">
        <v>480.88141649842606</v>
      </c>
      <c r="AO29" s="340">
        <v>788.10706660762844</v>
      </c>
      <c r="AP29" s="340">
        <v>611.45169899802625</v>
      </c>
      <c r="AQ29" s="340">
        <v>744.5</v>
      </c>
      <c r="AR29" s="271"/>
      <c r="AS29" s="271"/>
      <c r="AT29" s="271"/>
      <c r="AU29" s="271"/>
      <c r="AV29" s="271"/>
      <c r="AW29" s="271"/>
      <c r="AX29" s="271"/>
      <c r="AY29" s="271"/>
      <c r="AZ29" s="271"/>
      <c r="BA29" s="271"/>
      <c r="BB29" s="271"/>
      <c r="BC29" s="271"/>
      <c r="BD29" s="271"/>
      <c r="BE29" s="271"/>
      <c r="BF29" s="271"/>
      <c r="BG29" s="271"/>
      <c r="BH29" s="271"/>
      <c r="BI29" s="271"/>
      <c r="BJ29" s="271"/>
      <c r="BK29" s="271"/>
      <c r="BL29" s="271"/>
      <c r="BM29" s="271"/>
      <c r="BN29" s="271"/>
      <c r="BO29" s="271"/>
      <c r="BP29" s="271"/>
      <c r="BQ29" s="271"/>
      <c r="BR29" s="271"/>
      <c r="BS29" s="271"/>
      <c r="BT29" s="271"/>
      <c r="BU29" s="271"/>
      <c r="BV29" s="271"/>
      <c r="BW29" s="271"/>
      <c r="BX29" s="271"/>
      <c r="BY29" s="271"/>
      <c r="BZ29" s="271"/>
      <c r="CA29" s="271"/>
      <c r="CB29" s="271"/>
      <c r="CC29" s="271"/>
      <c r="CD29" s="271"/>
      <c r="CE29" s="271"/>
      <c r="CF29" s="271"/>
      <c r="CG29" s="271"/>
      <c r="CH29" s="271"/>
      <c r="CI29" s="271"/>
      <c r="CJ29" s="271"/>
      <c r="CK29" s="271"/>
      <c r="CL29" s="271"/>
      <c r="CM29" s="271"/>
      <c r="CN29" s="271"/>
      <c r="CO29" s="271"/>
      <c r="CP29" s="271"/>
      <c r="CQ29" s="271"/>
      <c r="CR29" s="271"/>
      <c r="CS29" s="271"/>
      <c r="CT29" s="271"/>
      <c r="CU29" s="271"/>
      <c r="CV29" s="271"/>
      <c r="CW29" s="271"/>
      <c r="CX29" s="271"/>
      <c r="CY29" s="271"/>
      <c r="CZ29" s="271"/>
      <c r="DA29" s="271"/>
      <c r="DB29" s="271"/>
      <c r="DC29" s="271"/>
      <c r="DD29" s="271"/>
      <c r="DE29" s="271"/>
      <c r="DF29" s="271"/>
      <c r="DG29" s="271"/>
      <c r="DH29" s="271"/>
      <c r="DI29" s="271"/>
      <c r="DJ29" s="271"/>
      <c r="DK29" s="271"/>
      <c r="DL29" s="271"/>
      <c r="DM29" s="271"/>
      <c r="DN29" s="271"/>
      <c r="DO29" s="271"/>
      <c r="DP29" s="271"/>
      <c r="DQ29" s="271"/>
      <c r="DR29" s="271"/>
      <c r="DS29" s="271"/>
      <c r="DT29" s="271"/>
      <c r="DU29" s="271"/>
      <c r="DV29" s="271"/>
      <c r="DW29" s="271"/>
      <c r="DX29" s="271"/>
      <c r="DY29" s="271"/>
      <c r="DZ29" s="271"/>
      <c r="EA29" s="271"/>
      <c r="EB29" s="271"/>
      <c r="EC29" s="271"/>
      <c r="ED29" s="271"/>
      <c r="EE29" s="271"/>
      <c r="EF29" s="271"/>
      <c r="EG29" s="271"/>
      <c r="EH29" s="271"/>
      <c r="EI29" s="271"/>
      <c r="EJ29" s="271"/>
      <c r="EK29" s="271"/>
      <c r="EL29" s="271"/>
      <c r="EM29" s="271"/>
      <c r="EN29" s="271"/>
      <c r="EO29" s="271"/>
      <c r="EP29" s="271"/>
      <c r="EQ29" s="271"/>
      <c r="ER29" s="271"/>
      <c r="ES29" s="271"/>
      <c r="ET29" s="271"/>
      <c r="EU29" s="271"/>
      <c r="EV29" s="271"/>
      <c r="EW29" s="271"/>
      <c r="EX29" s="271"/>
      <c r="EY29" s="271"/>
      <c r="EZ29" s="271"/>
      <c r="FA29" s="271"/>
      <c r="FB29" s="271"/>
      <c r="FC29" s="271"/>
      <c r="FD29" s="271"/>
      <c r="FE29" s="271"/>
      <c r="FF29" s="271"/>
      <c r="FG29" s="271"/>
      <c r="FH29" s="271"/>
      <c r="FI29" s="271"/>
      <c r="FJ29" s="271"/>
      <c r="FK29" s="271"/>
      <c r="FL29" s="271"/>
      <c r="FM29" s="271"/>
      <c r="FN29" s="271"/>
      <c r="FO29" s="271"/>
      <c r="FP29" s="271"/>
      <c r="FQ29" s="271"/>
      <c r="FR29" s="271"/>
      <c r="FS29" s="271"/>
      <c r="FT29" s="271"/>
      <c r="FU29" s="271"/>
      <c r="FV29" s="271"/>
      <c r="FW29" s="271"/>
      <c r="FX29" s="271"/>
      <c r="FY29" s="271"/>
      <c r="FZ29" s="271"/>
      <c r="GA29" s="271"/>
      <c r="GB29" s="271"/>
      <c r="GC29" s="271"/>
      <c r="GD29" s="271"/>
      <c r="GE29" s="271"/>
      <c r="GF29" s="271"/>
      <c r="GG29" s="271"/>
      <c r="GH29" s="271"/>
      <c r="GI29" s="271"/>
      <c r="GJ29" s="271"/>
      <c r="GK29" s="271"/>
      <c r="GL29" s="271"/>
      <c r="GM29" s="271"/>
      <c r="GN29" s="271"/>
      <c r="GO29" s="271"/>
      <c r="GP29" s="271"/>
      <c r="GQ29" s="271"/>
      <c r="GR29" s="271"/>
      <c r="GS29" s="271"/>
      <c r="GT29" s="271"/>
      <c r="GU29" s="271"/>
      <c r="GV29" s="271"/>
      <c r="GW29" s="271"/>
      <c r="GX29" s="271"/>
      <c r="GY29" s="271"/>
      <c r="GZ29" s="271"/>
      <c r="HA29" s="271"/>
      <c r="HB29" s="271"/>
      <c r="HC29" s="271"/>
      <c r="HD29" s="271"/>
      <c r="HE29" s="271"/>
      <c r="HF29" s="271"/>
      <c r="HG29" s="271"/>
      <c r="HH29" s="271"/>
      <c r="HI29" s="271"/>
      <c r="HJ29" s="271"/>
      <c r="HK29" s="271"/>
      <c r="HL29" s="271"/>
      <c r="HM29" s="271"/>
      <c r="HN29" s="271"/>
      <c r="HO29" s="271"/>
      <c r="HP29" s="271"/>
      <c r="HQ29" s="271"/>
      <c r="HR29" s="271"/>
      <c r="HS29" s="271"/>
      <c r="HT29" s="271"/>
      <c r="HU29" s="271"/>
      <c r="HV29" s="271"/>
      <c r="HW29" s="271"/>
      <c r="HX29" s="271"/>
      <c r="HY29" s="271"/>
      <c r="HZ29" s="271"/>
      <c r="IA29" s="271"/>
      <c r="IB29" s="271"/>
      <c r="IC29" s="271"/>
      <c r="ID29" s="271"/>
      <c r="IE29" s="271"/>
      <c r="IF29" s="271"/>
      <c r="IG29" s="271"/>
      <c r="IH29" s="271"/>
      <c r="II29" s="271"/>
      <c r="IJ29" s="271"/>
      <c r="IK29" s="271"/>
      <c r="IL29" s="271"/>
      <c r="IM29" s="271"/>
      <c r="IN29" s="271"/>
      <c r="IO29" s="271"/>
      <c r="IP29" s="271"/>
      <c r="IQ29" s="271"/>
      <c r="IR29" s="271"/>
      <c r="IS29" s="271"/>
      <c r="IT29" s="271"/>
    </row>
    <row r="30" spans="1:254" s="299" customFormat="1" ht="16.8">
      <c r="A30" s="341" t="s">
        <v>375</v>
      </c>
      <c r="B30" s="342">
        <v>0</v>
      </c>
      <c r="C30" s="342">
        <v>0</v>
      </c>
      <c r="D30" s="342">
        <v>0</v>
      </c>
      <c r="E30" s="342">
        <v>0</v>
      </c>
      <c r="F30" s="342">
        <v>0</v>
      </c>
      <c r="G30" s="342">
        <v>0</v>
      </c>
      <c r="H30" s="342">
        <v>0</v>
      </c>
      <c r="I30" s="342">
        <v>0</v>
      </c>
      <c r="J30" s="342">
        <v>0</v>
      </c>
      <c r="K30" s="342">
        <v>0</v>
      </c>
      <c r="L30" s="342">
        <v>0</v>
      </c>
      <c r="M30" s="342">
        <v>0</v>
      </c>
      <c r="N30" s="342">
        <v>0</v>
      </c>
      <c r="O30" s="342">
        <v>0</v>
      </c>
      <c r="P30" s="343">
        <v>0</v>
      </c>
      <c r="Q30" s="343"/>
      <c r="R30" s="343"/>
      <c r="S30" s="343"/>
      <c r="T30" s="343"/>
      <c r="U30" s="343"/>
      <c r="V30" s="343"/>
      <c r="W30" s="343"/>
      <c r="X30" s="343"/>
      <c r="Y30" s="343"/>
      <c r="Z30" s="343"/>
      <c r="AA30" s="343"/>
      <c r="AB30" s="328"/>
      <c r="AC30" s="344"/>
      <c r="AD30" s="344"/>
      <c r="AE30" s="344"/>
      <c r="AF30" s="344"/>
      <c r="AG30" s="344"/>
      <c r="AH30" s="345"/>
      <c r="AI30" s="344"/>
      <c r="AJ30" s="344"/>
      <c r="AK30" s="344"/>
      <c r="AL30" s="344"/>
      <c r="AM30" s="344"/>
      <c r="AN30" s="344"/>
      <c r="AO30" s="344"/>
      <c r="AP30" s="344"/>
      <c r="AQ30" s="344"/>
      <c r="AR30" s="271"/>
      <c r="AS30" s="271"/>
      <c r="AT30" s="271"/>
      <c r="AU30" s="271"/>
      <c r="AV30" s="271"/>
      <c r="AW30" s="271"/>
      <c r="AX30" s="271"/>
      <c r="AY30" s="271"/>
      <c r="AZ30" s="271"/>
      <c r="BA30" s="271"/>
      <c r="BB30" s="271"/>
      <c r="BC30" s="271"/>
      <c r="BD30" s="271"/>
      <c r="BE30" s="271"/>
      <c r="BF30" s="271"/>
      <c r="BG30" s="271"/>
      <c r="BH30" s="271"/>
      <c r="BI30" s="271"/>
      <c r="BJ30" s="271"/>
      <c r="BK30" s="271"/>
      <c r="BL30" s="271"/>
      <c r="BM30" s="271"/>
      <c r="BN30" s="271"/>
      <c r="BO30" s="271"/>
      <c r="BP30" s="271"/>
      <c r="BQ30" s="271"/>
      <c r="BR30" s="271"/>
      <c r="BS30" s="271"/>
      <c r="BT30" s="271"/>
      <c r="BU30" s="271"/>
      <c r="BV30" s="271"/>
      <c r="BW30" s="271"/>
      <c r="BX30" s="271"/>
      <c r="BY30" s="271"/>
      <c r="BZ30" s="271"/>
      <c r="CA30" s="271"/>
      <c r="CB30" s="271"/>
      <c r="CC30" s="271"/>
      <c r="CD30" s="271"/>
      <c r="CE30" s="271"/>
      <c r="CF30" s="271"/>
      <c r="CG30" s="271"/>
      <c r="CH30" s="271"/>
      <c r="CI30" s="271"/>
      <c r="CJ30" s="271"/>
      <c r="CK30" s="271"/>
      <c r="CL30" s="271"/>
      <c r="CM30" s="271"/>
      <c r="CN30" s="271"/>
      <c r="CO30" s="271"/>
      <c r="CP30" s="271"/>
      <c r="CQ30" s="271"/>
      <c r="CR30" s="271"/>
      <c r="CS30" s="271"/>
      <c r="CT30" s="271"/>
      <c r="CU30" s="271"/>
      <c r="CV30" s="271"/>
      <c r="CW30" s="271"/>
      <c r="CX30" s="271"/>
      <c r="CY30" s="271"/>
      <c r="CZ30" s="271"/>
      <c r="DA30" s="271"/>
      <c r="DB30" s="271"/>
      <c r="DC30" s="271"/>
      <c r="DD30" s="271"/>
      <c r="DE30" s="271"/>
      <c r="DF30" s="271"/>
      <c r="DG30" s="271"/>
      <c r="DH30" s="271"/>
      <c r="DI30" s="271"/>
      <c r="DJ30" s="271"/>
      <c r="DK30" s="271"/>
      <c r="DL30" s="271"/>
      <c r="DM30" s="271"/>
      <c r="DN30" s="271"/>
      <c r="DO30" s="271"/>
      <c r="DP30" s="271"/>
      <c r="DQ30" s="271"/>
      <c r="DR30" s="271"/>
      <c r="DS30" s="271"/>
      <c r="DT30" s="271"/>
      <c r="DU30" s="271"/>
      <c r="DV30" s="271"/>
      <c r="DW30" s="271"/>
      <c r="DX30" s="271"/>
      <c r="DY30" s="271"/>
      <c r="DZ30" s="271"/>
      <c r="EA30" s="271"/>
      <c r="EB30" s="271"/>
      <c r="EC30" s="271"/>
      <c r="ED30" s="271"/>
      <c r="EE30" s="271"/>
      <c r="EF30" s="271"/>
      <c r="EG30" s="271"/>
      <c r="EH30" s="271"/>
      <c r="EI30" s="271"/>
      <c r="EJ30" s="271"/>
      <c r="EK30" s="271"/>
      <c r="EL30" s="271"/>
      <c r="EM30" s="271"/>
      <c r="EN30" s="271"/>
      <c r="EO30" s="271"/>
      <c r="EP30" s="271"/>
      <c r="EQ30" s="271"/>
      <c r="ER30" s="271"/>
      <c r="ES30" s="271"/>
      <c r="ET30" s="271"/>
      <c r="EU30" s="271"/>
      <c r="EV30" s="271"/>
      <c r="EW30" s="271"/>
      <c r="EX30" s="271"/>
      <c r="EY30" s="271"/>
      <c r="EZ30" s="271"/>
      <c r="FA30" s="271"/>
      <c r="FB30" s="271"/>
      <c r="FC30" s="271"/>
      <c r="FD30" s="271"/>
      <c r="FE30" s="271"/>
      <c r="FF30" s="271"/>
      <c r="FG30" s="271"/>
      <c r="FH30" s="271"/>
      <c r="FI30" s="271"/>
      <c r="FJ30" s="271"/>
      <c r="FK30" s="271"/>
      <c r="FL30" s="271"/>
      <c r="FM30" s="271"/>
      <c r="FN30" s="271"/>
      <c r="FO30" s="271"/>
      <c r="FP30" s="271"/>
      <c r="FQ30" s="271"/>
      <c r="FR30" s="271"/>
      <c r="FS30" s="271"/>
      <c r="FT30" s="271"/>
      <c r="FU30" s="271"/>
      <c r="FV30" s="271"/>
      <c r="FW30" s="271"/>
      <c r="FX30" s="271"/>
      <c r="FY30" s="271"/>
      <c r="FZ30" s="271"/>
      <c r="GA30" s="271"/>
      <c r="GB30" s="271"/>
      <c r="GC30" s="271"/>
      <c r="GD30" s="271"/>
      <c r="GE30" s="271"/>
      <c r="GF30" s="271"/>
      <c r="GG30" s="271"/>
      <c r="GH30" s="271"/>
      <c r="GI30" s="271"/>
      <c r="GJ30" s="271"/>
      <c r="GK30" s="271"/>
      <c r="GL30" s="271"/>
      <c r="GM30" s="271"/>
      <c r="GN30" s="271"/>
      <c r="GO30" s="271"/>
      <c r="GP30" s="271"/>
      <c r="GQ30" s="271"/>
      <c r="GR30" s="271"/>
      <c r="GS30" s="271"/>
      <c r="GT30" s="271"/>
      <c r="GU30" s="271"/>
      <c r="GV30" s="271"/>
      <c r="GW30" s="271"/>
      <c r="GX30" s="271"/>
      <c r="GY30" s="271"/>
      <c r="GZ30" s="271"/>
      <c r="HA30" s="271"/>
      <c r="HB30" s="271"/>
      <c r="HC30" s="271"/>
      <c r="HD30" s="271"/>
      <c r="HE30" s="271"/>
      <c r="HF30" s="271"/>
      <c r="HG30" s="271"/>
      <c r="HH30" s="271"/>
      <c r="HI30" s="271"/>
      <c r="HJ30" s="271"/>
      <c r="HK30" s="271"/>
      <c r="HL30" s="271"/>
      <c r="HM30" s="271"/>
      <c r="HN30" s="271"/>
      <c r="HO30" s="271"/>
      <c r="HP30" s="271"/>
      <c r="HQ30" s="271"/>
      <c r="HR30" s="271"/>
      <c r="HS30" s="271"/>
      <c r="HT30" s="271"/>
      <c r="HU30" s="271"/>
      <c r="HV30" s="271"/>
      <c r="HW30" s="271"/>
      <c r="HX30" s="271"/>
      <c r="HY30" s="271"/>
      <c r="HZ30" s="271"/>
      <c r="IA30" s="271"/>
      <c r="IB30" s="271"/>
      <c r="IC30" s="271"/>
      <c r="ID30" s="271"/>
      <c r="IE30" s="271"/>
      <c r="IF30" s="271"/>
      <c r="IG30" s="271"/>
      <c r="IH30" s="271"/>
      <c r="II30" s="271"/>
      <c r="IJ30" s="271"/>
      <c r="IK30" s="271"/>
      <c r="IL30" s="271"/>
      <c r="IM30" s="271"/>
      <c r="IN30" s="271"/>
      <c r="IO30" s="271"/>
      <c r="IP30" s="271"/>
      <c r="IQ30" s="271"/>
      <c r="IR30" s="271"/>
      <c r="IS30" s="271"/>
      <c r="IT30" s="271"/>
    </row>
    <row r="31" spans="1:254" s="279" customFormat="1" ht="16.2">
      <c r="A31" s="280" t="s">
        <v>376</v>
      </c>
      <c r="B31" s="281">
        <v>0</v>
      </c>
      <c r="C31" s="281">
        <v>0</v>
      </c>
      <c r="D31" s="281">
        <v>0</v>
      </c>
      <c r="E31" s="281">
        <v>0</v>
      </c>
      <c r="F31" s="281">
        <v>0</v>
      </c>
      <c r="G31" s="281">
        <v>0</v>
      </c>
      <c r="H31" s="281">
        <v>0</v>
      </c>
      <c r="I31" s="281">
        <v>0</v>
      </c>
      <c r="J31" s="281">
        <v>0</v>
      </c>
      <c r="K31" s="281">
        <v>0</v>
      </c>
      <c r="L31" s="281">
        <v>0</v>
      </c>
      <c r="M31" s="281">
        <v>0</v>
      </c>
      <c r="N31" s="281">
        <v>0</v>
      </c>
      <c r="O31" s="281">
        <v>0</v>
      </c>
      <c r="P31" s="283">
        <v>0</v>
      </c>
      <c r="Q31" s="283">
        <v>-45.2</v>
      </c>
      <c r="R31" s="283">
        <v>-25.5</v>
      </c>
      <c r="S31" s="283">
        <v>-29.7</v>
      </c>
      <c r="T31" s="283">
        <v>-35.700000000000003</v>
      </c>
      <c r="U31" s="283">
        <v>-46</v>
      </c>
      <c r="V31" s="283">
        <v>-50.4</v>
      </c>
      <c r="W31" s="283">
        <v>-336.6</v>
      </c>
      <c r="X31" s="283">
        <v>-66.400000000000006</v>
      </c>
      <c r="Y31" s="283">
        <v>-73.599999999999994</v>
      </c>
      <c r="Z31" s="283">
        <v>-77</v>
      </c>
      <c r="AA31" s="283">
        <v>-57.7</v>
      </c>
      <c r="AB31" s="284">
        <v>-76.352833301624401</v>
      </c>
      <c r="AC31" s="285">
        <v>-66.099999999999994</v>
      </c>
      <c r="AD31" s="285">
        <v>-100.50973003828143</v>
      </c>
      <c r="AE31" s="285">
        <v>-99.498658511615204</v>
      </c>
      <c r="AF31" s="285">
        <v>-122.842830841389</v>
      </c>
      <c r="AG31" s="285">
        <v>-85.34922832657</v>
      </c>
      <c r="AH31" s="346">
        <f>-(AH4+AH5+AH9+AH27)*0.223</f>
        <v>-76.981896231000007</v>
      </c>
      <c r="AI31" s="285">
        <f>-(AI4+AI5+AI9+AI10+AI27)*0.223</f>
        <v>-84.094192000000007</v>
      </c>
      <c r="AJ31" s="285">
        <f>-(AJ4+AJ5+AJ9+AJ10+AJ27)*0.223</f>
        <v>-103.85257379362</v>
      </c>
      <c r="AK31" s="285">
        <f>-(AK4+AK5+AK9+AK10+AK27)*0.223</f>
        <v>-77.718258299588697</v>
      </c>
      <c r="AL31" s="285">
        <f>-(AL4+AL5+AL9+AL10+AL27)*0.223</f>
        <v>-72.627647443790963</v>
      </c>
      <c r="AM31" s="285">
        <f>-(AM4+AM5+AM9+AM10+AM27)*0.223</f>
        <v>-53.734971999999999</v>
      </c>
      <c r="AN31" s="285">
        <v>-70.129514034696797</v>
      </c>
      <c r="AO31" s="285">
        <v>-98.195331043509995</v>
      </c>
      <c r="AP31" s="285">
        <v>-95.507757760520008</v>
      </c>
      <c r="AQ31" s="285">
        <v>-90.560300000000012</v>
      </c>
      <c r="AR31" s="271"/>
      <c r="AS31" s="271"/>
      <c r="AT31" s="271"/>
      <c r="AU31" s="271"/>
      <c r="AV31" s="271"/>
      <c r="AW31" s="271"/>
      <c r="AX31" s="271"/>
      <c r="AY31" s="271"/>
      <c r="AZ31" s="271"/>
      <c r="BA31" s="271"/>
      <c r="BB31" s="271"/>
      <c r="BC31" s="271"/>
      <c r="BD31" s="271"/>
      <c r="BE31" s="271"/>
      <c r="BF31" s="271"/>
      <c r="BG31" s="271"/>
      <c r="BH31" s="271"/>
      <c r="BI31" s="271"/>
      <c r="BJ31" s="271"/>
      <c r="BK31" s="271"/>
      <c r="BL31" s="271"/>
      <c r="BM31" s="271"/>
      <c r="BN31" s="271"/>
      <c r="BO31" s="271"/>
      <c r="BP31" s="271"/>
      <c r="BQ31" s="271"/>
      <c r="BR31" s="271"/>
      <c r="BS31" s="271"/>
      <c r="BT31" s="271"/>
      <c r="BU31" s="271"/>
      <c r="BV31" s="271"/>
      <c r="BW31" s="271"/>
      <c r="BX31" s="271"/>
      <c r="BY31" s="271"/>
      <c r="BZ31" s="271"/>
      <c r="CA31" s="271"/>
      <c r="CB31" s="271"/>
      <c r="CC31" s="271"/>
      <c r="CD31" s="271"/>
      <c r="CE31" s="271"/>
      <c r="CF31" s="271"/>
      <c r="CG31" s="271"/>
      <c r="CH31" s="271"/>
      <c r="CI31" s="271"/>
      <c r="CJ31" s="271"/>
      <c r="CK31" s="271"/>
      <c r="CL31" s="271"/>
      <c r="CM31" s="271"/>
      <c r="CN31" s="271"/>
      <c r="CO31" s="271"/>
      <c r="CP31" s="271"/>
      <c r="CQ31" s="271"/>
      <c r="CR31" s="271"/>
      <c r="CS31" s="271"/>
      <c r="CT31" s="271"/>
      <c r="CU31" s="271"/>
      <c r="CV31" s="271"/>
      <c r="CW31" s="271"/>
      <c r="CX31" s="271"/>
      <c r="CY31" s="271"/>
      <c r="CZ31" s="271"/>
      <c r="DA31" s="271"/>
      <c r="DB31" s="271"/>
      <c r="DC31" s="271"/>
      <c r="DD31" s="271"/>
      <c r="DE31" s="271"/>
      <c r="DF31" s="271"/>
      <c r="DG31" s="271"/>
      <c r="DH31" s="271"/>
      <c r="DI31" s="271"/>
      <c r="DJ31" s="271"/>
      <c r="DK31" s="271"/>
      <c r="DL31" s="271"/>
      <c r="DM31" s="271"/>
      <c r="DN31" s="271"/>
      <c r="DO31" s="271"/>
      <c r="DP31" s="271"/>
      <c r="DQ31" s="271"/>
      <c r="DR31" s="271"/>
      <c r="DS31" s="271"/>
      <c r="DT31" s="271"/>
      <c r="DU31" s="271"/>
      <c r="DV31" s="271"/>
      <c r="DW31" s="271"/>
      <c r="DX31" s="271"/>
      <c r="DY31" s="271"/>
      <c r="DZ31" s="271"/>
      <c r="EA31" s="271"/>
      <c r="EB31" s="271"/>
      <c r="EC31" s="271"/>
      <c r="ED31" s="271"/>
      <c r="EE31" s="271"/>
      <c r="EF31" s="271"/>
      <c r="EG31" s="271"/>
      <c r="EH31" s="271"/>
      <c r="EI31" s="271"/>
      <c r="EJ31" s="271"/>
      <c r="EK31" s="271"/>
      <c r="EL31" s="271"/>
      <c r="EM31" s="271"/>
      <c r="EN31" s="271"/>
      <c r="EO31" s="271"/>
      <c r="EP31" s="271"/>
      <c r="EQ31" s="271"/>
      <c r="ER31" s="271"/>
      <c r="ES31" s="271"/>
      <c r="ET31" s="271"/>
      <c r="EU31" s="271"/>
      <c r="EV31" s="271"/>
      <c r="EW31" s="271"/>
      <c r="EX31" s="271"/>
      <c r="EY31" s="271"/>
      <c r="EZ31" s="271"/>
      <c r="FA31" s="271"/>
      <c r="FB31" s="271"/>
      <c r="FC31" s="271"/>
      <c r="FD31" s="271"/>
      <c r="FE31" s="271"/>
      <c r="FF31" s="271"/>
      <c r="FG31" s="271"/>
      <c r="FH31" s="271"/>
      <c r="FI31" s="271"/>
      <c r="FJ31" s="271"/>
      <c r="FK31" s="271"/>
      <c r="FL31" s="271"/>
      <c r="FM31" s="271"/>
      <c r="FN31" s="271"/>
      <c r="FO31" s="271"/>
      <c r="FP31" s="271"/>
      <c r="FQ31" s="271"/>
      <c r="FR31" s="271"/>
      <c r="FS31" s="271"/>
      <c r="FT31" s="271"/>
      <c r="FU31" s="271"/>
      <c r="FV31" s="271"/>
      <c r="FW31" s="271"/>
      <c r="FX31" s="271"/>
      <c r="FY31" s="271"/>
      <c r="FZ31" s="271"/>
      <c r="GA31" s="271"/>
      <c r="GB31" s="271"/>
      <c r="GC31" s="271"/>
      <c r="GD31" s="271"/>
      <c r="GE31" s="271"/>
      <c r="GF31" s="271"/>
      <c r="GG31" s="271"/>
      <c r="GH31" s="271"/>
      <c r="GI31" s="271"/>
      <c r="GJ31" s="271"/>
      <c r="GK31" s="271"/>
      <c r="GL31" s="271"/>
      <c r="GM31" s="271"/>
      <c r="GN31" s="271"/>
      <c r="GO31" s="271"/>
      <c r="GP31" s="271"/>
      <c r="GQ31" s="271"/>
      <c r="GR31" s="271"/>
      <c r="GS31" s="271"/>
      <c r="GT31" s="271"/>
      <c r="GU31" s="271"/>
      <c r="GV31" s="271"/>
      <c r="GW31" s="271"/>
      <c r="GX31" s="271"/>
      <c r="GY31" s="271"/>
      <c r="GZ31" s="271"/>
      <c r="HA31" s="271"/>
      <c r="HB31" s="271"/>
      <c r="HC31" s="271"/>
      <c r="HD31" s="271"/>
      <c r="HE31" s="271"/>
      <c r="HF31" s="271"/>
      <c r="HG31" s="271"/>
      <c r="HH31" s="271"/>
      <c r="HI31" s="271"/>
      <c r="HJ31" s="271"/>
      <c r="HK31" s="271"/>
      <c r="HL31" s="271"/>
      <c r="HM31" s="271"/>
      <c r="HN31" s="271"/>
      <c r="HO31" s="271"/>
      <c r="HP31" s="271"/>
      <c r="HQ31" s="271"/>
      <c r="HR31" s="271"/>
      <c r="HS31" s="271"/>
      <c r="HT31" s="271"/>
      <c r="HU31" s="271"/>
      <c r="HV31" s="271"/>
      <c r="HW31" s="271"/>
      <c r="HX31" s="271"/>
      <c r="HY31" s="271"/>
      <c r="HZ31" s="271"/>
      <c r="IA31" s="271"/>
      <c r="IB31" s="271"/>
      <c r="IC31" s="271"/>
      <c r="ID31" s="271"/>
      <c r="IE31" s="271"/>
      <c r="IF31" s="271"/>
      <c r="IG31" s="271"/>
      <c r="IH31" s="271"/>
      <c r="II31" s="271"/>
      <c r="IJ31" s="271"/>
      <c r="IK31" s="271"/>
      <c r="IL31" s="271"/>
      <c r="IM31" s="271"/>
      <c r="IN31" s="271"/>
      <c r="IO31" s="271"/>
      <c r="IP31" s="271"/>
      <c r="IQ31" s="271"/>
      <c r="IR31" s="271"/>
      <c r="IS31" s="271"/>
      <c r="IT31" s="271"/>
    </row>
    <row r="32" spans="1:254" s="279" customFormat="1" ht="16.8" thickBot="1">
      <c r="A32" s="288" t="s">
        <v>377</v>
      </c>
      <c r="B32" s="290">
        <v>0</v>
      </c>
      <c r="C32" s="290">
        <v>0</v>
      </c>
      <c r="D32" s="290">
        <v>0</v>
      </c>
      <c r="E32" s="290">
        <v>0</v>
      </c>
      <c r="F32" s="290">
        <v>0</v>
      </c>
      <c r="G32" s="290">
        <v>0</v>
      </c>
      <c r="H32" s="290">
        <v>0</v>
      </c>
      <c r="I32" s="290">
        <v>0</v>
      </c>
      <c r="J32" s="290">
        <v>0</v>
      </c>
      <c r="K32" s="290">
        <v>0</v>
      </c>
      <c r="L32" s="290">
        <v>0</v>
      </c>
      <c r="M32" s="290">
        <v>0</v>
      </c>
      <c r="N32" s="290">
        <v>0</v>
      </c>
      <c r="O32" s="290">
        <v>0</v>
      </c>
      <c r="P32" s="289">
        <v>0</v>
      </c>
      <c r="Q32" s="289">
        <v>0</v>
      </c>
      <c r="R32" s="289">
        <v>0</v>
      </c>
      <c r="S32" s="289">
        <v>0</v>
      </c>
      <c r="T32" s="289">
        <v>0</v>
      </c>
      <c r="U32" s="289">
        <v>0</v>
      </c>
      <c r="V32" s="289">
        <v>0</v>
      </c>
      <c r="W32" s="289">
        <v>-246.5</v>
      </c>
      <c r="X32" s="289">
        <v>0</v>
      </c>
      <c r="Y32" s="289">
        <v>-78.7</v>
      </c>
      <c r="Z32" s="289">
        <v>0</v>
      </c>
      <c r="AA32" s="289">
        <v>0</v>
      </c>
      <c r="AB32" s="347">
        <v>0</v>
      </c>
      <c r="AC32" s="347">
        <v>0</v>
      </c>
      <c r="AD32" s="347">
        <v>0</v>
      </c>
      <c r="AE32" s="347">
        <v>0</v>
      </c>
      <c r="AF32" s="347">
        <v>0</v>
      </c>
      <c r="AG32" s="347">
        <v>0</v>
      </c>
      <c r="AH32" s="348">
        <v>0</v>
      </c>
      <c r="AI32" s="347">
        <v>0</v>
      </c>
      <c r="AJ32" s="347">
        <v>0</v>
      </c>
      <c r="AK32" s="347">
        <v>0</v>
      </c>
      <c r="AL32" s="347">
        <v>0</v>
      </c>
      <c r="AM32" s="347">
        <v>0</v>
      </c>
      <c r="AN32" s="347">
        <v>0</v>
      </c>
      <c r="AO32" s="347">
        <v>0</v>
      </c>
      <c r="AP32" s="347">
        <v>0</v>
      </c>
      <c r="AQ32" s="347">
        <v>0</v>
      </c>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c r="BS32" s="271"/>
      <c r="BT32" s="271"/>
      <c r="BU32" s="271"/>
      <c r="BV32" s="271"/>
      <c r="BW32" s="271"/>
      <c r="BX32" s="271"/>
      <c r="BY32" s="271"/>
      <c r="BZ32" s="271"/>
      <c r="CA32" s="271"/>
      <c r="CB32" s="271"/>
      <c r="CC32" s="271"/>
      <c r="CD32" s="271"/>
      <c r="CE32" s="271"/>
      <c r="CF32" s="271"/>
      <c r="CG32" s="271"/>
      <c r="CH32" s="271"/>
      <c r="CI32" s="271"/>
      <c r="CJ32" s="271"/>
      <c r="CK32" s="271"/>
      <c r="CL32" s="271"/>
      <c r="CM32" s="271"/>
      <c r="CN32" s="271"/>
      <c r="CO32" s="271"/>
      <c r="CP32" s="271"/>
      <c r="CQ32" s="271"/>
      <c r="CR32" s="271"/>
      <c r="CS32" s="271"/>
      <c r="CT32" s="271"/>
      <c r="CU32" s="271"/>
      <c r="CV32" s="271"/>
      <c r="CW32" s="271"/>
      <c r="CX32" s="271"/>
      <c r="CY32" s="271"/>
      <c r="CZ32" s="271"/>
      <c r="DA32" s="271"/>
      <c r="DB32" s="271"/>
      <c r="DC32" s="271"/>
      <c r="DD32" s="271"/>
      <c r="DE32" s="271"/>
      <c r="DF32" s="271"/>
      <c r="DG32" s="271"/>
      <c r="DH32" s="271"/>
      <c r="DI32" s="271"/>
      <c r="DJ32" s="271"/>
      <c r="DK32" s="271"/>
      <c r="DL32" s="271"/>
      <c r="DM32" s="271"/>
      <c r="DN32" s="271"/>
      <c r="DO32" s="271"/>
      <c r="DP32" s="271"/>
      <c r="DQ32" s="271"/>
      <c r="DR32" s="271"/>
      <c r="DS32" s="271"/>
      <c r="DT32" s="271"/>
      <c r="DU32" s="271"/>
      <c r="DV32" s="271"/>
      <c r="DW32" s="271"/>
      <c r="DX32" s="271"/>
      <c r="DY32" s="271"/>
      <c r="DZ32" s="271"/>
      <c r="EA32" s="271"/>
      <c r="EB32" s="271"/>
      <c r="EC32" s="271"/>
      <c r="ED32" s="271"/>
      <c r="EE32" s="271"/>
      <c r="EF32" s="271"/>
      <c r="EG32" s="271"/>
      <c r="EH32" s="271"/>
      <c r="EI32" s="271"/>
      <c r="EJ32" s="271"/>
      <c r="EK32" s="271"/>
      <c r="EL32" s="271"/>
      <c r="EM32" s="271"/>
      <c r="EN32" s="271"/>
      <c r="EO32" s="271"/>
      <c r="EP32" s="271"/>
      <c r="EQ32" s="271"/>
      <c r="ER32" s="271"/>
      <c r="ES32" s="271"/>
      <c r="ET32" s="271"/>
      <c r="EU32" s="271"/>
      <c r="EV32" s="271"/>
      <c r="EW32" s="271"/>
      <c r="EX32" s="271"/>
      <c r="EY32" s="271"/>
      <c r="EZ32" s="271"/>
      <c r="FA32" s="271"/>
      <c r="FB32" s="271"/>
      <c r="FC32" s="271"/>
      <c r="FD32" s="271"/>
      <c r="FE32" s="271"/>
      <c r="FF32" s="271"/>
      <c r="FG32" s="271"/>
      <c r="FH32" s="271"/>
      <c r="FI32" s="271"/>
      <c r="FJ32" s="271"/>
      <c r="FK32" s="271"/>
      <c r="FL32" s="271"/>
      <c r="FM32" s="271"/>
      <c r="FN32" s="271"/>
      <c r="FO32" s="271"/>
      <c r="FP32" s="271"/>
      <c r="FQ32" s="271"/>
      <c r="FR32" s="271"/>
      <c r="FS32" s="271"/>
      <c r="FT32" s="271"/>
      <c r="FU32" s="271"/>
      <c r="FV32" s="271"/>
      <c r="FW32" s="271"/>
      <c r="FX32" s="271"/>
      <c r="FY32" s="271"/>
      <c r="FZ32" s="271"/>
      <c r="GA32" s="271"/>
      <c r="GB32" s="271"/>
      <c r="GC32" s="271"/>
      <c r="GD32" s="271"/>
      <c r="GE32" s="271"/>
      <c r="GF32" s="271"/>
      <c r="GG32" s="271"/>
      <c r="GH32" s="271"/>
      <c r="GI32" s="271"/>
      <c r="GJ32" s="271"/>
      <c r="GK32" s="271"/>
      <c r="GL32" s="271"/>
      <c r="GM32" s="271"/>
      <c r="GN32" s="271"/>
      <c r="GO32" s="271"/>
      <c r="GP32" s="271"/>
      <c r="GQ32" s="271"/>
      <c r="GR32" s="271"/>
      <c r="GS32" s="271"/>
      <c r="GT32" s="271"/>
      <c r="GU32" s="271"/>
      <c r="GV32" s="271"/>
      <c r="GW32" s="271"/>
      <c r="GX32" s="271"/>
      <c r="GY32" s="271"/>
      <c r="GZ32" s="271"/>
      <c r="HA32" s="271"/>
      <c r="HB32" s="271"/>
      <c r="HC32" s="271"/>
      <c r="HD32" s="271"/>
      <c r="HE32" s="271"/>
      <c r="HF32" s="271"/>
      <c r="HG32" s="271"/>
      <c r="HH32" s="271"/>
      <c r="HI32" s="271"/>
      <c r="HJ32" s="271"/>
      <c r="HK32" s="271"/>
      <c r="HL32" s="271"/>
      <c r="HM32" s="271"/>
      <c r="HN32" s="271"/>
      <c r="HO32" s="271"/>
      <c r="HP32" s="271"/>
      <c r="HQ32" s="271"/>
      <c r="HR32" s="271"/>
      <c r="HS32" s="271"/>
      <c r="HT32" s="271"/>
      <c r="HU32" s="271"/>
      <c r="HV32" s="271"/>
      <c r="HW32" s="271"/>
      <c r="HX32" s="271"/>
      <c r="HY32" s="271"/>
      <c r="HZ32" s="271"/>
      <c r="IA32" s="271"/>
      <c r="IB32" s="271"/>
      <c r="IC32" s="271"/>
      <c r="ID32" s="271"/>
      <c r="IE32" s="271"/>
      <c r="IF32" s="271"/>
      <c r="IG32" s="271"/>
      <c r="IH32" s="271"/>
      <c r="II32" s="271"/>
      <c r="IJ32" s="271"/>
      <c r="IK32" s="271"/>
      <c r="IL32" s="271"/>
      <c r="IM32" s="271"/>
      <c r="IN32" s="271"/>
      <c r="IO32" s="271"/>
      <c r="IP32" s="271"/>
      <c r="IQ32" s="271"/>
      <c r="IR32" s="271"/>
      <c r="IS32" s="271"/>
      <c r="IT32" s="271"/>
    </row>
    <row r="33" spans="1:254" s="299" customFormat="1" ht="17.399999999999999" thickBot="1">
      <c r="A33" s="349" t="s">
        <v>378</v>
      </c>
      <c r="B33" s="296">
        <f t="shared" ref="B33:AH33" si="7">SUM(B31:B32)</f>
        <v>0</v>
      </c>
      <c r="C33" s="296">
        <f t="shared" si="7"/>
        <v>0</v>
      </c>
      <c r="D33" s="296">
        <f t="shared" si="7"/>
        <v>0</v>
      </c>
      <c r="E33" s="296">
        <f t="shared" si="7"/>
        <v>0</v>
      </c>
      <c r="F33" s="296">
        <f t="shared" si="7"/>
        <v>0</v>
      </c>
      <c r="G33" s="296">
        <f t="shared" si="7"/>
        <v>0</v>
      </c>
      <c r="H33" s="296">
        <f t="shared" si="7"/>
        <v>0</v>
      </c>
      <c r="I33" s="296">
        <f t="shared" si="7"/>
        <v>0</v>
      </c>
      <c r="J33" s="296">
        <f t="shared" si="7"/>
        <v>0</v>
      </c>
      <c r="K33" s="296">
        <f t="shared" si="7"/>
        <v>0</v>
      </c>
      <c r="L33" s="296">
        <f t="shared" si="7"/>
        <v>0</v>
      </c>
      <c r="M33" s="296">
        <f t="shared" si="7"/>
        <v>0</v>
      </c>
      <c r="N33" s="296">
        <f t="shared" si="7"/>
        <v>0</v>
      </c>
      <c r="O33" s="296">
        <f t="shared" si="7"/>
        <v>0</v>
      </c>
      <c r="P33" s="296">
        <f t="shared" si="7"/>
        <v>0</v>
      </c>
      <c r="Q33" s="296">
        <f t="shared" si="7"/>
        <v>-45.2</v>
      </c>
      <c r="R33" s="296">
        <f t="shared" si="7"/>
        <v>-25.5</v>
      </c>
      <c r="S33" s="296">
        <f t="shared" si="7"/>
        <v>-29.7</v>
      </c>
      <c r="T33" s="296">
        <f t="shared" si="7"/>
        <v>-35.700000000000003</v>
      </c>
      <c r="U33" s="296">
        <f t="shared" si="7"/>
        <v>-46</v>
      </c>
      <c r="V33" s="296">
        <f t="shared" si="7"/>
        <v>-50.4</v>
      </c>
      <c r="W33" s="296">
        <f t="shared" si="7"/>
        <v>-583.1</v>
      </c>
      <c r="X33" s="296">
        <f t="shared" si="7"/>
        <v>-66.400000000000006</v>
      </c>
      <c r="Y33" s="296">
        <f t="shared" si="7"/>
        <v>-152.30000000000001</v>
      </c>
      <c r="Z33" s="296">
        <f t="shared" si="7"/>
        <v>-77</v>
      </c>
      <c r="AA33" s="296">
        <f t="shared" si="7"/>
        <v>-57.7</v>
      </c>
      <c r="AB33" s="350">
        <f t="shared" si="7"/>
        <v>-76.352833301624401</v>
      </c>
      <c r="AC33" s="351">
        <f t="shared" si="7"/>
        <v>-66.099999999999994</v>
      </c>
      <c r="AD33" s="351">
        <f t="shared" si="7"/>
        <v>-100.50973003828143</v>
      </c>
      <c r="AE33" s="351">
        <f t="shared" si="7"/>
        <v>-99.498658511615204</v>
      </c>
      <c r="AF33" s="351">
        <f t="shared" si="7"/>
        <v>-122.842830841389</v>
      </c>
      <c r="AG33" s="297">
        <f>SUM(AG31:AG32)</f>
        <v>-85.34922832657</v>
      </c>
      <c r="AH33" s="298">
        <f t="shared" si="7"/>
        <v>-76.981896231000007</v>
      </c>
      <c r="AI33" s="297">
        <f>SUM(AI31:AI32)</f>
        <v>-84.094192000000007</v>
      </c>
      <c r="AJ33" s="297">
        <f>SUM(AJ31:AJ32)</f>
        <v>-103.85257379362</v>
      </c>
      <c r="AK33" s="297">
        <f>SUM(AK31:AK32)</f>
        <v>-77.718258299588697</v>
      </c>
      <c r="AL33" s="297">
        <f>SUM(AL31:AL32)</f>
        <v>-72.627647443790963</v>
      </c>
      <c r="AM33" s="297">
        <f>SUM(AM31:AM32)</f>
        <v>-53.734971999999999</v>
      </c>
      <c r="AN33" s="297">
        <v>-70.129514034696797</v>
      </c>
      <c r="AO33" s="297">
        <v>-98.195331043509995</v>
      </c>
      <c r="AP33" s="297">
        <v>-95.507757760520008</v>
      </c>
      <c r="AQ33" s="297">
        <v>-90.560300000000012</v>
      </c>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1"/>
      <c r="BQ33" s="271"/>
      <c r="BR33" s="271"/>
      <c r="BS33" s="271"/>
      <c r="BT33" s="271"/>
      <c r="BU33" s="271"/>
      <c r="BV33" s="271"/>
      <c r="BW33" s="271"/>
      <c r="BX33" s="271"/>
      <c r="BY33" s="271"/>
      <c r="BZ33" s="271"/>
      <c r="CA33" s="271"/>
      <c r="CB33" s="271"/>
      <c r="CC33" s="271"/>
      <c r="CD33" s="271"/>
      <c r="CE33" s="271"/>
      <c r="CF33" s="271"/>
      <c r="CG33" s="271"/>
      <c r="CH33" s="271"/>
      <c r="CI33" s="271"/>
      <c r="CJ33" s="271"/>
      <c r="CK33" s="271"/>
      <c r="CL33" s="271"/>
      <c r="CM33" s="271"/>
      <c r="CN33" s="271"/>
      <c r="CO33" s="271"/>
      <c r="CP33" s="271"/>
      <c r="CQ33" s="271"/>
      <c r="CR33" s="271"/>
      <c r="CS33" s="271"/>
      <c r="CT33" s="271"/>
      <c r="CU33" s="271"/>
      <c r="CV33" s="271"/>
      <c r="CW33" s="271"/>
      <c r="CX33" s="271"/>
      <c r="CY33" s="271"/>
      <c r="CZ33" s="271"/>
      <c r="DA33" s="271"/>
      <c r="DB33" s="271"/>
      <c r="DC33" s="271"/>
      <c r="DD33" s="271"/>
      <c r="DE33" s="271"/>
      <c r="DF33" s="271"/>
      <c r="DG33" s="271"/>
      <c r="DH33" s="271"/>
      <c r="DI33" s="271"/>
      <c r="DJ33" s="271"/>
      <c r="DK33" s="271"/>
      <c r="DL33" s="271"/>
      <c r="DM33" s="271"/>
      <c r="DN33" s="271"/>
      <c r="DO33" s="271"/>
      <c r="DP33" s="271"/>
      <c r="DQ33" s="271"/>
      <c r="DR33" s="271"/>
      <c r="DS33" s="271"/>
      <c r="DT33" s="271"/>
      <c r="DU33" s="271"/>
      <c r="DV33" s="271"/>
      <c r="DW33" s="271"/>
      <c r="DX33" s="271"/>
      <c r="DY33" s="271"/>
      <c r="DZ33" s="271"/>
      <c r="EA33" s="271"/>
      <c r="EB33" s="271"/>
      <c r="EC33" s="271"/>
      <c r="ED33" s="271"/>
      <c r="EE33" s="271"/>
      <c r="EF33" s="271"/>
      <c r="EG33" s="271"/>
      <c r="EH33" s="271"/>
      <c r="EI33" s="271"/>
      <c r="EJ33" s="271"/>
      <c r="EK33" s="271"/>
      <c r="EL33" s="271"/>
      <c r="EM33" s="271"/>
      <c r="EN33" s="271"/>
      <c r="EO33" s="271"/>
      <c r="EP33" s="271"/>
      <c r="EQ33" s="271"/>
      <c r="ER33" s="271"/>
      <c r="ES33" s="271"/>
      <c r="ET33" s="271"/>
      <c r="EU33" s="271"/>
      <c r="EV33" s="271"/>
      <c r="EW33" s="271"/>
      <c r="EX33" s="271"/>
      <c r="EY33" s="271"/>
      <c r="EZ33" s="271"/>
      <c r="FA33" s="271"/>
      <c r="FB33" s="271"/>
      <c r="FC33" s="271"/>
      <c r="FD33" s="271"/>
      <c r="FE33" s="271"/>
      <c r="FF33" s="271"/>
      <c r="FG33" s="271"/>
      <c r="FH33" s="271"/>
      <c r="FI33" s="271"/>
      <c r="FJ33" s="271"/>
      <c r="FK33" s="271"/>
      <c r="FL33" s="271"/>
      <c r="FM33" s="271"/>
      <c r="FN33" s="271"/>
      <c r="FO33" s="271"/>
      <c r="FP33" s="271"/>
      <c r="FQ33" s="271"/>
      <c r="FR33" s="271"/>
      <c r="FS33" s="271"/>
      <c r="FT33" s="271"/>
      <c r="FU33" s="271"/>
      <c r="FV33" s="271"/>
      <c r="FW33" s="271"/>
      <c r="FX33" s="271"/>
      <c r="FY33" s="271"/>
      <c r="FZ33" s="271"/>
      <c r="GA33" s="271"/>
      <c r="GB33" s="271"/>
      <c r="GC33" s="271"/>
      <c r="GD33" s="271"/>
      <c r="GE33" s="271"/>
      <c r="GF33" s="271"/>
      <c r="GG33" s="271"/>
      <c r="GH33" s="271"/>
      <c r="GI33" s="271"/>
      <c r="GJ33" s="271"/>
      <c r="GK33" s="271"/>
      <c r="GL33" s="271"/>
      <c r="GM33" s="271"/>
      <c r="GN33" s="271"/>
      <c r="GO33" s="271"/>
      <c r="GP33" s="271"/>
      <c r="GQ33" s="271"/>
      <c r="GR33" s="271"/>
      <c r="GS33" s="271"/>
      <c r="GT33" s="271"/>
      <c r="GU33" s="271"/>
      <c r="GV33" s="271"/>
      <c r="GW33" s="271"/>
      <c r="GX33" s="271"/>
      <c r="GY33" s="271"/>
      <c r="GZ33" s="271"/>
      <c r="HA33" s="271"/>
      <c r="HB33" s="271"/>
      <c r="HC33" s="271"/>
      <c r="HD33" s="271"/>
      <c r="HE33" s="271"/>
      <c r="HF33" s="271"/>
      <c r="HG33" s="271"/>
      <c r="HH33" s="271"/>
      <c r="HI33" s="271"/>
      <c r="HJ33" s="271"/>
      <c r="HK33" s="271"/>
      <c r="HL33" s="271"/>
      <c r="HM33" s="271"/>
      <c r="HN33" s="271"/>
      <c r="HO33" s="271"/>
      <c r="HP33" s="271"/>
      <c r="HQ33" s="271"/>
      <c r="HR33" s="271"/>
      <c r="HS33" s="271"/>
      <c r="HT33" s="271"/>
      <c r="HU33" s="271"/>
      <c r="HV33" s="271"/>
      <c r="HW33" s="271"/>
      <c r="HX33" s="271"/>
      <c r="HY33" s="271"/>
      <c r="HZ33" s="271"/>
      <c r="IA33" s="271"/>
      <c r="IB33" s="271"/>
      <c r="IC33" s="271"/>
      <c r="ID33" s="271"/>
      <c r="IE33" s="271"/>
      <c r="IF33" s="271"/>
      <c r="IG33" s="271"/>
      <c r="IH33" s="271"/>
      <c r="II33" s="271"/>
      <c r="IJ33" s="271"/>
      <c r="IK33" s="271"/>
      <c r="IL33" s="271"/>
      <c r="IM33" s="271"/>
      <c r="IN33" s="271"/>
      <c r="IO33" s="271"/>
      <c r="IP33" s="271"/>
      <c r="IQ33" s="271"/>
      <c r="IR33" s="271"/>
      <c r="IS33" s="271"/>
      <c r="IT33" s="271"/>
    </row>
    <row r="34" spans="1:254" s="279" customFormat="1" ht="16.2">
      <c r="A34" s="403" t="s">
        <v>379</v>
      </c>
      <c r="B34" s="403"/>
      <c r="C34" s="403"/>
      <c r="D34" s="403"/>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271"/>
      <c r="AR34" s="271"/>
      <c r="AS34" s="271"/>
      <c r="AT34" s="271"/>
      <c r="AU34" s="271"/>
      <c r="AV34" s="271"/>
      <c r="AW34" s="271"/>
      <c r="AX34" s="271"/>
      <c r="AY34" s="271"/>
      <c r="AZ34" s="271"/>
      <c r="BA34" s="271"/>
      <c r="BB34" s="271"/>
      <c r="BC34" s="271"/>
      <c r="BD34" s="271"/>
      <c r="BE34" s="271"/>
      <c r="BF34" s="271"/>
      <c r="BG34" s="271"/>
      <c r="BH34" s="271"/>
      <c r="BI34" s="271"/>
      <c r="BJ34" s="271"/>
      <c r="BK34" s="271"/>
      <c r="BL34" s="271"/>
      <c r="BM34" s="271"/>
      <c r="BN34" s="271"/>
      <c r="BO34" s="271"/>
      <c r="BP34" s="271"/>
      <c r="BQ34" s="271"/>
      <c r="BR34" s="271"/>
      <c r="BS34" s="271"/>
      <c r="BT34" s="271"/>
      <c r="BU34" s="271"/>
      <c r="BV34" s="271"/>
      <c r="BW34" s="271"/>
      <c r="BX34" s="271"/>
      <c r="BY34" s="271"/>
      <c r="BZ34" s="271"/>
      <c r="CA34" s="271"/>
      <c r="CB34" s="271"/>
      <c r="CC34" s="271"/>
      <c r="CD34" s="271"/>
      <c r="CE34" s="271"/>
      <c r="CF34" s="271"/>
      <c r="CG34" s="271"/>
      <c r="CH34" s="271"/>
      <c r="CI34" s="271"/>
      <c r="CJ34" s="271"/>
      <c r="CK34" s="271"/>
      <c r="CL34" s="271"/>
      <c r="CM34" s="271"/>
      <c r="CN34" s="271"/>
      <c r="CO34" s="271"/>
      <c r="CP34" s="271"/>
      <c r="CQ34" s="271"/>
      <c r="CR34" s="271"/>
      <c r="CS34" s="271"/>
      <c r="CT34" s="271"/>
      <c r="CU34" s="271"/>
      <c r="CV34" s="271"/>
      <c r="CW34" s="271"/>
      <c r="CX34" s="271"/>
      <c r="CY34" s="271"/>
      <c r="CZ34" s="271"/>
      <c r="DA34" s="271"/>
      <c r="DB34" s="271"/>
      <c r="DC34" s="271"/>
      <c r="DD34" s="271"/>
      <c r="DE34" s="271"/>
      <c r="DF34" s="271"/>
      <c r="DG34" s="271"/>
      <c r="DH34" s="271"/>
      <c r="DI34" s="271"/>
      <c r="DJ34" s="271"/>
      <c r="DK34" s="271"/>
      <c r="DL34" s="271"/>
      <c r="DM34" s="271"/>
      <c r="DN34" s="271"/>
      <c r="DO34" s="271"/>
      <c r="DP34" s="271"/>
      <c r="DQ34" s="271"/>
      <c r="DR34" s="271"/>
      <c r="DS34" s="271"/>
      <c r="DT34" s="271"/>
      <c r="DU34" s="271"/>
      <c r="DV34" s="271"/>
      <c r="DW34" s="271"/>
      <c r="DX34" s="271"/>
      <c r="DY34" s="271"/>
      <c r="DZ34" s="271"/>
      <c r="EA34" s="271"/>
      <c r="EB34" s="271"/>
      <c r="EC34" s="271"/>
      <c r="ED34" s="271"/>
      <c r="EE34" s="271"/>
      <c r="EF34" s="271"/>
      <c r="EG34" s="271"/>
      <c r="EH34" s="271"/>
      <c r="EI34" s="271"/>
      <c r="EJ34" s="271"/>
      <c r="EK34" s="271"/>
      <c r="EL34" s="271"/>
      <c r="EM34" s="271"/>
      <c r="EN34" s="271"/>
      <c r="EO34" s="271"/>
      <c r="EP34" s="271"/>
      <c r="EQ34" s="271"/>
      <c r="ER34" s="271"/>
      <c r="ES34" s="271"/>
      <c r="ET34" s="271"/>
      <c r="EU34" s="271"/>
      <c r="EV34" s="271"/>
      <c r="EW34" s="271"/>
      <c r="EX34" s="271"/>
      <c r="EY34" s="271"/>
      <c r="EZ34" s="271"/>
      <c r="FA34" s="271"/>
      <c r="FB34" s="271"/>
      <c r="FC34" s="271"/>
      <c r="FD34" s="271"/>
      <c r="FE34" s="271"/>
      <c r="FF34" s="271"/>
      <c r="FG34" s="271"/>
      <c r="FH34" s="271"/>
      <c r="FI34" s="271"/>
      <c r="FJ34" s="271"/>
      <c r="FK34" s="271"/>
      <c r="FL34" s="271"/>
      <c r="FM34" s="271"/>
      <c r="FN34" s="271"/>
      <c r="FO34" s="271"/>
      <c r="FP34" s="271"/>
      <c r="FQ34" s="271"/>
      <c r="FR34" s="271"/>
      <c r="FS34" s="271"/>
      <c r="FT34" s="271"/>
      <c r="FU34" s="271"/>
      <c r="FV34" s="271"/>
      <c r="FW34" s="271"/>
      <c r="FX34" s="271"/>
      <c r="FY34" s="271"/>
      <c r="FZ34" s="271"/>
      <c r="GA34" s="271"/>
      <c r="GB34" s="271"/>
      <c r="GC34" s="271"/>
      <c r="GD34" s="271"/>
      <c r="GE34" s="271"/>
      <c r="GF34" s="271"/>
      <c r="GG34" s="271"/>
      <c r="GH34" s="271"/>
      <c r="GI34" s="271"/>
      <c r="GJ34" s="271"/>
      <c r="GK34" s="271"/>
      <c r="GL34" s="271"/>
      <c r="GM34" s="271"/>
      <c r="GN34" s="271"/>
      <c r="GO34" s="271"/>
      <c r="GP34" s="271"/>
      <c r="GQ34" s="271"/>
      <c r="GR34" s="271"/>
      <c r="GS34" s="271"/>
      <c r="GT34" s="271"/>
      <c r="GU34" s="271"/>
      <c r="GV34" s="271"/>
      <c r="GW34" s="271"/>
      <c r="GX34" s="271"/>
      <c r="GY34" s="271"/>
      <c r="GZ34" s="271"/>
      <c r="HA34" s="271"/>
      <c r="HB34" s="271"/>
      <c r="HC34" s="271"/>
      <c r="HD34" s="271"/>
      <c r="HE34" s="271"/>
      <c r="HF34" s="271"/>
      <c r="HG34" s="271"/>
      <c r="HH34" s="271"/>
      <c r="HI34" s="271"/>
      <c r="HJ34" s="271"/>
      <c r="HK34" s="271"/>
      <c r="HL34" s="271"/>
      <c r="HM34" s="271"/>
      <c r="HN34" s="271"/>
      <c r="HO34" s="271"/>
      <c r="HP34" s="271"/>
      <c r="HQ34" s="271"/>
      <c r="HR34" s="271"/>
      <c r="HS34" s="271"/>
      <c r="HT34" s="271"/>
      <c r="HU34" s="271"/>
      <c r="HV34" s="271"/>
      <c r="HW34" s="271"/>
      <c r="HX34" s="271"/>
      <c r="HY34" s="271"/>
      <c r="HZ34" s="271"/>
      <c r="IA34" s="271"/>
      <c r="IB34" s="271"/>
      <c r="IC34" s="271"/>
      <c r="ID34" s="271"/>
      <c r="IE34" s="271"/>
      <c r="IF34" s="271"/>
      <c r="IG34" s="271"/>
      <c r="IH34" s="271"/>
      <c r="II34" s="271"/>
      <c r="IJ34" s="271"/>
      <c r="IK34" s="271"/>
      <c r="IL34" s="271"/>
      <c r="IM34" s="271"/>
      <c r="IN34" s="271"/>
      <c r="IO34" s="271"/>
      <c r="IP34" s="271"/>
      <c r="IQ34" s="271"/>
      <c r="IR34" s="271"/>
      <c r="IS34" s="271"/>
      <c r="IT34" s="271"/>
    </row>
    <row r="35" spans="1:254" s="279" customFormat="1" ht="16.2">
      <c r="A35" s="404" t="s">
        <v>217</v>
      </c>
      <c r="B35" s="404"/>
      <c r="C35" s="404"/>
      <c r="D35" s="404"/>
      <c r="E35" s="404"/>
      <c r="F35" s="404"/>
      <c r="G35" s="404"/>
      <c r="H35" s="404"/>
      <c r="I35" s="404"/>
      <c r="J35" s="404"/>
      <c r="K35" s="404"/>
      <c r="L35" s="404"/>
      <c r="M35" s="404"/>
      <c r="N35" s="404"/>
      <c r="O35" s="404"/>
      <c r="P35" s="404"/>
      <c r="Q35" s="404"/>
      <c r="R35" s="404"/>
      <c r="S35" s="404"/>
      <c r="T35" s="404"/>
      <c r="U35" s="404"/>
      <c r="V35" s="404"/>
      <c r="W35" s="404"/>
      <c r="X35" s="404"/>
      <c r="Y35" s="404"/>
      <c r="Z35" s="404"/>
      <c r="AA35" s="404"/>
      <c r="AB35" s="404"/>
      <c r="AC35" s="404"/>
      <c r="AD35" s="404"/>
      <c r="AE35" s="404"/>
      <c r="AF35" s="404"/>
      <c r="AG35" s="404"/>
      <c r="AH35" s="404"/>
      <c r="AI35" s="404"/>
      <c r="AJ35" s="404"/>
      <c r="AK35" s="404"/>
      <c r="AL35" s="404"/>
      <c r="AM35" s="404"/>
      <c r="AN35" s="404"/>
      <c r="AO35" s="404"/>
      <c r="AP35" s="404"/>
    </row>
    <row r="36" spans="1:254" s="279" customFormat="1" ht="16.2">
      <c r="A36" s="405" t="s">
        <v>218</v>
      </c>
      <c r="B36" s="405"/>
      <c r="C36" s="405"/>
      <c r="D36" s="405"/>
      <c r="E36" s="405"/>
      <c r="F36" s="405"/>
      <c r="G36" s="405"/>
      <c r="H36" s="405"/>
      <c r="I36" s="405"/>
      <c r="J36" s="405"/>
      <c r="K36" s="405"/>
      <c r="L36" s="405"/>
      <c r="M36" s="405"/>
      <c r="N36" s="405"/>
      <c r="O36" s="405"/>
      <c r="P36" s="405"/>
      <c r="Q36" s="405"/>
      <c r="R36" s="405"/>
      <c r="S36" s="405"/>
      <c r="T36" s="405"/>
      <c r="U36" s="405"/>
      <c r="V36" s="405"/>
      <c r="W36" s="405"/>
      <c r="X36" s="405"/>
      <c r="Y36" s="405"/>
      <c r="Z36" s="405"/>
      <c r="AA36" s="405"/>
      <c r="AB36" s="405"/>
      <c r="AC36" s="405"/>
      <c r="AD36" s="405"/>
      <c r="AE36" s="405"/>
      <c r="AF36" s="405"/>
      <c r="AG36" s="405"/>
      <c r="AH36" s="405"/>
      <c r="AI36" s="405"/>
      <c r="AJ36" s="405"/>
      <c r="AK36" s="405"/>
      <c r="AL36" s="405"/>
      <c r="AM36" s="405"/>
      <c r="AN36" s="405"/>
      <c r="AO36" s="405"/>
      <c r="AP36" s="405"/>
    </row>
    <row r="37" spans="1:254" s="279" customFormat="1" ht="16.2">
      <c r="A37" s="404" t="s">
        <v>431</v>
      </c>
      <c r="B37" s="404"/>
      <c r="C37" s="404"/>
      <c r="D37" s="404"/>
      <c r="E37" s="404"/>
      <c r="F37" s="404"/>
      <c r="G37" s="404"/>
      <c r="H37" s="404"/>
      <c r="I37" s="404"/>
      <c r="J37" s="404"/>
      <c r="K37" s="404"/>
      <c r="L37" s="404"/>
      <c r="M37" s="404"/>
      <c r="N37" s="404"/>
      <c r="O37" s="404"/>
      <c r="P37" s="404"/>
      <c r="Q37" s="404"/>
      <c r="R37" s="404"/>
      <c r="S37" s="404"/>
      <c r="T37" s="404"/>
      <c r="U37" s="404"/>
      <c r="V37" s="404"/>
      <c r="W37" s="404"/>
      <c r="X37" s="404"/>
      <c r="Y37" s="404"/>
      <c r="Z37" s="404"/>
      <c r="AA37" s="404"/>
      <c r="AB37" s="404"/>
      <c r="AC37" s="404"/>
      <c r="AD37" s="404"/>
      <c r="AE37" s="404"/>
      <c r="AF37" s="404"/>
      <c r="AG37" s="404"/>
      <c r="AH37" s="404"/>
      <c r="AI37" s="404"/>
      <c r="AJ37" s="404"/>
      <c r="AK37" s="404"/>
      <c r="AL37" s="404"/>
      <c r="AM37" s="404"/>
      <c r="AN37" s="404"/>
      <c r="AO37" s="404"/>
      <c r="AP37" s="404"/>
    </row>
    <row r="38" spans="1:254" ht="19.5" customHeight="1">
      <c r="A38" s="400" t="s">
        <v>219</v>
      </c>
      <c r="B38" s="400"/>
      <c r="C38" s="400"/>
      <c r="D38" s="400"/>
      <c r="E38" s="400"/>
      <c r="F38" s="400"/>
      <c r="G38" s="400"/>
      <c r="H38" s="400"/>
      <c r="I38" s="400"/>
      <c r="J38" s="400"/>
      <c r="K38" s="400"/>
      <c r="L38" s="400"/>
      <c r="M38" s="400"/>
      <c r="N38" s="400"/>
      <c r="O38" s="400"/>
      <c r="P38" s="400"/>
      <c r="Q38" s="400"/>
      <c r="R38" s="400"/>
      <c r="S38" s="400"/>
      <c r="T38" s="400"/>
      <c r="U38" s="400"/>
      <c r="V38" s="400"/>
      <c r="W38" s="400"/>
      <c r="X38" s="400"/>
      <c r="Y38" s="400"/>
      <c r="Z38" s="400"/>
      <c r="AA38" s="400"/>
      <c r="AB38" s="400"/>
      <c r="AC38" s="400"/>
      <c r="AD38" s="400"/>
      <c r="AE38" s="400"/>
      <c r="AF38" s="400"/>
      <c r="AG38" s="400"/>
      <c r="AH38" s="400"/>
      <c r="AI38" s="400"/>
      <c r="AJ38" s="400"/>
      <c r="AK38" s="400"/>
      <c r="AL38" s="400"/>
      <c r="AM38" s="400"/>
      <c r="AN38" s="400"/>
      <c r="AO38" s="400"/>
      <c r="AP38" s="400"/>
    </row>
    <row r="39" spans="1:254" ht="15" customHeight="1">
      <c r="A39" s="264"/>
      <c r="B39" s="264"/>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row>
    <row r="40" spans="1:254" ht="15" customHeight="1">
      <c r="A40" s="264"/>
      <c r="B40" s="264"/>
      <c r="C40" s="264"/>
      <c r="D40" s="264"/>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row>
    <row r="41" spans="1:254" ht="15" customHeight="1">
      <c r="A41" s="264"/>
      <c r="B41" s="264"/>
      <c r="C41" s="264"/>
      <c r="D41" s="264"/>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row>
    <row r="42" spans="1:254" ht="15" customHeight="1">
      <c r="A42" s="264"/>
      <c r="B42" s="264"/>
      <c r="C42" s="264"/>
      <c r="D42" s="264"/>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row>
    <row r="43" spans="1:254" ht="15" customHeight="1">
      <c r="A43" s="264"/>
      <c r="B43" s="264"/>
      <c r="C43" s="264"/>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row>
    <row r="44" spans="1:254" ht="15" customHeight="1">
      <c r="A44" s="264"/>
      <c r="B44" s="264"/>
      <c r="C44" s="264"/>
      <c r="D44" s="264"/>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row>
    <row r="45" spans="1:254" ht="15" customHeight="1">
      <c r="A45" s="264"/>
      <c r="B45" s="264"/>
      <c r="C45" s="264"/>
      <c r="D45" s="264"/>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row>
    <row r="46" spans="1:254" ht="15" customHeight="1">
      <c r="A46" s="264"/>
      <c r="B46" s="264"/>
      <c r="C46" s="264"/>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row>
    <row r="47" spans="1:254">
      <c r="AD47" s="263"/>
    </row>
    <row r="48" spans="1:254">
      <c r="AD48" s="263"/>
    </row>
    <row r="49" spans="30:30">
      <c r="AD49" s="263"/>
    </row>
    <row r="50" spans="30:30">
      <c r="AD50" s="263"/>
    </row>
    <row r="51" spans="30:30">
      <c r="AD51" s="263"/>
    </row>
    <row r="52" spans="30:30">
      <c r="AD52" s="263"/>
    </row>
    <row r="53" spans="30:30">
      <c r="AD53" s="263"/>
    </row>
    <row r="54" spans="30:30">
      <c r="AD54" s="263"/>
    </row>
    <row r="55" spans="30:30">
      <c r="AD55" s="263"/>
    </row>
    <row r="56" spans="30:30">
      <c r="AD56" s="263"/>
    </row>
    <row r="57" spans="30:30">
      <c r="AD57" s="263"/>
    </row>
    <row r="58" spans="30:30">
      <c r="AD58" s="263"/>
    </row>
    <row r="59" spans="30:30">
      <c r="AD59" s="263"/>
    </row>
    <row r="60" spans="30:30">
      <c r="AD60" s="263"/>
    </row>
    <row r="61" spans="30:30">
      <c r="AD61" s="263"/>
    </row>
    <row r="62" spans="30:30">
      <c r="AD62" s="263"/>
    </row>
    <row r="63" spans="30:30">
      <c r="AD63" s="263"/>
    </row>
    <row r="64" spans="30:30">
      <c r="AD64" s="263"/>
    </row>
    <row r="65" spans="1:30">
      <c r="AD65" s="263"/>
    </row>
    <row r="66" spans="1:30">
      <c r="AD66" s="263"/>
    </row>
    <row r="67" spans="1:30">
      <c r="A67" s="262"/>
      <c r="B67" s="263"/>
      <c r="C67" s="263"/>
      <c r="D67" s="263"/>
      <c r="E67" s="263"/>
      <c r="F67" s="263"/>
      <c r="G67" s="263"/>
      <c r="H67" s="263"/>
      <c r="I67" s="263"/>
      <c r="J67" s="263"/>
      <c r="K67" s="263"/>
      <c r="L67" s="263"/>
      <c r="M67" s="263"/>
      <c r="N67" s="263"/>
      <c r="O67" s="263"/>
      <c r="Q67" s="263"/>
      <c r="R67" s="263"/>
      <c r="S67" s="263"/>
      <c r="T67" s="263"/>
      <c r="U67" s="263"/>
      <c r="V67" s="263"/>
      <c r="W67" s="263"/>
      <c r="X67" s="263"/>
      <c r="Y67" s="263"/>
      <c r="Z67" s="263"/>
      <c r="AA67" s="263"/>
      <c r="AB67" s="263"/>
      <c r="AC67" s="263"/>
      <c r="AD67" s="263"/>
    </row>
    <row r="68" spans="1:30">
      <c r="A68" s="262"/>
      <c r="B68" s="263"/>
      <c r="C68" s="263"/>
      <c r="D68" s="263"/>
      <c r="E68" s="263"/>
      <c r="F68" s="263"/>
      <c r="G68" s="263"/>
      <c r="H68" s="263"/>
      <c r="I68" s="263"/>
      <c r="J68" s="263"/>
      <c r="K68" s="263"/>
      <c r="L68" s="263"/>
      <c r="M68" s="263"/>
      <c r="N68" s="263"/>
      <c r="O68" s="263"/>
      <c r="Q68" s="263"/>
      <c r="R68" s="263"/>
      <c r="S68" s="263"/>
      <c r="T68" s="263"/>
      <c r="U68" s="263"/>
      <c r="V68" s="263"/>
      <c r="W68" s="263"/>
      <c r="X68" s="263"/>
      <c r="Y68" s="263"/>
      <c r="Z68" s="263"/>
      <c r="AA68" s="263"/>
      <c r="AB68" s="263"/>
      <c r="AC68" s="263"/>
      <c r="AD68" s="263"/>
    </row>
    <row r="69" spans="1:30">
      <c r="A69" s="262"/>
      <c r="B69" s="263"/>
      <c r="C69" s="263"/>
      <c r="D69" s="263"/>
      <c r="E69" s="263"/>
      <c r="F69" s="263"/>
      <c r="G69" s="263"/>
      <c r="H69" s="263"/>
      <c r="I69" s="263"/>
      <c r="J69" s="263"/>
      <c r="K69" s="263"/>
      <c r="L69" s="263"/>
      <c r="M69" s="263"/>
      <c r="N69" s="263"/>
      <c r="O69" s="263"/>
      <c r="Q69" s="263"/>
      <c r="R69" s="263"/>
      <c r="S69" s="263"/>
      <c r="T69" s="263"/>
      <c r="U69" s="263"/>
      <c r="V69" s="263"/>
      <c r="W69" s="263"/>
      <c r="X69" s="263"/>
      <c r="Y69" s="263"/>
      <c r="Z69" s="263"/>
      <c r="AA69" s="263"/>
      <c r="AB69" s="263"/>
      <c r="AC69" s="263"/>
      <c r="AD69" s="263"/>
    </row>
    <row r="70" spans="1:30">
      <c r="A70" s="262"/>
      <c r="B70" s="263"/>
      <c r="C70" s="263"/>
      <c r="D70" s="263"/>
      <c r="E70" s="263"/>
      <c r="F70" s="263"/>
      <c r="G70" s="263"/>
      <c r="H70" s="263"/>
      <c r="I70" s="263"/>
      <c r="J70" s="263"/>
      <c r="K70" s="263"/>
      <c r="L70" s="263"/>
      <c r="M70" s="263"/>
      <c r="N70" s="263"/>
      <c r="O70" s="263"/>
      <c r="Q70" s="263"/>
      <c r="R70" s="263"/>
      <c r="S70" s="263"/>
      <c r="T70" s="263"/>
      <c r="U70" s="263"/>
      <c r="V70" s="263"/>
      <c r="W70" s="263"/>
      <c r="X70" s="263"/>
      <c r="Y70" s="263"/>
      <c r="Z70" s="263"/>
      <c r="AA70" s="263"/>
      <c r="AB70" s="263"/>
      <c r="AC70" s="263"/>
      <c r="AD70" s="263"/>
    </row>
    <row r="71" spans="1:30">
      <c r="A71" s="262"/>
      <c r="B71" s="263"/>
      <c r="C71" s="263"/>
      <c r="D71" s="263"/>
      <c r="E71" s="263"/>
      <c r="F71" s="263"/>
      <c r="G71" s="263"/>
      <c r="H71" s="263"/>
      <c r="I71" s="263"/>
      <c r="J71" s="263"/>
      <c r="K71" s="263"/>
      <c r="L71" s="263"/>
      <c r="M71" s="263"/>
      <c r="N71" s="263"/>
      <c r="O71" s="263"/>
      <c r="Q71" s="263"/>
      <c r="R71" s="263"/>
      <c r="S71" s="263"/>
      <c r="T71" s="263"/>
      <c r="U71" s="263"/>
      <c r="V71" s="263"/>
      <c r="W71" s="263"/>
      <c r="X71" s="263"/>
      <c r="Y71" s="263"/>
      <c r="Z71" s="263"/>
      <c r="AA71" s="263"/>
      <c r="AB71" s="263"/>
      <c r="AC71" s="263"/>
      <c r="AD71" s="263"/>
    </row>
    <row r="72" spans="1:30">
      <c r="A72" s="262"/>
      <c r="B72" s="263"/>
      <c r="C72" s="263"/>
      <c r="D72" s="263"/>
      <c r="E72" s="263"/>
      <c r="F72" s="263"/>
      <c r="G72" s="263"/>
      <c r="H72" s="263"/>
      <c r="I72" s="263"/>
      <c r="J72" s="263"/>
      <c r="K72" s="263"/>
      <c r="L72" s="263"/>
      <c r="M72" s="263"/>
      <c r="N72" s="263"/>
      <c r="O72" s="263"/>
      <c r="Q72" s="263"/>
      <c r="R72" s="263"/>
      <c r="S72" s="263"/>
      <c r="T72" s="263"/>
      <c r="U72" s="263"/>
      <c r="V72" s="263"/>
      <c r="W72" s="263"/>
      <c r="X72" s="263"/>
      <c r="Y72" s="263"/>
      <c r="Z72" s="263"/>
      <c r="AA72" s="263"/>
      <c r="AB72" s="263"/>
      <c r="AC72" s="263"/>
      <c r="AD72" s="263"/>
    </row>
    <row r="73" spans="1:30">
      <c r="A73" s="262"/>
      <c r="B73" s="263"/>
      <c r="C73" s="263"/>
      <c r="D73" s="263"/>
      <c r="E73" s="263"/>
      <c r="F73" s="263"/>
      <c r="G73" s="263"/>
      <c r="H73" s="263"/>
      <c r="I73" s="263"/>
      <c r="J73" s="263"/>
      <c r="K73" s="263"/>
      <c r="L73" s="263"/>
      <c r="M73" s="263"/>
      <c r="N73" s="263"/>
      <c r="O73" s="263"/>
      <c r="Q73" s="263"/>
      <c r="R73" s="263"/>
      <c r="S73" s="263"/>
      <c r="T73" s="263"/>
      <c r="U73" s="263"/>
      <c r="V73" s="263"/>
      <c r="W73" s="263"/>
      <c r="X73" s="263"/>
      <c r="Y73" s="263"/>
      <c r="Z73" s="263"/>
      <c r="AA73" s="263"/>
      <c r="AB73" s="263"/>
      <c r="AC73" s="263"/>
      <c r="AD73" s="263"/>
    </row>
    <row r="74" spans="1:30" ht="19.5" customHeight="1">
      <c r="A74" s="262"/>
      <c r="B74" s="263"/>
      <c r="C74" s="263"/>
      <c r="D74" s="263"/>
      <c r="E74" s="263"/>
      <c r="F74" s="263"/>
      <c r="G74" s="263"/>
      <c r="H74" s="263"/>
      <c r="I74" s="263"/>
      <c r="J74" s="263"/>
      <c r="K74" s="263"/>
      <c r="L74" s="263"/>
      <c r="M74" s="263"/>
      <c r="N74" s="263"/>
      <c r="O74" s="263"/>
      <c r="Q74" s="263"/>
      <c r="R74" s="263"/>
      <c r="S74" s="263"/>
      <c r="T74" s="263"/>
      <c r="U74" s="263"/>
      <c r="V74" s="263"/>
      <c r="W74" s="263"/>
      <c r="X74" s="263"/>
      <c r="Y74" s="263"/>
      <c r="Z74" s="263"/>
      <c r="AA74" s="263"/>
      <c r="AB74" s="263"/>
      <c r="AC74" s="263"/>
      <c r="AD74" s="263"/>
    </row>
    <row r="75" spans="1:30">
      <c r="A75" s="262"/>
      <c r="B75" s="263"/>
      <c r="C75" s="263"/>
      <c r="D75" s="263"/>
      <c r="E75" s="263"/>
      <c r="F75" s="263"/>
      <c r="G75" s="263"/>
      <c r="H75" s="263"/>
      <c r="I75" s="263"/>
      <c r="J75" s="263"/>
      <c r="K75" s="263"/>
      <c r="L75" s="263"/>
      <c r="M75" s="263"/>
      <c r="N75" s="263"/>
      <c r="O75" s="263"/>
      <c r="Q75" s="263"/>
      <c r="R75" s="263"/>
      <c r="S75" s="263"/>
      <c r="T75" s="263"/>
      <c r="U75" s="263"/>
      <c r="V75" s="263"/>
      <c r="W75" s="263"/>
      <c r="X75" s="263"/>
      <c r="Y75" s="263"/>
      <c r="Z75" s="263"/>
      <c r="AA75" s="263"/>
      <c r="AB75" s="263"/>
      <c r="AC75" s="263"/>
      <c r="AD75" s="263"/>
    </row>
    <row r="76" spans="1:30" ht="19.5" customHeight="1">
      <c r="A76" s="262"/>
      <c r="B76" s="263"/>
      <c r="C76" s="263"/>
      <c r="D76" s="263"/>
      <c r="E76" s="263"/>
      <c r="F76" s="263"/>
      <c r="G76" s="263"/>
      <c r="H76" s="263"/>
      <c r="I76" s="263"/>
      <c r="J76" s="263"/>
      <c r="K76" s="263"/>
      <c r="L76" s="263"/>
      <c r="M76" s="263"/>
      <c r="N76" s="263"/>
      <c r="O76" s="263"/>
      <c r="Q76" s="263"/>
      <c r="R76" s="263"/>
      <c r="S76" s="263"/>
      <c r="T76" s="263"/>
      <c r="U76" s="263"/>
      <c r="V76" s="263"/>
      <c r="W76" s="263"/>
      <c r="X76" s="263"/>
      <c r="Y76" s="263"/>
      <c r="Z76" s="263"/>
      <c r="AA76" s="263"/>
      <c r="AB76" s="263"/>
      <c r="AC76" s="263"/>
      <c r="AD76" s="263"/>
    </row>
    <row r="77" spans="1:30" ht="19.5" customHeight="1">
      <c r="A77" s="262"/>
      <c r="B77" s="263"/>
      <c r="C77" s="263"/>
      <c r="D77" s="263"/>
      <c r="E77" s="263"/>
      <c r="F77" s="263"/>
      <c r="G77" s="263"/>
      <c r="H77" s="263"/>
      <c r="I77" s="263"/>
      <c r="J77" s="263"/>
      <c r="K77" s="263"/>
      <c r="L77" s="263"/>
      <c r="M77" s="263"/>
      <c r="N77" s="263"/>
      <c r="O77" s="263"/>
      <c r="Q77" s="263"/>
      <c r="R77" s="263"/>
      <c r="S77" s="263"/>
      <c r="T77" s="263"/>
      <c r="U77" s="263"/>
      <c r="V77" s="263"/>
      <c r="W77" s="263"/>
      <c r="X77" s="263"/>
      <c r="Y77" s="263"/>
      <c r="Z77" s="263"/>
      <c r="AA77" s="263"/>
      <c r="AB77" s="263"/>
      <c r="AC77" s="263"/>
      <c r="AD77" s="263"/>
    </row>
    <row r="78" spans="1:30" ht="19.5" customHeight="1">
      <c r="A78" s="262"/>
      <c r="B78" s="263"/>
      <c r="C78" s="263"/>
      <c r="D78" s="263"/>
      <c r="E78" s="263"/>
      <c r="F78" s="263"/>
      <c r="G78" s="263"/>
      <c r="H78" s="263"/>
      <c r="I78" s="263"/>
      <c r="J78" s="263"/>
      <c r="K78" s="263"/>
      <c r="L78" s="263"/>
      <c r="M78" s="263"/>
      <c r="N78" s="263"/>
      <c r="O78" s="263"/>
      <c r="Q78" s="263"/>
      <c r="R78" s="263"/>
      <c r="S78" s="263"/>
      <c r="T78" s="263"/>
      <c r="U78" s="263"/>
      <c r="V78" s="263"/>
      <c r="W78" s="263"/>
      <c r="X78" s="263"/>
      <c r="Y78" s="263"/>
      <c r="Z78" s="263"/>
      <c r="AA78" s="263"/>
      <c r="AB78" s="263"/>
      <c r="AC78" s="263"/>
      <c r="AD78" s="263"/>
    </row>
    <row r="79" spans="1:30" ht="19.5" customHeight="1">
      <c r="A79" s="262"/>
      <c r="B79" s="263"/>
      <c r="C79" s="263"/>
      <c r="D79" s="263"/>
      <c r="E79" s="263"/>
      <c r="F79" s="263"/>
      <c r="G79" s="263"/>
      <c r="H79" s="263"/>
      <c r="I79" s="263"/>
      <c r="J79" s="263"/>
      <c r="K79" s="263"/>
      <c r="L79" s="263"/>
      <c r="M79" s="263"/>
      <c r="N79" s="263"/>
      <c r="O79" s="263"/>
      <c r="Q79" s="263"/>
      <c r="R79" s="263"/>
      <c r="S79" s="263"/>
      <c r="T79" s="263"/>
      <c r="U79" s="263"/>
      <c r="V79" s="263"/>
      <c r="W79" s="263"/>
      <c r="X79" s="263"/>
      <c r="Y79" s="263"/>
      <c r="Z79" s="263"/>
      <c r="AA79" s="263"/>
      <c r="AB79" s="263"/>
      <c r="AC79" s="263"/>
      <c r="AD79" s="263"/>
    </row>
    <row r="80" spans="1:30" ht="19.5" customHeight="1">
      <c r="A80" s="262"/>
      <c r="B80" s="263"/>
      <c r="C80" s="263"/>
      <c r="D80" s="263"/>
      <c r="E80" s="263"/>
      <c r="F80" s="263"/>
      <c r="G80" s="263"/>
      <c r="H80" s="263"/>
      <c r="I80" s="263"/>
      <c r="J80" s="263"/>
      <c r="K80" s="263"/>
      <c r="L80" s="263"/>
      <c r="M80" s="263"/>
      <c r="N80" s="263"/>
      <c r="O80" s="263"/>
      <c r="Q80" s="263"/>
      <c r="R80" s="263"/>
      <c r="S80" s="263"/>
      <c r="T80" s="263"/>
      <c r="U80" s="263"/>
      <c r="V80" s="263"/>
      <c r="W80" s="263"/>
      <c r="X80" s="263"/>
      <c r="Y80" s="263"/>
      <c r="Z80" s="263"/>
      <c r="AA80" s="263"/>
      <c r="AB80" s="263"/>
      <c r="AC80" s="263"/>
      <c r="AD80" s="263"/>
    </row>
    <row r="81" spans="1:30">
      <c r="A81" s="262"/>
      <c r="B81" s="263"/>
      <c r="C81" s="263"/>
      <c r="D81" s="263"/>
      <c r="E81" s="263"/>
      <c r="F81" s="263"/>
      <c r="G81" s="263"/>
      <c r="H81" s="263"/>
      <c r="I81" s="263"/>
      <c r="J81" s="263"/>
      <c r="K81" s="263"/>
      <c r="L81" s="263"/>
      <c r="M81" s="263"/>
      <c r="N81" s="263"/>
      <c r="O81" s="263"/>
      <c r="Q81" s="263"/>
      <c r="R81" s="263"/>
      <c r="S81" s="263"/>
      <c r="T81" s="263"/>
      <c r="U81" s="263"/>
      <c r="V81" s="263"/>
      <c r="W81" s="263"/>
      <c r="X81" s="263"/>
      <c r="Y81" s="263"/>
      <c r="Z81" s="263"/>
      <c r="AA81" s="263"/>
      <c r="AB81" s="263"/>
      <c r="AC81" s="263"/>
      <c r="AD81" s="263"/>
    </row>
    <row r="82" spans="1:30">
      <c r="A82" s="262"/>
      <c r="B82" s="263"/>
      <c r="C82" s="263"/>
      <c r="D82" s="263"/>
      <c r="E82" s="263"/>
      <c r="F82" s="263"/>
      <c r="G82" s="263"/>
      <c r="H82" s="263"/>
      <c r="I82" s="263"/>
      <c r="J82" s="263"/>
      <c r="K82" s="263"/>
      <c r="L82" s="263"/>
      <c r="M82" s="263"/>
      <c r="N82" s="263"/>
      <c r="O82" s="263"/>
      <c r="Q82" s="263"/>
      <c r="R82" s="263"/>
      <c r="S82" s="263"/>
      <c r="T82" s="263"/>
      <c r="U82" s="263"/>
      <c r="V82" s="263"/>
      <c r="W82" s="263"/>
      <c r="X82" s="263"/>
      <c r="Y82" s="263"/>
      <c r="Z82" s="263"/>
      <c r="AA82" s="263"/>
      <c r="AB82" s="263"/>
      <c r="AC82" s="263"/>
      <c r="AD82" s="263"/>
    </row>
    <row r="83" spans="1:30">
      <c r="A83" s="262"/>
      <c r="B83" s="263"/>
      <c r="C83" s="263"/>
      <c r="D83" s="263"/>
      <c r="E83" s="263"/>
      <c r="F83" s="263"/>
      <c r="G83" s="263"/>
      <c r="H83" s="263"/>
      <c r="I83" s="263"/>
      <c r="J83" s="263"/>
      <c r="K83" s="263"/>
      <c r="L83" s="263"/>
      <c r="M83" s="263"/>
      <c r="N83" s="263"/>
      <c r="O83" s="263"/>
      <c r="Q83" s="263"/>
      <c r="R83" s="263"/>
      <c r="S83" s="263"/>
      <c r="T83" s="263"/>
      <c r="U83" s="263"/>
      <c r="V83" s="263"/>
      <c r="W83" s="263"/>
      <c r="X83" s="263"/>
      <c r="Y83" s="263"/>
      <c r="Z83" s="263"/>
      <c r="AA83" s="263"/>
      <c r="AB83" s="263"/>
      <c r="AC83" s="263"/>
      <c r="AD83" s="263"/>
    </row>
    <row r="84" spans="1:30">
      <c r="A84" s="262"/>
      <c r="B84" s="263"/>
      <c r="C84" s="263"/>
      <c r="D84" s="263"/>
      <c r="E84" s="263"/>
      <c r="F84" s="263"/>
      <c r="G84" s="263"/>
      <c r="H84" s="263"/>
      <c r="I84" s="263"/>
      <c r="J84" s="263"/>
      <c r="K84" s="263"/>
      <c r="L84" s="263"/>
      <c r="M84" s="263"/>
      <c r="N84" s="263"/>
      <c r="O84" s="263"/>
      <c r="Q84" s="263"/>
      <c r="R84" s="263"/>
      <c r="S84" s="263"/>
      <c r="T84" s="263"/>
      <c r="U84" s="263"/>
      <c r="V84" s="263"/>
      <c r="W84" s="263"/>
      <c r="X84" s="263"/>
      <c r="Y84" s="263"/>
      <c r="Z84" s="263"/>
      <c r="AA84" s="263"/>
      <c r="AB84" s="263"/>
      <c r="AC84" s="263"/>
      <c r="AD84" s="263"/>
    </row>
    <row r="85" spans="1:30">
      <c r="A85" s="262"/>
      <c r="B85" s="263"/>
      <c r="C85" s="263"/>
      <c r="D85" s="263"/>
      <c r="E85" s="263"/>
      <c r="F85" s="263"/>
      <c r="G85" s="263"/>
      <c r="H85" s="263"/>
      <c r="I85" s="263"/>
      <c r="J85" s="263"/>
      <c r="K85" s="263"/>
      <c r="L85" s="263"/>
      <c r="M85" s="263"/>
      <c r="N85" s="263"/>
      <c r="O85" s="263"/>
      <c r="Q85" s="263"/>
      <c r="R85" s="263"/>
      <c r="S85" s="263"/>
      <c r="T85" s="263"/>
      <c r="U85" s="263"/>
      <c r="V85" s="263"/>
      <c r="W85" s="263"/>
      <c r="X85" s="263"/>
      <c r="Y85" s="263"/>
      <c r="Z85" s="263"/>
      <c r="AA85" s="263"/>
      <c r="AB85" s="263"/>
      <c r="AC85" s="263"/>
      <c r="AD85" s="263"/>
    </row>
    <row r="86" spans="1:30">
      <c r="A86" s="262"/>
      <c r="B86" s="263"/>
      <c r="C86" s="263"/>
      <c r="D86" s="263"/>
      <c r="E86" s="263"/>
      <c r="F86" s="263"/>
      <c r="G86" s="263"/>
      <c r="H86" s="263"/>
      <c r="I86" s="263"/>
      <c r="J86" s="263"/>
      <c r="K86" s="263"/>
      <c r="L86" s="263"/>
      <c r="M86" s="263"/>
      <c r="N86" s="263"/>
      <c r="O86" s="263"/>
      <c r="Q86" s="263"/>
      <c r="R86" s="263"/>
      <c r="S86" s="263"/>
      <c r="T86" s="263"/>
      <c r="U86" s="263"/>
      <c r="V86" s="263"/>
      <c r="W86" s="263"/>
      <c r="X86" s="263"/>
      <c r="Y86" s="263"/>
      <c r="Z86" s="263"/>
      <c r="AA86" s="263"/>
      <c r="AB86" s="263"/>
      <c r="AC86" s="263"/>
      <c r="AD86" s="263"/>
    </row>
    <row r="87" spans="1:30">
      <c r="A87" s="262"/>
      <c r="B87" s="263"/>
      <c r="C87" s="263"/>
      <c r="D87" s="263"/>
      <c r="E87" s="263"/>
      <c r="F87" s="263"/>
      <c r="G87" s="263"/>
      <c r="H87" s="263"/>
      <c r="I87" s="263"/>
      <c r="J87" s="263"/>
      <c r="K87" s="263"/>
      <c r="L87" s="263"/>
      <c r="M87" s="263"/>
      <c r="N87" s="263"/>
      <c r="O87" s="263"/>
      <c r="Q87" s="263"/>
      <c r="R87" s="263"/>
      <c r="S87" s="263"/>
      <c r="T87" s="263"/>
      <c r="U87" s="263"/>
      <c r="V87" s="263"/>
      <c r="W87" s="263"/>
      <c r="X87" s="263"/>
      <c r="Y87" s="263"/>
      <c r="Z87" s="263"/>
      <c r="AA87" s="263"/>
      <c r="AB87" s="263"/>
      <c r="AC87" s="263"/>
      <c r="AD87" s="263"/>
    </row>
    <row r="88" spans="1:30">
      <c r="A88" s="262"/>
      <c r="B88" s="263"/>
      <c r="C88" s="263"/>
      <c r="D88" s="263"/>
      <c r="E88" s="263"/>
      <c r="F88" s="263"/>
      <c r="G88" s="263"/>
      <c r="H88" s="263"/>
      <c r="I88" s="263"/>
      <c r="J88" s="263"/>
      <c r="K88" s="263"/>
      <c r="L88" s="263"/>
      <c r="M88" s="263"/>
      <c r="N88" s="263"/>
      <c r="O88" s="263"/>
      <c r="Q88" s="263"/>
      <c r="R88" s="263"/>
      <c r="S88" s="263"/>
      <c r="T88" s="263"/>
      <c r="U88" s="263"/>
      <c r="V88" s="263"/>
      <c r="W88" s="263"/>
      <c r="X88" s="263"/>
      <c r="Y88" s="263"/>
      <c r="Z88" s="263"/>
      <c r="AA88" s="263"/>
      <c r="AB88" s="263"/>
      <c r="AC88" s="263"/>
      <c r="AD88" s="263"/>
    </row>
  </sheetData>
  <mergeCells count="6">
    <mergeCell ref="A38:AP38"/>
    <mergeCell ref="A1:Z1"/>
    <mergeCell ref="A34:AP34"/>
    <mergeCell ref="A35:AP35"/>
    <mergeCell ref="A36:AP36"/>
    <mergeCell ref="A37:AP37"/>
  </mergeCells>
  <pageMargins left="0.25" right="0.25" top="0.75" bottom="0.75" header="0.3" footer="0.3"/>
  <pageSetup scale="4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D6C48-AF23-4A90-A6FB-D574EFEE9C5E}">
  <dimension ref="A1:A3"/>
  <sheetViews>
    <sheetView topLeftCell="A22" workbookViewId="0"/>
  </sheetViews>
  <sheetFormatPr defaultRowHeight="12.6"/>
  <sheetData>
    <row r="1" spans="1:1" ht="15">
      <c r="A1" s="259" t="s">
        <v>449</v>
      </c>
    </row>
    <row r="2" spans="1:1" ht="15">
      <c r="A2" s="259"/>
    </row>
    <row r="3" spans="1:1" ht="13.2">
      <c r="A3" s="352" t="s">
        <v>385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9"/>
  <sheetViews>
    <sheetView tabSelected="1" zoomScale="85" zoomScaleNormal="85" workbookViewId="0">
      <selection activeCell="A29" sqref="A29"/>
    </sheetView>
  </sheetViews>
  <sheetFormatPr defaultColWidth="9.109375" defaultRowHeight="10.199999999999999"/>
  <cols>
    <col min="1" max="1" width="22.109375" style="2" customWidth="1"/>
    <col min="2" max="12" width="15.44140625" style="1" customWidth="1"/>
    <col min="13" max="13" width="15.88671875" style="1" customWidth="1"/>
    <col min="14" max="18" width="17.33203125" style="1" customWidth="1"/>
    <col min="19" max="16384" width="9.109375" style="1"/>
  </cols>
  <sheetData>
    <row r="1" spans="1:21" ht="27" customHeight="1">
      <c r="A1" s="389" t="str">
        <f>"Figure 2: Costs by Types of Species, FY"&amp;Q3</f>
        <v>Figure 2: Costs by Types of Species, FY2021</v>
      </c>
      <c r="B1" s="389"/>
      <c r="C1" s="389"/>
      <c r="D1" s="389"/>
      <c r="E1" s="389"/>
      <c r="F1" s="389"/>
      <c r="G1" s="389"/>
      <c r="H1" s="389"/>
      <c r="I1" s="389"/>
      <c r="J1" s="389"/>
      <c r="K1" s="389"/>
      <c r="L1" s="389"/>
      <c r="M1" s="389"/>
    </row>
    <row r="2" spans="1:21" ht="20.25" customHeight="1">
      <c r="A2" s="159"/>
      <c r="B2" s="139"/>
      <c r="C2" s="139"/>
      <c r="D2" s="139"/>
      <c r="E2" s="139"/>
      <c r="F2" s="139"/>
      <c r="G2" s="139"/>
      <c r="H2" s="139"/>
      <c r="I2" s="179"/>
      <c r="J2" s="223"/>
      <c r="K2" s="359"/>
      <c r="L2" s="139"/>
      <c r="M2" s="139"/>
    </row>
    <row r="3" spans="1:21" ht="24" customHeight="1">
      <c r="A3" s="221" t="s">
        <v>9</v>
      </c>
      <c r="B3" s="222">
        <v>2006</v>
      </c>
      <c r="C3" s="222">
        <v>2007</v>
      </c>
      <c r="D3" s="222">
        <v>20081</v>
      </c>
      <c r="E3" s="222">
        <v>2009</v>
      </c>
      <c r="F3" s="222">
        <v>2010</v>
      </c>
      <c r="G3" s="222">
        <v>2011</v>
      </c>
      <c r="H3" s="222">
        <v>2012</v>
      </c>
      <c r="I3" s="222">
        <v>2013</v>
      </c>
      <c r="J3" s="222">
        <v>2014</v>
      </c>
      <c r="K3" s="222">
        <v>2015</v>
      </c>
      <c r="L3" s="222">
        <v>2016</v>
      </c>
      <c r="M3" s="222">
        <v>2017</v>
      </c>
      <c r="N3" s="222">
        <v>20182</v>
      </c>
      <c r="O3" s="222">
        <v>2019</v>
      </c>
      <c r="P3" s="222">
        <v>2020</v>
      </c>
      <c r="Q3" s="222">
        <v>2021</v>
      </c>
      <c r="R3" s="157" t="s">
        <v>236</v>
      </c>
      <c r="S3" s="12"/>
      <c r="T3" s="12"/>
      <c r="U3" s="11"/>
    </row>
    <row r="4" spans="1:21" ht="15">
      <c r="A4" s="9" t="s">
        <v>8</v>
      </c>
      <c r="B4" s="9"/>
      <c r="C4" s="9"/>
      <c r="D4" s="9"/>
      <c r="E4" s="9"/>
      <c r="F4" s="9"/>
      <c r="G4" s="41"/>
      <c r="H4" s="41"/>
      <c r="I4" s="41"/>
      <c r="J4" s="41"/>
      <c r="K4" s="41"/>
      <c r="L4" s="41"/>
      <c r="M4" s="41"/>
      <c r="N4" s="41"/>
      <c r="O4" s="41"/>
      <c r="P4" s="41"/>
      <c r="Q4" s="41"/>
      <c r="R4" s="6"/>
      <c r="S4" s="6"/>
      <c r="T4" s="6"/>
    </row>
    <row r="5" spans="1:21" ht="15">
      <c r="A5" s="10" t="s">
        <v>6</v>
      </c>
      <c r="B5" s="111">
        <v>97220988.599999994</v>
      </c>
      <c r="C5" s="111">
        <v>95383738.870000005</v>
      </c>
      <c r="D5" s="111">
        <v>93937949</v>
      </c>
      <c r="E5" s="111">
        <v>115447417.25</v>
      </c>
      <c r="F5" s="111">
        <v>133710043</v>
      </c>
      <c r="G5" s="111">
        <v>152268151.75</v>
      </c>
      <c r="H5" s="111">
        <v>172625716.75</v>
      </c>
      <c r="I5" s="111">
        <v>162598812.96000001</v>
      </c>
      <c r="J5" s="112">
        <v>160287940</v>
      </c>
      <c r="K5" s="111">
        <v>181979402</v>
      </c>
      <c r="L5" s="181">
        <v>187926100.50999999</v>
      </c>
      <c r="M5" s="181">
        <v>174955973</v>
      </c>
      <c r="N5" s="181">
        <v>181907429</v>
      </c>
      <c r="O5" s="181">
        <v>168490894</v>
      </c>
      <c r="P5" s="181">
        <v>163848363</v>
      </c>
      <c r="Q5" s="181">
        <v>173556193</v>
      </c>
      <c r="R5" s="6"/>
      <c r="S5" s="6"/>
      <c r="T5" s="6"/>
    </row>
    <row r="6" spans="1:21" ht="15">
      <c r="A6" s="10" t="s">
        <v>5</v>
      </c>
      <c r="B6" s="111">
        <v>19147677.510000002</v>
      </c>
      <c r="C6" s="111">
        <v>20466940.75</v>
      </c>
      <c r="D6" s="111">
        <v>30166347</v>
      </c>
      <c r="E6" s="111">
        <v>30945648.239999998</v>
      </c>
      <c r="F6" s="111">
        <v>33492947</v>
      </c>
      <c r="G6" s="111">
        <v>38469679.740000002</v>
      </c>
      <c r="H6" s="111">
        <v>41986003.759999998</v>
      </c>
      <c r="I6" s="111">
        <v>39747604.240000002</v>
      </c>
      <c r="J6" s="112">
        <v>34671529</v>
      </c>
      <c r="K6" s="111">
        <v>36131999</v>
      </c>
      <c r="L6" s="181">
        <v>42949758.75</v>
      </c>
      <c r="M6" s="181">
        <v>41626757</v>
      </c>
      <c r="N6" s="181">
        <v>41544634</v>
      </c>
      <c r="O6" s="181">
        <v>34601360</v>
      </c>
      <c r="P6" s="181">
        <v>35251201</v>
      </c>
      <c r="Q6" s="181">
        <v>33209380</v>
      </c>
      <c r="R6" s="6"/>
      <c r="S6" s="6"/>
      <c r="T6" s="6"/>
    </row>
    <row r="7" spans="1:21" ht="15">
      <c r="A7" s="10" t="s">
        <v>4</v>
      </c>
      <c r="B7" s="111">
        <v>7380451.6200000001</v>
      </c>
      <c r="C7" s="111">
        <v>8894313.6999999993</v>
      </c>
      <c r="D7" s="111">
        <v>10153866</v>
      </c>
      <c r="E7" s="111">
        <v>11491287.24</v>
      </c>
      <c r="F7" s="111">
        <v>12105809</v>
      </c>
      <c r="G7" s="111">
        <v>12032226</v>
      </c>
      <c r="H7" s="111">
        <v>13214569.75</v>
      </c>
      <c r="I7" s="111">
        <v>11401470.98</v>
      </c>
      <c r="J7" s="112">
        <v>11970486</v>
      </c>
      <c r="K7" s="111">
        <v>16630031</v>
      </c>
      <c r="L7" s="181">
        <v>14091922</v>
      </c>
      <c r="M7" s="181">
        <v>12514234</v>
      </c>
      <c r="N7" s="181">
        <v>12569629</v>
      </c>
      <c r="O7" s="181">
        <v>13576360</v>
      </c>
      <c r="P7" s="181">
        <v>17035067</v>
      </c>
      <c r="Q7" s="181">
        <v>15107376</v>
      </c>
      <c r="R7" s="6"/>
      <c r="S7" s="6"/>
      <c r="T7" s="6"/>
    </row>
    <row r="8" spans="1:21" ht="15">
      <c r="A8" s="10" t="s">
        <v>3</v>
      </c>
      <c r="B8" s="111">
        <v>14113270.869999999</v>
      </c>
      <c r="C8" s="111">
        <v>14499335.869999999</v>
      </c>
      <c r="D8" s="111">
        <v>14620375</v>
      </c>
      <c r="E8" s="111">
        <v>19975090</v>
      </c>
      <c r="F8" s="111">
        <v>20280762.440000001</v>
      </c>
      <c r="G8" s="111">
        <v>18278218</v>
      </c>
      <c r="H8" s="111">
        <v>21130595.140000001</v>
      </c>
      <c r="I8" s="111">
        <v>25235638.289999999</v>
      </c>
      <c r="J8" s="112">
        <v>24850807</v>
      </c>
      <c r="K8" s="111">
        <v>23435779.190000001</v>
      </c>
      <c r="L8" s="181">
        <v>13174408.65</v>
      </c>
      <c r="M8" s="181">
        <v>25458652</v>
      </c>
      <c r="N8" s="181">
        <v>12009661</v>
      </c>
      <c r="O8" s="181">
        <v>11871288</v>
      </c>
      <c r="P8" s="181">
        <v>10101627</v>
      </c>
      <c r="Q8" s="181">
        <v>19236230</v>
      </c>
      <c r="R8" s="6"/>
      <c r="S8" s="6"/>
      <c r="T8" s="6"/>
    </row>
    <row r="9" spans="1:21" ht="17.399999999999999">
      <c r="A9" s="10" t="s">
        <v>406</v>
      </c>
      <c r="B9" s="111"/>
      <c r="C9" s="111"/>
      <c r="D9" s="111"/>
      <c r="E9" s="111"/>
      <c r="F9" s="111"/>
      <c r="G9" s="111"/>
      <c r="H9" s="111"/>
      <c r="I9" s="111"/>
      <c r="J9" s="112"/>
      <c r="K9" s="111"/>
      <c r="L9" s="112"/>
      <c r="M9" s="112"/>
      <c r="N9" s="112">
        <v>10367580</v>
      </c>
      <c r="O9" s="181">
        <v>11607301</v>
      </c>
      <c r="P9" s="181">
        <v>11601030</v>
      </c>
      <c r="Q9" s="181">
        <v>12327352</v>
      </c>
      <c r="R9" s="6"/>
      <c r="S9" s="6"/>
      <c r="T9" s="6"/>
    </row>
    <row r="10" spans="1:21" ht="15">
      <c r="A10" s="10" t="s">
        <v>239</v>
      </c>
      <c r="B10" s="111"/>
      <c r="C10" s="111"/>
      <c r="D10" s="111"/>
      <c r="E10" s="111"/>
      <c r="F10" s="111"/>
      <c r="G10" s="111"/>
      <c r="H10" s="111"/>
      <c r="I10" s="111"/>
      <c r="J10" s="112"/>
      <c r="K10" s="111"/>
      <c r="L10" s="112"/>
      <c r="M10" s="112"/>
      <c r="N10" s="112">
        <v>304457</v>
      </c>
      <c r="O10" s="181">
        <v>254957</v>
      </c>
      <c r="P10" s="181">
        <v>213881</v>
      </c>
      <c r="Q10" s="181">
        <v>179587</v>
      </c>
      <c r="R10" s="6"/>
      <c r="S10" s="6"/>
      <c r="T10" s="6"/>
    </row>
    <row r="11" spans="1:21" ht="15">
      <c r="A11" s="9" t="s">
        <v>7</v>
      </c>
      <c r="B11" s="111"/>
      <c r="C11" s="111"/>
      <c r="D11" s="111"/>
      <c r="E11" s="111"/>
      <c r="F11" s="111"/>
      <c r="G11" s="41"/>
      <c r="H11" s="41"/>
      <c r="I11" s="41"/>
      <c r="J11" s="41"/>
      <c r="K11" s="41"/>
      <c r="L11" s="41"/>
      <c r="M11" s="41"/>
      <c r="N11" s="41"/>
      <c r="O11" s="182"/>
      <c r="P11" s="182"/>
      <c r="Q11" s="182"/>
      <c r="R11" s="6"/>
      <c r="S11" s="6"/>
      <c r="T11" s="6"/>
    </row>
    <row r="12" spans="1:21" ht="15">
      <c r="A12" s="8" t="s">
        <v>6</v>
      </c>
      <c r="B12" s="111">
        <v>9409948.5899999999</v>
      </c>
      <c r="C12" s="111">
        <v>9738655.0700000003</v>
      </c>
      <c r="D12" s="111">
        <v>8817105</v>
      </c>
      <c r="E12" s="111">
        <v>11123909</v>
      </c>
      <c r="F12" s="111">
        <v>26914846.25</v>
      </c>
      <c r="G12" s="111">
        <v>56777878.75</v>
      </c>
      <c r="H12" s="111">
        <v>33006552</v>
      </c>
      <c r="I12" s="111">
        <v>32488550.530000001</v>
      </c>
      <c r="J12" s="112">
        <v>6079913</v>
      </c>
      <c r="K12" s="111">
        <v>10173686</v>
      </c>
      <c r="L12" s="112">
        <v>4896855</v>
      </c>
      <c r="M12" s="112">
        <v>122159</v>
      </c>
      <c r="N12" s="112">
        <v>5368928</v>
      </c>
      <c r="O12" s="181">
        <v>12711401</v>
      </c>
      <c r="P12" s="181">
        <v>27436953</v>
      </c>
      <c r="Q12" s="181">
        <v>19779123</v>
      </c>
      <c r="R12" s="6"/>
      <c r="S12" s="6"/>
      <c r="T12" s="6"/>
    </row>
    <row r="13" spans="1:21" ht="15">
      <c r="A13" s="8" t="s">
        <v>5</v>
      </c>
      <c r="B13" s="111">
        <v>6540613.0099999998</v>
      </c>
      <c r="C13" s="111">
        <v>977723.81</v>
      </c>
      <c r="D13" s="111">
        <v>843692</v>
      </c>
      <c r="E13" s="111">
        <v>10279652</v>
      </c>
      <c r="F13" s="111">
        <v>3163912.24</v>
      </c>
      <c r="G13" s="111">
        <v>20472137.739999998</v>
      </c>
      <c r="H13" s="111">
        <v>11692569</v>
      </c>
      <c r="I13" s="111">
        <v>8440507.1400000006</v>
      </c>
      <c r="J13" s="112">
        <v>16958535</v>
      </c>
      <c r="K13" s="111">
        <v>2603188</v>
      </c>
      <c r="L13" s="112">
        <v>2164485</v>
      </c>
      <c r="M13" s="112">
        <v>241080</v>
      </c>
      <c r="N13" s="112">
        <v>13564447</v>
      </c>
      <c r="O13" s="181">
        <v>455850</v>
      </c>
      <c r="P13" s="181">
        <v>2320569</v>
      </c>
      <c r="Q13" s="181">
        <v>11091883</v>
      </c>
      <c r="R13" s="6"/>
      <c r="S13" s="6"/>
      <c r="T13" s="6"/>
    </row>
    <row r="14" spans="1:21" ht="15">
      <c r="A14" s="8" t="s">
        <v>4</v>
      </c>
      <c r="B14" s="111">
        <v>19462456.739999998</v>
      </c>
      <c r="C14" s="111">
        <v>24469221.629999999</v>
      </c>
      <c r="D14" s="111">
        <v>6525720</v>
      </c>
      <c r="E14" s="111">
        <v>2261438</v>
      </c>
      <c r="F14" s="111">
        <v>9564849.2400000002</v>
      </c>
      <c r="G14" s="111">
        <v>18676436.75</v>
      </c>
      <c r="H14" s="111">
        <v>15853187</v>
      </c>
      <c r="I14" s="111">
        <v>10813833.08</v>
      </c>
      <c r="J14" s="112">
        <v>14438818</v>
      </c>
      <c r="K14" s="111">
        <v>9789350</v>
      </c>
      <c r="L14" s="112">
        <v>8973342</v>
      </c>
      <c r="M14" s="112">
        <v>5038680</v>
      </c>
      <c r="N14" s="112">
        <v>11735362</v>
      </c>
      <c r="O14" s="181">
        <v>9795748</v>
      </c>
      <c r="P14" s="181">
        <v>9602782</v>
      </c>
      <c r="Q14" s="181">
        <v>10707995</v>
      </c>
      <c r="S14" s="6"/>
      <c r="T14" s="6"/>
    </row>
    <row r="15" spans="1:21" ht="17.25" customHeight="1">
      <c r="A15" s="8" t="s">
        <v>405</v>
      </c>
      <c r="B15" s="111">
        <v>1141.49</v>
      </c>
      <c r="C15" s="111">
        <v>0</v>
      </c>
      <c r="D15" s="111">
        <v>9347954</v>
      </c>
      <c r="E15" s="111">
        <v>3747363</v>
      </c>
      <c r="F15" s="111">
        <v>354783.85</v>
      </c>
      <c r="G15" s="111">
        <v>-101012.25</v>
      </c>
      <c r="H15" s="111">
        <v>42215.48</v>
      </c>
      <c r="I15" s="111">
        <v>375475.23</v>
      </c>
      <c r="J15" s="112">
        <v>-123917.97</v>
      </c>
      <c r="K15" s="112">
        <v>-1192886.3999999999</v>
      </c>
      <c r="L15" s="112">
        <v>-4698.03</v>
      </c>
      <c r="M15" s="112">
        <v>0</v>
      </c>
      <c r="N15" s="112">
        <v>0</v>
      </c>
      <c r="O15" s="181">
        <v>-650000</v>
      </c>
      <c r="P15" s="181">
        <v>824395</v>
      </c>
      <c r="Q15" s="181">
        <v>318146</v>
      </c>
      <c r="R15" s="164" t="s">
        <v>391</v>
      </c>
      <c r="S15" s="6"/>
      <c r="T15" s="6"/>
    </row>
    <row r="16" spans="1:21" ht="17.399999999999999">
      <c r="A16" s="8" t="s">
        <v>407</v>
      </c>
      <c r="B16" s="8"/>
      <c r="C16" s="8"/>
      <c r="D16" s="8"/>
      <c r="E16" s="8"/>
      <c r="F16" s="8"/>
      <c r="G16" s="111">
        <v>-5658821</v>
      </c>
      <c r="H16" s="111">
        <v>-3141637</v>
      </c>
      <c r="I16" s="111"/>
      <c r="J16" s="111"/>
      <c r="K16" s="112"/>
      <c r="L16" s="111"/>
      <c r="M16" s="111"/>
      <c r="N16" s="111"/>
      <c r="O16" s="111"/>
      <c r="P16" s="111"/>
      <c r="Q16" s="111"/>
      <c r="R16" s="165">
        <f>SUM(Q12:Q16)</f>
        <v>41897147</v>
      </c>
      <c r="S16" s="6"/>
      <c r="T16" s="6"/>
    </row>
    <row r="17" spans="1:20" ht="15">
      <c r="A17" s="5" t="s">
        <v>1</v>
      </c>
      <c r="B17" s="43">
        <f t="shared" ref="B17:F17" si="0">SUM(B4:B16)</f>
        <v>173276548.43000001</v>
      </c>
      <c r="C17" s="43">
        <f t="shared" si="0"/>
        <v>174429929.69999999</v>
      </c>
      <c r="D17" s="43">
        <f t="shared" si="0"/>
        <v>174413008</v>
      </c>
      <c r="E17" s="43">
        <f t="shared" si="0"/>
        <v>205271804.73000002</v>
      </c>
      <c r="F17" s="43">
        <f t="shared" si="0"/>
        <v>239587953.02000001</v>
      </c>
      <c r="G17" s="43">
        <f t="shared" ref="G17:Q17" si="1">SUM(G4:G16)</f>
        <v>311214895.48000002</v>
      </c>
      <c r="H17" s="43">
        <f t="shared" si="1"/>
        <v>306409771.88</v>
      </c>
      <c r="I17" s="43">
        <f t="shared" si="1"/>
        <v>291101892.44999999</v>
      </c>
      <c r="J17" s="43">
        <f t="shared" si="1"/>
        <v>269134110.02999997</v>
      </c>
      <c r="K17" s="43">
        <f t="shared" si="1"/>
        <v>279550548.79000002</v>
      </c>
      <c r="L17" s="43">
        <f t="shared" si="1"/>
        <v>274172173.88</v>
      </c>
      <c r="M17" s="43">
        <f t="shared" si="1"/>
        <v>259957535</v>
      </c>
      <c r="N17" s="43">
        <f t="shared" ref="N17:P17" si="2">SUM(N4:N16)</f>
        <v>289372127</v>
      </c>
      <c r="O17" s="43">
        <f t="shared" si="2"/>
        <v>262715159</v>
      </c>
      <c r="P17" s="43">
        <f t="shared" si="2"/>
        <v>278235868</v>
      </c>
      <c r="Q17" s="43">
        <f t="shared" si="1"/>
        <v>295513265</v>
      </c>
      <c r="R17" s="6"/>
      <c r="S17" s="6"/>
      <c r="T17" s="6"/>
    </row>
    <row r="18" spans="1:20" ht="15">
      <c r="A18" s="4"/>
      <c r="B18" s="4"/>
      <c r="C18" s="4"/>
      <c r="D18" s="4"/>
      <c r="E18" s="4"/>
      <c r="F18" s="4"/>
      <c r="G18" s="3"/>
      <c r="H18" s="3"/>
      <c r="I18" s="3"/>
      <c r="J18" s="3"/>
      <c r="K18" s="3"/>
      <c r="L18" s="3"/>
    </row>
    <row r="19" spans="1:20" ht="15">
      <c r="A19" s="158" t="s">
        <v>235</v>
      </c>
      <c r="B19" s="158"/>
      <c r="C19" s="158"/>
      <c r="D19" s="158"/>
      <c r="E19" s="158"/>
      <c r="F19" s="158"/>
      <c r="G19" s="3"/>
      <c r="H19" s="3"/>
      <c r="I19" s="3"/>
      <c r="J19" s="3"/>
      <c r="K19" s="3"/>
      <c r="L19" s="3"/>
    </row>
    <row r="20" spans="1:20" ht="15">
      <c r="A20" s="221" t="s">
        <v>9</v>
      </c>
      <c r="B20" s="222">
        <v>2006</v>
      </c>
      <c r="C20" s="222">
        <v>2007</v>
      </c>
      <c r="D20" s="222">
        <v>2008</v>
      </c>
      <c r="E20" s="222">
        <v>2009</v>
      </c>
      <c r="F20" s="222">
        <v>2010</v>
      </c>
      <c r="G20" s="222">
        <f t="shared" ref="G20:Q20" si="3">G3</f>
        <v>2011</v>
      </c>
      <c r="H20" s="222">
        <f t="shared" si="3"/>
        <v>2012</v>
      </c>
      <c r="I20" s="222">
        <f t="shared" si="3"/>
        <v>2013</v>
      </c>
      <c r="J20" s="222">
        <f t="shared" si="3"/>
        <v>2014</v>
      </c>
      <c r="K20" s="222">
        <f t="shared" si="3"/>
        <v>2015</v>
      </c>
      <c r="L20" s="222">
        <f t="shared" si="3"/>
        <v>2016</v>
      </c>
      <c r="M20" s="222">
        <f t="shared" si="3"/>
        <v>2017</v>
      </c>
      <c r="N20" s="222">
        <f t="shared" ref="N20:P20" si="4">N3</f>
        <v>20182</v>
      </c>
      <c r="O20" s="222">
        <f t="shared" si="4"/>
        <v>2019</v>
      </c>
      <c r="P20" s="222">
        <f t="shared" si="4"/>
        <v>2020</v>
      </c>
      <c r="Q20" s="222">
        <f t="shared" si="3"/>
        <v>2021</v>
      </c>
    </row>
    <row r="21" spans="1:20" ht="15">
      <c r="A21" s="8" t="s">
        <v>6</v>
      </c>
      <c r="B21" s="7">
        <f t="shared" ref="B21:F21" si="5">B5+B12</f>
        <v>106630937.19</v>
      </c>
      <c r="C21" s="7">
        <f t="shared" si="5"/>
        <v>105122393.94</v>
      </c>
      <c r="D21" s="7">
        <f t="shared" si="5"/>
        <v>102755054</v>
      </c>
      <c r="E21" s="7">
        <f t="shared" si="5"/>
        <v>126571326.25</v>
      </c>
      <c r="F21" s="7">
        <f t="shared" si="5"/>
        <v>160624889.25</v>
      </c>
      <c r="G21" s="7">
        <f t="shared" ref="G21:Q22" si="6">G5+G12</f>
        <v>209046030.5</v>
      </c>
      <c r="H21" s="7">
        <f t="shared" si="6"/>
        <v>205632268.75</v>
      </c>
      <c r="I21" s="7">
        <f t="shared" si="6"/>
        <v>195087363.49000001</v>
      </c>
      <c r="J21" s="7">
        <f t="shared" si="6"/>
        <v>166367853</v>
      </c>
      <c r="K21" s="7">
        <f t="shared" si="6"/>
        <v>192153088</v>
      </c>
      <c r="L21" s="7">
        <f t="shared" si="6"/>
        <v>192822955.50999999</v>
      </c>
      <c r="M21" s="7">
        <f t="shared" si="6"/>
        <v>175078132</v>
      </c>
      <c r="N21" s="7">
        <f t="shared" ref="N21:P21" si="7">N5+N12</f>
        <v>187276357</v>
      </c>
      <c r="O21" s="7">
        <f t="shared" si="7"/>
        <v>181202295</v>
      </c>
      <c r="P21" s="7">
        <f t="shared" si="7"/>
        <v>191285316</v>
      </c>
      <c r="Q21" s="7">
        <f t="shared" si="6"/>
        <v>193335316</v>
      </c>
    </row>
    <row r="22" spans="1:20" ht="15">
      <c r="A22" s="8" t="s">
        <v>5</v>
      </c>
      <c r="B22" s="7">
        <f t="shared" ref="B22:F22" si="8">B6+B13</f>
        <v>25688290.520000003</v>
      </c>
      <c r="C22" s="7">
        <f t="shared" si="8"/>
        <v>21444664.559999999</v>
      </c>
      <c r="D22" s="7">
        <f t="shared" si="8"/>
        <v>31010039</v>
      </c>
      <c r="E22" s="7">
        <f t="shared" si="8"/>
        <v>41225300.239999995</v>
      </c>
      <c r="F22" s="7">
        <f t="shared" si="8"/>
        <v>36656859.240000002</v>
      </c>
      <c r="G22" s="7">
        <f t="shared" si="6"/>
        <v>58941817.480000004</v>
      </c>
      <c r="H22" s="7">
        <f t="shared" si="6"/>
        <v>53678572.759999998</v>
      </c>
      <c r="I22" s="7">
        <f t="shared" si="6"/>
        <v>48188111.380000003</v>
      </c>
      <c r="J22" s="7">
        <f t="shared" si="6"/>
        <v>51630064</v>
      </c>
      <c r="K22" s="7">
        <f t="shared" si="6"/>
        <v>38735187</v>
      </c>
      <c r="L22" s="7">
        <f t="shared" si="6"/>
        <v>45114243.75</v>
      </c>
      <c r="M22" s="7">
        <f t="shared" si="6"/>
        <v>41867837</v>
      </c>
      <c r="N22" s="7">
        <f t="shared" ref="N22:P22" si="9">N6+N13</f>
        <v>55109081</v>
      </c>
      <c r="O22" s="7">
        <f t="shared" si="9"/>
        <v>35057210</v>
      </c>
      <c r="P22" s="7">
        <f t="shared" si="9"/>
        <v>37571770</v>
      </c>
      <c r="Q22" s="7">
        <f t="shared" si="6"/>
        <v>44301263</v>
      </c>
    </row>
    <row r="23" spans="1:20" ht="15">
      <c r="A23" s="8" t="s">
        <v>4</v>
      </c>
      <c r="B23" s="7">
        <f t="shared" ref="B23:F23" si="10">B7+B14</f>
        <v>26842908.359999999</v>
      </c>
      <c r="C23" s="7">
        <f t="shared" si="10"/>
        <v>33363535.329999998</v>
      </c>
      <c r="D23" s="7">
        <f t="shared" si="10"/>
        <v>16679586</v>
      </c>
      <c r="E23" s="7">
        <f t="shared" si="10"/>
        <v>13752725.24</v>
      </c>
      <c r="F23" s="7">
        <f t="shared" si="10"/>
        <v>21670658.240000002</v>
      </c>
      <c r="G23" s="7">
        <f t="shared" ref="G23:Q23" si="11">G7+G14</f>
        <v>30708662.75</v>
      </c>
      <c r="H23" s="7">
        <f t="shared" si="11"/>
        <v>29067756.75</v>
      </c>
      <c r="I23" s="7">
        <f t="shared" si="11"/>
        <v>22215304.060000002</v>
      </c>
      <c r="J23" s="7">
        <f t="shared" si="11"/>
        <v>26409304</v>
      </c>
      <c r="K23" s="7">
        <f t="shared" si="11"/>
        <v>26419381</v>
      </c>
      <c r="L23" s="7">
        <f t="shared" si="11"/>
        <v>23065264</v>
      </c>
      <c r="M23" s="7">
        <f t="shared" ref="M23:P23" si="12">M7+M14</f>
        <v>17552914</v>
      </c>
      <c r="N23" s="7">
        <f t="shared" si="12"/>
        <v>24304991</v>
      </c>
      <c r="O23" s="7">
        <f t="shared" si="12"/>
        <v>23372108</v>
      </c>
      <c r="P23" s="7">
        <f t="shared" si="12"/>
        <v>26637849</v>
      </c>
      <c r="Q23" s="7">
        <f t="shared" si="11"/>
        <v>25815371</v>
      </c>
    </row>
    <row r="24" spans="1:20" ht="15">
      <c r="A24" s="8" t="s">
        <v>3</v>
      </c>
      <c r="B24" s="7">
        <f t="shared" ref="B24:F24" si="13">B8+B15</f>
        <v>14114412.359999999</v>
      </c>
      <c r="C24" s="7">
        <f t="shared" si="13"/>
        <v>14499335.869999999</v>
      </c>
      <c r="D24" s="7">
        <f t="shared" si="13"/>
        <v>23968329</v>
      </c>
      <c r="E24" s="7">
        <f t="shared" si="13"/>
        <v>23722453</v>
      </c>
      <c r="F24" s="7">
        <f t="shared" si="13"/>
        <v>20635546.290000003</v>
      </c>
      <c r="G24" s="7">
        <f t="shared" ref="G24:Q24" si="14">G8+G15</f>
        <v>18177205.75</v>
      </c>
      <c r="H24" s="7">
        <f t="shared" si="14"/>
        <v>21172810.620000001</v>
      </c>
      <c r="I24" s="7">
        <f t="shared" si="14"/>
        <v>25611113.52</v>
      </c>
      <c r="J24" s="7">
        <f t="shared" si="14"/>
        <v>24726889.030000001</v>
      </c>
      <c r="K24" s="7">
        <f t="shared" si="14"/>
        <v>22242892.790000003</v>
      </c>
      <c r="L24" s="7">
        <f t="shared" si="14"/>
        <v>13169710.620000001</v>
      </c>
      <c r="M24" s="7">
        <f t="shared" ref="M24:P24" si="15">M8+M15</f>
        <v>25458652</v>
      </c>
      <c r="N24" s="7">
        <f t="shared" si="15"/>
        <v>12009661</v>
      </c>
      <c r="O24" s="7">
        <f t="shared" si="15"/>
        <v>11221288</v>
      </c>
      <c r="P24" s="7">
        <f t="shared" si="15"/>
        <v>10926022</v>
      </c>
      <c r="Q24" s="7">
        <f t="shared" si="14"/>
        <v>19554376</v>
      </c>
    </row>
    <row r="25" spans="1:20" ht="15">
      <c r="A25" s="8" t="s">
        <v>2</v>
      </c>
      <c r="B25" s="7">
        <f t="shared" ref="B25:F25" si="16">B16</f>
        <v>0</v>
      </c>
      <c r="C25" s="7">
        <f t="shared" si="16"/>
        <v>0</v>
      </c>
      <c r="D25" s="7">
        <f t="shared" si="16"/>
        <v>0</v>
      </c>
      <c r="E25" s="7">
        <f t="shared" si="16"/>
        <v>0</v>
      </c>
      <c r="F25" s="7">
        <f t="shared" si="16"/>
        <v>0</v>
      </c>
      <c r="G25" s="7">
        <f t="shared" ref="G25:Q25" si="17">G16</f>
        <v>-5658821</v>
      </c>
      <c r="H25" s="7">
        <f t="shared" si="17"/>
        <v>-3141637</v>
      </c>
      <c r="I25" s="7">
        <f t="shared" si="17"/>
        <v>0</v>
      </c>
      <c r="J25" s="7">
        <f t="shared" si="17"/>
        <v>0</v>
      </c>
      <c r="K25" s="7">
        <f t="shared" si="17"/>
        <v>0</v>
      </c>
      <c r="L25" s="7">
        <f t="shared" si="17"/>
        <v>0</v>
      </c>
      <c r="M25" s="7">
        <f t="shared" ref="M25:P25" si="18">M16</f>
        <v>0</v>
      </c>
      <c r="N25" s="7">
        <f t="shared" si="18"/>
        <v>0</v>
      </c>
      <c r="O25" s="7">
        <f t="shared" si="18"/>
        <v>0</v>
      </c>
      <c r="P25" s="7">
        <f t="shared" si="18"/>
        <v>0</v>
      </c>
      <c r="Q25" s="7">
        <f t="shared" si="17"/>
        <v>0</v>
      </c>
    </row>
    <row r="26" spans="1:20" ht="15">
      <c r="A26" s="8" t="s">
        <v>245</v>
      </c>
      <c r="B26" s="7"/>
      <c r="C26" s="7"/>
      <c r="D26" s="7"/>
      <c r="E26" s="7"/>
      <c r="F26" s="7"/>
      <c r="G26" s="7"/>
      <c r="H26" s="7"/>
      <c r="I26" s="7"/>
      <c r="J26" s="7"/>
      <c r="K26" s="7"/>
      <c r="L26" s="7"/>
      <c r="M26" s="7"/>
      <c r="N26" s="7">
        <f>N9+N10</f>
        <v>10672037</v>
      </c>
      <c r="O26" s="7">
        <f>O9+O10</f>
        <v>11862258</v>
      </c>
      <c r="P26" s="7">
        <f>P9+P10</f>
        <v>11814911</v>
      </c>
      <c r="Q26" s="7">
        <f>Q9+Q10</f>
        <v>12506939</v>
      </c>
    </row>
    <row r="27" spans="1:20" ht="15">
      <c r="A27" s="5" t="s">
        <v>1</v>
      </c>
      <c r="B27" s="43">
        <f t="shared" ref="B27:F27" si="19">B17</f>
        <v>173276548.43000001</v>
      </c>
      <c r="C27" s="43">
        <f t="shared" si="19"/>
        <v>174429929.69999999</v>
      </c>
      <c r="D27" s="43">
        <f t="shared" si="19"/>
        <v>174413008</v>
      </c>
      <c r="E27" s="43">
        <f t="shared" si="19"/>
        <v>205271804.73000002</v>
      </c>
      <c r="F27" s="43">
        <f t="shared" si="19"/>
        <v>239587953.02000001</v>
      </c>
      <c r="G27" s="43">
        <f t="shared" ref="G27:Q27" si="20">G17</f>
        <v>311214895.48000002</v>
      </c>
      <c r="H27" s="43">
        <f t="shared" si="20"/>
        <v>306409771.88</v>
      </c>
      <c r="I27" s="43">
        <f t="shared" si="20"/>
        <v>291101892.44999999</v>
      </c>
      <c r="J27" s="43">
        <f t="shared" si="20"/>
        <v>269134110.02999997</v>
      </c>
      <c r="K27" s="43">
        <f t="shared" si="20"/>
        <v>279550548.79000002</v>
      </c>
      <c r="L27" s="43">
        <f t="shared" si="20"/>
        <v>274172173.88</v>
      </c>
      <c r="M27" s="43">
        <f t="shared" ref="M27:P27" si="21">M17</f>
        <v>259957535</v>
      </c>
      <c r="N27" s="43">
        <f t="shared" si="21"/>
        <v>289372127</v>
      </c>
      <c r="O27" s="43">
        <f t="shared" si="21"/>
        <v>262715159</v>
      </c>
      <c r="P27" s="43">
        <f t="shared" si="21"/>
        <v>278235868</v>
      </c>
      <c r="Q27" s="43">
        <f t="shared" si="20"/>
        <v>295513265</v>
      </c>
    </row>
    <row r="28" spans="1:20" ht="15">
      <c r="A28" s="4"/>
      <c r="B28" s="3"/>
      <c r="C28" s="3"/>
      <c r="D28" s="3"/>
      <c r="E28" s="3"/>
      <c r="F28" s="3"/>
      <c r="G28" s="3"/>
      <c r="H28" s="3"/>
      <c r="I28" s="3"/>
      <c r="J28" s="3"/>
      <c r="K28" s="3"/>
      <c r="L28" s="3"/>
    </row>
    <row r="29" spans="1:20" ht="15">
      <c r="A29" s="159"/>
      <c r="B29" s="3"/>
      <c r="C29" s="3"/>
      <c r="D29" s="3"/>
      <c r="E29" s="3"/>
      <c r="F29" s="3"/>
      <c r="G29" s="3"/>
      <c r="H29" s="3"/>
      <c r="I29" s="3"/>
      <c r="J29" s="3"/>
      <c r="K29" s="3"/>
      <c r="L29" s="3"/>
    </row>
    <row r="30" spans="1:20" ht="15">
      <c r="A30" s="44" t="s">
        <v>0</v>
      </c>
      <c r="B30" s="45"/>
      <c r="C30" s="45"/>
      <c r="D30" s="45"/>
      <c r="E30" s="45"/>
      <c r="F30" s="45"/>
      <c r="G30" s="45"/>
      <c r="H30" s="45"/>
      <c r="I30" s="45"/>
      <c r="J30" s="45"/>
      <c r="K30" s="45"/>
      <c r="L30" s="45"/>
      <c r="M30" s="46"/>
      <c r="N30" s="46"/>
    </row>
    <row r="31" spans="1:20" s="160" customFormat="1" ht="19.5" customHeight="1">
      <c r="A31" s="227" t="s">
        <v>401</v>
      </c>
      <c r="B31" s="227"/>
      <c r="C31" s="227"/>
      <c r="D31" s="227"/>
      <c r="E31" s="227"/>
      <c r="F31" s="227"/>
      <c r="G31" s="227"/>
      <c r="H31" s="227"/>
      <c r="I31" s="227"/>
      <c r="J31" s="227"/>
      <c r="K31" s="227"/>
      <c r="L31" s="227"/>
      <c r="M31" s="227"/>
      <c r="N31" s="227"/>
      <c r="O31" s="227"/>
      <c r="P31" s="227"/>
      <c r="Q31" s="227"/>
    </row>
    <row r="32" spans="1:20" s="160" customFormat="1" ht="19.5" customHeight="1">
      <c r="A32" s="227" t="s">
        <v>432</v>
      </c>
      <c r="B32" s="227"/>
      <c r="C32" s="227"/>
      <c r="D32" s="227"/>
      <c r="E32" s="227"/>
      <c r="F32" s="227"/>
      <c r="G32" s="227"/>
      <c r="H32" s="227"/>
      <c r="I32" s="227"/>
      <c r="J32" s="227"/>
      <c r="K32" s="227"/>
      <c r="L32" s="227"/>
      <c r="M32" s="227"/>
      <c r="N32" s="227"/>
      <c r="O32" s="227"/>
      <c r="P32" s="227"/>
      <c r="Q32" s="227"/>
    </row>
    <row r="33" spans="1:17" s="160" customFormat="1" ht="19.5" customHeight="1">
      <c r="A33" s="227" t="s">
        <v>410</v>
      </c>
      <c r="B33" s="227"/>
      <c r="C33" s="227"/>
      <c r="D33" s="227"/>
      <c r="E33" s="227"/>
      <c r="F33" s="227"/>
      <c r="G33" s="227"/>
      <c r="H33" s="227"/>
      <c r="I33" s="227"/>
      <c r="J33" s="227"/>
      <c r="K33" s="227"/>
      <c r="L33" s="227"/>
      <c r="M33" s="227"/>
      <c r="N33" s="227"/>
      <c r="O33" s="227"/>
      <c r="P33" s="227"/>
      <c r="Q33" s="227"/>
    </row>
    <row r="34" spans="1:17" s="160" customFormat="1" ht="19.5" customHeight="1">
      <c r="A34" s="227" t="s">
        <v>408</v>
      </c>
      <c r="B34" s="227"/>
      <c r="C34" s="227"/>
      <c r="D34" s="227"/>
      <c r="E34" s="227"/>
      <c r="F34" s="227"/>
      <c r="G34" s="227"/>
      <c r="H34" s="227"/>
      <c r="I34" s="227"/>
      <c r="J34" s="227"/>
      <c r="K34" s="227"/>
      <c r="L34" s="227"/>
      <c r="M34" s="227"/>
      <c r="N34" s="227"/>
      <c r="O34" s="227"/>
      <c r="P34" s="227"/>
      <c r="Q34" s="227"/>
    </row>
    <row r="35" spans="1:17" s="160" customFormat="1" ht="19.5" customHeight="1">
      <c r="A35" s="227" t="s">
        <v>416</v>
      </c>
      <c r="B35" s="227"/>
      <c r="C35" s="227"/>
      <c r="D35" s="227"/>
      <c r="E35" s="227"/>
      <c r="F35" s="227"/>
      <c r="G35" s="227"/>
      <c r="H35" s="227"/>
      <c r="I35" s="227"/>
      <c r="J35" s="227"/>
      <c r="K35" s="227"/>
      <c r="L35" s="227"/>
      <c r="M35" s="227"/>
      <c r="N35" s="227"/>
      <c r="O35" s="225"/>
      <c r="P35" s="226"/>
      <c r="Q35" s="226"/>
    </row>
    <row r="36" spans="1:17" s="160" customFormat="1" ht="19.5" customHeight="1">
      <c r="A36" s="227" t="s">
        <v>415</v>
      </c>
      <c r="B36" s="227"/>
      <c r="C36" s="227"/>
      <c r="D36" s="227"/>
      <c r="E36" s="227"/>
      <c r="F36" s="227"/>
      <c r="G36" s="227"/>
      <c r="H36" s="227"/>
      <c r="I36" s="227"/>
      <c r="J36" s="227"/>
      <c r="K36" s="227"/>
      <c r="L36" s="227"/>
      <c r="M36" s="227"/>
      <c r="N36" s="227"/>
      <c r="O36" s="225"/>
      <c r="P36" s="226"/>
      <c r="Q36" s="226"/>
    </row>
    <row r="37" spans="1:17">
      <c r="B37" s="160"/>
      <c r="C37" s="160"/>
      <c r="D37" s="160"/>
      <c r="E37" s="160"/>
      <c r="F37" s="160"/>
      <c r="G37" s="160"/>
      <c r="H37" s="160"/>
      <c r="I37" s="160"/>
      <c r="J37" s="160"/>
      <c r="K37" s="160"/>
      <c r="L37" s="160"/>
      <c r="M37" s="160"/>
      <c r="N37" s="160"/>
      <c r="O37" s="160"/>
      <c r="P37" s="160"/>
    </row>
    <row r="38" spans="1:17" ht="15">
      <c r="A38" s="390"/>
      <c r="B38" s="391"/>
      <c r="C38" s="391"/>
      <c r="D38" s="391"/>
      <c r="E38" s="391"/>
      <c r="F38" s="391"/>
      <c r="G38" s="391"/>
      <c r="H38" s="391"/>
      <c r="I38" s="391"/>
      <c r="J38" s="391"/>
      <c r="K38" s="391"/>
      <c r="L38" s="391"/>
    </row>
    <row r="39" spans="1:17" ht="15">
      <c r="A39" s="47"/>
      <c r="B39" s="48" t="str">
        <f>TEXT(Q20,0)&amp;" exp+capital"</f>
        <v>2021 exp+capital</v>
      </c>
      <c r="D39" s="163" t="s">
        <v>182</v>
      </c>
    </row>
    <row r="40" spans="1:17" ht="15">
      <c r="A40" s="47" t="s">
        <v>6</v>
      </c>
      <c r="B40" s="49">
        <f>Q21</f>
        <v>193335316</v>
      </c>
    </row>
    <row r="41" spans="1:17" ht="15">
      <c r="A41" s="47" t="s">
        <v>5</v>
      </c>
      <c r="B41" s="49">
        <f t="shared" ref="B41:B43" si="22">Q22</f>
        <v>44301263</v>
      </c>
      <c r="D41" s="387"/>
      <c r="E41" s="388"/>
      <c r="F41" s="388"/>
      <c r="G41" s="388"/>
      <c r="H41" s="388"/>
      <c r="I41" s="388"/>
      <c r="J41" s="388"/>
      <c r="K41" s="388"/>
      <c r="L41" s="388"/>
      <c r="M41" s="388"/>
      <c r="N41" s="388"/>
      <c r="O41" s="388"/>
    </row>
    <row r="42" spans="1:17" ht="17.25" customHeight="1">
      <c r="A42" s="47" t="s">
        <v>4</v>
      </c>
      <c r="B42" s="49">
        <f t="shared" si="22"/>
        <v>25815371</v>
      </c>
      <c r="D42" s="386" t="str">
        <f>"Total: $" &amp; TEXT(Q27,"#0.0,,") &amp; " million includes $" &amp; TEXT(R16,"#0.0,,") &amp; " million in obligations to capital projects, plus General and Administrative (G&amp;A) expenses ($"&amp;TEXT(Q9,"#0.0,,")&amp;" million, not included), and Columbia River System Operations Review/Environmental Impact Statement expenses ($"&amp;TEXT(ROUND(Q10,-2),"#0.0,,")&amp;" million, not included)"</f>
        <v>Total: $295.5 million includes $41.9 million in obligations to capital projects, plus General and Administrative (G&amp;A) expenses ($12.3 million, not included), and Columbia River System Operations Review/Environmental Impact Statement expenses ($0.2 million, not included)</v>
      </c>
      <c r="E42" s="386"/>
      <c r="F42" s="386"/>
      <c r="G42" s="386"/>
      <c r="H42" s="386"/>
      <c r="I42" s="386"/>
      <c r="J42" s="386"/>
      <c r="K42" s="386"/>
      <c r="L42" s="386"/>
      <c r="M42" s="386"/>
      <c r="N42" s="386"/>
      <c r="O42" s="386"/>
    </row>
    <row r="43" spans="1:17" ht="15">
      <c r="A43" s="47" t="s">
        <v>3</v>
      </c>
      <c r="B43" s="49">
        <f t="shared" si="22"/>
        <v>19554376</v>
      </c>
      <c r="D43" s="386"/>
      <c r="E43" s="386"/>
      <c r="F43" s="386"/>
      <c r="G43" s="386"/>
      <c r="H43" s="386"/>
      <c r="I43" s="386"/>
      <c r="J43" s="386"/>
      <c r="K43" s="386"/>
      <c r="L43" s="386"/>
      <c r="M43" s="386"/>
      <c r="N43" s="386"/>
      <c r="O43" s="386"/>
    </row>
    <row r="44" spans="1:17" ht="15">
      <c r="A44" s="47"/>
      <c r="B44" s="49"/>
    </row>
    <row r="45" spans="1:17" ht="15">
      <c r="A45" s="47"/>
      <c r="B45" s="47"/>
    </row>
    <row r="46" spans="1:17" ht="15">
      <c r="A46" s="47"/>
      <c r="B46" s="49">
        <f>Q17-SUM(B40:B43)</f>
        <v>12506939</v>
      </c>
    </row>
    <row r="47" spans="1:17" ht="15">
      <c r="A47" s="47"/>
      <c r="B47" s="47"/>
    </row>
    <row r="48" spans="1:17" ht="15">
      <c r="A48" s="47"/>
      <c r="B48" s="47"/>
    </row>
    <row r="49" spans="1:2" ht="15">
      <c r="A49" s="1"/>
      <c r="B49" s="47"/>
    </row>
  </sheetData>
  <mergeCells count="4">
    <mergeCell ref="D42:O43"/>
    <mergeCell ref="D41:O41"/>
    <mergeCell ref="A1:M1"/>
    <mergeCell ref="A38:L38"/>
  </mergeCells>
  <pageMargins left="0.36" right="0.35" top="0.82" bottom="0.28000000000000003" header="0.21" footer="0.16"/>
  <pageSetup scale="4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4"/>
  <sheetViews>
    <sheetView topLeftCell="A7" workbookViewId="0">
      <selection activeCell="A6" sqref="A6"/>
    </sheetView>
  </sheetViews>
  <sheetFormatPr defaultColWidth="9.109375" defaultRowHeight="15"/>
  <cols>
    <col min="1" max="5" width="16.33203125" style="14" customWidth="1"/>
    <col min="6" max="10" width="15.44140625" style="14" bestFit="1" customWidth="1"/>
    <col min="11" max="15" width="15.44140625" style="13" customWidth="1"/>
    <col min="16" max="17" width="15.5546875" style="13" customWidth="1"/>
    <col min="18" max="16384" width="9.109375" style="13"/>
  </cols>
  <sheetData>
    <row r="1" spans="1:19" ht="30.75" customHeight="1">
      <c r="A1" s="20" t="str">
        <f>"Figure 3: FCRPS BiOp Project Costs, FY"&amp;B2&amp;"-"&amp;Q2</f>
        <v>Figure 3: FCRPS BiOp Project Costs, FY2006-2021</v>
      </c>
      <c r="B1" s="20"/>
      <c r="C1" s="20"/>
      <c r="D1" s="20"/>
      <c r="E1" s="20"/>
    </row>
    <row r="2" spans="1:19" ht="21.75" customHeight="1">
      <c r="A2" s="220" t="s">
        <v>12</v>
      </c>
      <c r="B2" s="215">
        <v>2006</v>
      </c>
      <c r="C2" s="215">
        <v>2007</v>
      </c>
      <c r="D2" s="215">
        <v>2008</v>
      </c>
      <c r="E2" s="215">
        <v>2009</v>
      </c>
      <c r="F2" s="215">
        <v>2010</v>
      </c>
      <c r="G2" s="215">
        <v>2011</v>
      </c>
      <c r="H2" s="215">
        <v>2012</v>
      </c>
      <c r="I2" s="215">
        <v>2013</v>
      </c>
      <c r="J2" s="215">
        <v>2014</v>
      </c>
      <c r="K2" s="215">
        <v>2015</v>
      </c>
      <c r="L2" s="215" t="s">
        <v>338</v>
      </c>
      <c r="M2" s="215">
        <v>2017</v>
      </c>
      <c r="N2" s="215">
        <v>2018</v>
      </c>
      <c r="O2" s="215">
        <v>2019</v>
      </c>
      <c r="P2" s="215">
        <v>2020</v>
      </c>
      <c r="Q2" s="215">
        <v>2021</v>
      </c>
    </row>
    <row r="3" spans="1:19">
      <c r="A3" s="50" t="s">
        <v>11</v>
      </c>
      <c r="B3" s="42">
        <v>74024959.329999998</v>
      </c>
      <c r="C3" s="42">
        <v>78219265.00000003</v>
      </c>
      <c r="D3" s="42">
        <v>91806508</v>
      </c>
      <c r="E3" s="42">
        <v>113900603</v>
      </c>
      <c r="F3" s="42">
        <v>129758323</v>
      </c>
      <c r="G3" s="42">
        <v>143477289</v>
      </c>
      <c r="H3" s="42">
        <v>162060445</v>
      </c>
      <c r="I3" s="42">
        <v>151177409</v>
      </c>
      <c r="J3" s="42">
        <v>143128947.90000001</v>
      </c>
      <c r="K3" s="42">
        <v>165362220.78999999</v>
      </c>
      <c r="L3" s="113">
        <v>159987743.56999999</v>
      </c>
      <c r="M3" s="113">
        <v>156828472.72999999</v>
      </c>
      <c r="N3" s="113">
        <v>153679667</v>
      </c>
      <c r="O3" s="114">
        <v>137887504</v>
      </c>
      <c r="P3" s="114">
        <v>132646392</v>
      </c>
      <c r="Q3" s="114">
        <v>146563109</v>
      </c>
    </row>
    <row r="4" spans="1:19">
      <c r="A4" s="50" t="s">
        <v>10</v>
      </c>
      <c r="B4" s="42">
        <v>5086155.01</v>
      </c>
      <c r="C4" s="42">
        <v>8839587.0300000012</v>
      </c>
      <c r="D4" s="42">
        <v>9869097</v>
      </c>
      <c r="E4" s="42">
        <v>11668863</v>
      </c>
      <c r="F4" s="42">
        <v>21761323</v>
      </c>
      <c r="G4" s="42">
        <v>31297548</v>
      </c>
      <c r="H4" s="42">
        <v>29240867</v>
      </c>
      <c r="I4" s="42">
        <v>29683425</v>
      </c>
      <c r="J4" s="42">
        <v>5925196.1100000003</v>
      </c>
      <c r="K4" s="42">
        <v>7703153.2699999996</v>
      </c>
      <c r="L4" s="113">
        <v>1249955.1399999999</v>
      </c>
      <c r="M4" s="113">
        <v>-396792.47</v>
      </c>
      <c r="N4" s="113">
        <v>25343</v>
      </c>
      <c r="O4" s="114">
        <v>1470148</v>
      </c>
      <c r="P4" s="114">
        <v>8024833</v>
      </c>
      <c r="Q4" s="114">
        <v>9249428</v>
      </c>
    </row>
    <row r="5" spans="1:19" s="16" customFormat="1">
      <c r="A5" s="19" t="s">
        <v>1</v>
      </c>
      <c r="B5" s="18">
        <f t="shared" ref="B5:E5" si="0">SUM(B3:B4)</f>
        <v>79111114.340000004</v>
      </c>
      <c r="C5" s="18">
        <f t="shared" si="0"/>
        <v>87058852.030000031</v>
      </c>
      <c r="D5" s="18">
        <f t="shared" si="0"/>
        <v>101675605</v>
      </c>
      <c r="E5" s="18">
        <f t="shared" si="0"/>
        <v>125569466</v>
      </c>
      <c r="F5" s="18">
        <f t="shared" ref="F5:Q5" si="1">SUM(F3:F4)</f>
        <v>151519646</v>
      </c>
      <c r="G5" s="18">
        <f t="shared" si="1"/>
        <v>174774837</v>
      </c>
      <c r="H5" s="18">
        <f t="shared" si="1"/>
        <v>191301312</v>
      </c>
      <c r="I5" s="18">
        <f t="shared" si="1"/>
        <v>180860834</v>
      </c>
      <c r="J5" s="17">
        <f t="shared" si="1"/>
        <v>149054144.01000002</v>
      </c>
      <c r="K5" s="17">
        <f t="shared" si="1"/>
        <v>173065374.06</v>
      </c>
      <c r="L5" s="17">
        <f t="shared" si="1"/>
        <v>161237698.70999998</v>
      </c>
      <c r="M5" s="17">
        <f t="shared" ref="M5:P5" si="2">SUM(M3:M4)</f>
        <v>156431680.25999999</v>
      </c>
      <c r="N5" s="17">
        <f t="shared" si="2"/>
        <v>153705010</v>
      </c>
      <c r="O5" s="17">
        <f t="shared" si="2"/>
        <v>139357652</v>
      </c>
      <c r="P5" s="17">
        <f t="shared" si="2"/>
        <v>140671225</v>
      </c>
      <c r="Q5" s="17">
        <f t="shared" si="1"/>
        <v>155812537</v>
      </c>
    </row>
    <row r="6" spans="1:19" s="16" customFormat="1">
      <c r="A6" s="15"/>
      <c r="B6" s="15"/>
      <c r="C6" s="15"/>
      <c r="D6" s="15"/>
      <c r="E6" s="15"/>
      <c r="F6" s="51"/>
      <c r="G6" s="51"/>
      <c r="H6" s="51"/>
      <c r="I6" s="51"/>
      <c r="J6" s="51"/>
      <c r="K6" s="51"/>
      <c r="L6" s="51"/>
      <c r="M6" s="51"/>
      <c r="N6" s="51"/>
      <c r="O6" s="51"/>
      <c r="P6" s="51"/>
      <c r="Q6" s="51"/>
    </row>
    <row r="7" spans="1:19" s="16" customFormat="1">
      <c r="A7" s="15"/>
      <c r="B7" s="15"/>
      <c r="C7" s="15"/>
      <c r="D7" s="15"/>
      <c r="E7" s="15"/>
      <c r="F7" s="51"/>
      <c r="G7" s="51"/>
      <c r="H7" s="51"/>
      <c r="I7" s="51"/>
      <c r="J7" s="51"/>
      <c r="K7" s="51"/>
      <c r="L7" s="51"/>
      <c r="M7" s="51"/>
      <c r="N7" s="51"/>
      <c r="O7" s="51"/>
      <c r="P7" s="51"/>
      <c r="Q7" s="51"/>
    </row>
    <row r="8" spans="1:19" hidden="1">
      <c r="B8" s="14" t="str">
        <f t="shared" ref="B8:E8" si="3">LEFT(B2,4)</f>
        <v>2006</v>
      </c>
      <c r="C8" s="14" t="str">
        <f t="shared" si="3"/>
        <v>2007</v>
      </c>
      <c r="D8" s="14" t="str">
        <f t="shared" si="3"/>
        <v>2008</v>
      </c>
      <c r="E8" s="14" t="str">
        <f t="shared" si="3"/>
        <v>2009</v>
      </c>
      <c r="F8" s="14" t="str">
        <f>LEFT(F2,4)</f>
        <v>2010</v>
      </c>
      <c r="G8" s="14" t="str">
        <f t="shared" ref="G8:Q8" si="4">LEFT(G2,4)</f>
        <v>2011</v>
      </c>
      <c r="H8" s="14" t="str">
        <f t="shared" si="4"/>
        <v>2012</v>
      </c>
      <c r="I8" s="14" t="str">
        <f t="shared" si="4"/>
        <v>2013</v>
      </c>
      <c r="J8" s="14" t="str">
        <f t="shared" si="4"/>
        <v>2014</v>
      </c>
      <c r="K8" s="14" t="str">
        <f t="shared" si="4"/>
        <v>2015</v>
      </c>
      <c r="L8" s="14" t="str">
        <f t="shared" si="4"/>
        <v>2016</v>
      </c>
      <c r="M8" s="14" t="str">
        <f t="shared" ref="M8:P8" si="5">LEFT(M2,4)</f>
        <v>2017</v>
      </c>
      <c r="N8" s="14" t="str">
        <f t="shared" si="5"/>
        <v>2018</v>
      </c>
      <c r="O8" s="14" t="str">
        <f t="shared" si="5"/>
        <v>2019</v>
      </c>
      <c r="P8" s="14" t="str">
        <f t="shared" si="5"/>
        <v>2020</v>
      </c>
      <c r="Q8" s="14" t="str">
        <f t="shared" si="4"/>
        <v>2021</v>
      </c>
    </row>
    <row r="9" spans="1:19">
      <c r="A9" s="15" t="s">
        <v>0</v>
      </c>
      <c r="B9" s="15"/>
      <c r="C9" s="15"/>
      <c r="D9" s="15"/>
      <c r="E9" s="15"/>
    </row>
    <row r="10" spans="1:19" ht="20.25" customHeight="1">
      <c r="A10" s="228" t="s">
        <v>181</v>
      </c>
      <c r="B10" s="228"/>
      <c r="C10" s="228"/>
      <c r="D10" s="228"/>
      <c r="E10" s="228"/>
      <c r="F10" s="228"/>
      <c r="G10" s="228"/>
      <c r="H10" s="228"/>
      <c r="I10" s="228"/>
      <c r="J10" s="228"/>
      <c r="K10" s="228"/>
      <c r="L10" s="228"/>
      <c r="M10" s="228"/>
      <c r="N10" s="228"/>
      <c r="O10" s="228"/>
      <c r="P10" s="228"/>
      <c r="Q10" s="228"/>
      <c r="R10" s="228"/>
      <c r="S10" s="228"/>
    </row>
    <row r="11" spans="1:19" ht="18" customHeight="1">
      <c r="A11" s="228" t="s">
        <v>209</v>
      </c>
      <c r="B11" s="228"/>
      <c r="C11" s="228"/>
      <c r="D11" s="228"/>
      <c r="E11" s="228"/>
      <c r="F11" s="228"/>
      <c r="G11" s="228"/>
      <c r="H11" s="228"/>
      <c r="I11" s="228"/>
      <c r="J11" s="228"/>
      <c r="K11" s="228"/>
      <c r="L11" s="228"/>
      <c r="M11" s="228"/>
      <c r="N11" s="228"/>
      <c r="O11" s="228"/>
      <c r="P11" s="228"/>
      <c r="Q11" s="228"/>
      <c r="R11" s="228"/>
      <c r="S11" s="228"/>
    </row>
    <row r="12" spans="1:19">
      <c r="A12" s="161"/>
      <c r="B12" s="161"/>
      <c r="C12" s="161"/>
      <c r="D12" s="161"/>
      <c r="E12" s="161"/>
      <c r="F12" s="161"/>
      <c r="G12" s="161"/>
      <c r="H12" s="161"/>
      <c r="I12" s="161"/>
      <c r="J12" s="161"/>
      <c r="K12" s="162"/>
      <c r="L12" s="162"/>
      <c r="M12" s="162"/>
      <c r="N12" s="162"/>
      <c r="O12" s="162"/>
      <c r="P12" s="162"/>
      <c r="Q12" s="162"/>
      <c r="R12" s="162"/>
    </row>
    <row r="13" spans="1:19">
      <c r="A13" s="161"/>
      <c r="B13" s="161"/>
      <c r="C13" s="161"/>
      <c r="D13" s="161"/>
      <c r="E13" s="161"/>
      <c r="F13" s="161"/>
      <c r="G13" s="161"/>
      <c r="H13" s="161"/>
      <c r="I13" s="161"/>
      <c r="J13" s="161"/>
      <c r="K13" s="162"/>
      <c r="L13" s="162"/>
      <c r="M13" s="162"/>
      <c r="N13" s="162"/>
      <c r="O13" s="162"/>
      <c r="P13" s="162"/>
      <c r="Q13" s="162"/>
      <c r="R13" s="162"/>
    </row>
    <row r="14" spans="1:19">
      <c r="A14" s="132"/>
      <c r="B14" s="135"/>
      <c r="C14" s="135"/>
      <c r="D14" s="134"/>
      <c r="E14" s="134"/>
      <c r="F14" s="132"/>
      <c r="G14" s="132"/>
      <c r="H14" s="132"/>
      <c r="I14" s="132"/>
      <c r="J14" s="132"/>
      <c r="K14"/>
      <c r="L14"/>
      <c r="M14"/>
      <c r="N14"/>
      <c r="O14"/>
      <c r="P14"/>
      <c r="Q14"/>
      <c r="R14"/>
    </row>
  </sheetData>
  <pageMargins left="0.56000000000000005" right="0.5" top="1.03" bottom="1.08" header="0.16" footer="0.22"/>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6"/>
  <sheetViews>
    <sheetView workbookViewId="0">
      <selection activeCell="A26" sqref="A26"/>
    </sheetView>
  </sheetViews>
  <sheetFormatPr defaultColWidth="9.109375" defaultRowHeight="13.8"/>
  <cols>
    <col min="1" max="1" width="62.88671875" style="21" bestFit="1" customWidth="1"/>
    <col min="2" max="2" width="14.5546875" style="24" bestFit="1" customWidth="1"/>
    <col min="3" max="3" width="16.6640625" style="24" bestFit="1" customWidth="1"/>
    <col min="4" max="4" width="16.44140625" style="23" bestFit="1" customWidth="1"/>
    <col min="5" max="5" width="17.44140625" style="24" customWidth="1"/>
    <col min="6" max="6" width="16.6640625" style="24" bestFit="1" customWidth="1"/>
    <col min="7" max="7" width="15.44140625" style="23" bestFit="1" customWidth="1"/>
    <col min="8" max="8" width="14.5546875" style="22" bestFit="1" customWidth="1"/>
    <col min="9" max="16384" width="9.109375" style="21"/>
  </cols>
  <sheetData>
    <row r="1" spans="1:8" ht="33" customHeight="1">
      <c r="A1" s="392" t="s">
        <v>450</v>
      </c>
      <c r="B1" s="392"/>
      <c r="C1" s="392"/>
      <c r="D1" s="392"/>
      <c r="E1" s="392"/>
      <c r="F1" s="392"/>
      <c r="G1" s="392"/>
      <c r="H1" s="392"/>
    </row>
    <row r="2" spans="1:8" s="27" customFormat="1" ht="55.2">
      <c r="A2" s="217" t="s">
        <v>36</v>
      </c>
      <c r="B2" s="218" t="s">
        <v>35</v>
      </c>
      <c r="C2" s="218" t="s">
        <v>34</v>
      </c>
      <c r="D2" s="219" t="s">
        <v>33</v>
      </c>
      <c r="E2" s="218" t="s">
        <v>32</v>
      </c>
      <c r="F2" s="218" t="s">
        <v>31</v>
      </c>
      <c r="G2" s="219" t="s">
        <v>30</v>
      </c>
      <c r="H2" s="218" t="s">
        <v>29</v>
      </c>
    </row>
    <row r="3" spans="1:8">
      <c r="A3" s="183" t="s">
        <v>28</v>
      </c>
      <c r="B3" s="184">
        <v>4748700</v>
      </c>
      <c r="C3" s="184">
        <v>1418181</v>
      </c>
      <c r="D3" s="185">
        <v>6166881</v>
      </c>
      <c r="E3" s="184">
        <v>1565470</v>
      </c>
      <c r="F3" s="184">
        <v>25694</v>
      </c>
      <c r="G3" s="185">
        <v>1591164</v>
      </c>
      <c r="H3" s="186">
        <v>7758045</v>
      </c>
    </row>
    <row r="4" spans="1:8">
      <c r="A4" s="183" t="s">
        <v>27</v>
      </c>
      <c r="B4" s="184">
        <v>8240730</v>
      </c>
      <c r="C4" s="184">
        <v>3152406</v>
      </c>
      <c r="D4" s="185">
        <v>11393135</v>
      </c>
      <c r="E4" s="184">
        <v>1661729</v>
      </c>
      <c r="F4" s="184">
        <v>26137</v>
      </c>
      <c r="G4" s="185">
        <v>1687866</v>
      </c>
      <c r="H4" s="186">
        <v>13081001</v>
      </c>
    </row>
    <row r="5" spans="1:8">
      <c r="A5" s="183" t="s">
        <v>26</v>
      </c>
      <c r="B5" s="184">
        <v>18608732</v>
      </c>
      <c r="C5" s="184">
        <v>5553855</v>
      </c>
      <c r="D5" s="185">
        <v>24162588</v>
      </c>
      <c r="E5" s="184">
        <v>115373</v>
      </c>
      <c r="F5" s="184">
        <v>1821</v>
      </c>
      <c r="G5" s="185">
        <v>117195</v>
      </c>
      <c r="H5" s="186">
        <v>24279783</v>
      </c>
    </row>
    <row r="6" spans="1:8">
      <c r="A6" s="183" t="s">
        <v>25</v>
      </c>
      <c r="B6" s="184">
        <v>9256092</v>
      </c>
      <c r="C6" s="184">
        <v>6298458</v>
      </c>
      <c r="D6" s="185">
        <v>15554550</v>
      </c>
      <c r="E6" s="184">
        <v>115373</v>
      </c>
      <c r="F6" s="184">
        <v>1821</v>
      </c>
      <c r="G6" s="185">
        <v>117195</v>
      </c>
      <c r="H6" s="186">
        <v>15671745</v>
      </c>
    </row>
    <row r="7" spans="1:8">
      <c r="A7" s="183" t="s">
        <v>24</v>
      </c>
      <c r="B7" s="184">
        <v>3980458</v>
      </c>
      <c r="C7" s="184">
        <v>1312151</v>
      </c>
      <c r="D7" s="185">
        <v>5292609</v>
      </c>
      <c r="E7" s="184">
        <v>115373</v>
      </c>
      <c r="F7" s="184">
        <v>1821</v>
      </c>
      <c r="G7" s="185">
        <v>117195</v>
      </c>
      <c r="H7" s="186">
        <v>5409804</v>
      </c>
    </row>
    <row r="8" spans="1:8">
      <c r="A8" s="183" t="s">
        <v>23</v>
      </c>
      <c r="B8" s="184">
        <v>2979236</v>
      </c>
      <c r="C8" s="184">
        <v>395384</v>
      </c>
      <c r="D8" s="185">
        <v>3374620</v>
      </c>
      <c r="E8" s="184">
        <v>1631721</v>
      </c>
      <c r="F8" s="184">
        <v>25659</v>
      </c>
      <c r="G8" s="185">
        <v>1657380</v>
      </c>
      <c r="H8" s="186">
        <v>5032000</v>
      </c>
    </row>
    <row r="9" spans="1:8">
      <c r="A9" s="183" t="s">
        <v>22</v>
      </c>
      <c r="B9" s="184">
        <v>3477644</v>
      </c>
      <c r="C9" s="184">
        <v>758530</v>
      </c>
      <c r="D9" s="185">
        <v>4236175</v>
      </c>
      <c r="E9" s="184">
        <v>1633967</v>
      </c>
      <c r="F9" s="184">
        <v>25694</v>
      </c>
      <c r="G9" s="185">
        <v>1659660</v>
      </c>
      <c r="H9" s="186">
        <v>5895835</v>
      </c>
    </row>
    <row r="10" spans="1:8">
      <c r="A10" s="183" t="s">
        <v>21</v>
      </c>
      <c r="B10" s="184">
        <v>7314850</v>
      </c>
      <c r="C10" s="184">
        <v>2430956</v>
      </c>
      <c r="D10" s="185">
        <v>9745805</v>
      </c>
      <c r="E10" s="184">
        <v>115810</v>
      </c>
      <c r="F10" s="184">
        <v>1821</v>
      </c>
      <c r="G10" s="185">
        <v>117632</v>
      </c>
      <c r="H10" s="186">
        <v>9863437</v>
      </c>
    </row>
    <row r="11" spans="1:8">
      <c r="A11" s="183" t="s">
        <v>20</v>
      </c>
      <c r="B11" s="184">
        <v>3980479</v>
      </c>
      <c r="C11" s="184">
        <v>1273569</v>
      </c>
      <c r="D11" s="185">
        <v>5254048</v>
      </c>
      <c r="E11" s="184">
        <v>1622680</v>
      </c>
      <c r="F11" s="184">
        <v>25694</v>
      </c>
      <c r="G11" s="185">
        <v>1648374</v>
      </c>
      <c r="H11" s="186">
        <v>6902422</v>
      </c>
    </row>
    <row r="12" spans="1:8">
      <c r="A12" s="183" t="s">
        <v>19</v>
      </c>
      <c r="B12" s="184">
        <v>25576915</v>
      </c>
      <c r="C12" s="184">
        <v>10754201</v>
      </c>
      <c r="D12" s="185">
        <v>36331116</v>
      </c>
      <c r="E12" s="184">
        <v>115522</v>
      </c>
      <c r="F12" s="184">
        <v>1821</v>
      </c>
      <c r="G12" s="185">
        <v>117343</v>
      </c>
      <c r="H12" s="186">
        <v>36448459</v>
      </c>
    </row>
    <row r="13" spans="1:8">
      <c r="A13" s="183" t="s">
        <v>18</v>
      </c>
      <c r="B13" s="184">
        <v>18868858</v>
      </c>
      <c r="C13" s="184">
        <v>5413971</v>
      </c>
      <c r="D13" s="185">
        <v>24282828</v>
      </c>
      <c r="E13" s="184">
        <v>145967</v>
      </c>
      <c r="F13" s="184">
        <v>2300</v>
      </c>
      <c r="G13" s="185">
        <v>148266</v>
      </c>
      <c r="H13" s="186">
        <v>24431094</v>
      </c>
    </row>
    <row r="14" spans="1:8">
      <c r="A14" s="183" t="s">
        <v>211</v>
      </c>
      <c r="B14" s="184">
        <v>8757836</v>
      </c>
      <c r="C14" s="184">
        <v>5020793</v>
      </c>
      <c r="D14" s="185">
        <v>13778630</v>
      </c>
      <c r="E14" s="184">
        <v>146564</v>
      </c>
      <c r="F14" s="184">
        <v>5853</v>
      </c>
      <c r="G14" s="185">
        <v>152417</v>
      </c>
      <c r="H14" s="186">
        <v>13931047</v>
      </c>
    </row>
    <row r="15" spans="1:8">
      <c r="A15" s="183" t="s">
        <v>17</v>
      </c>
      <c r="B15" s="184">
        <v>3099417</v>
      </c>
      <c r="C15" s="184">
        <v>1020377</v>
      </c>
      <c r="D15" s="185">
        <v>4119794</v>
      </c>
      <c r="E15" s="184">
        <v>115522</v>
      </c>
      <c r="F15" s="184">
        <v>1821</v>
      </c>
      <c r="G15" s="185">
        <v>117343</v>
      </c>
      <c r="H15" s="186">
        <v>4237137</v>
      </c>
    </row>
    <row r="16" spans="1:8">
      <c r="A16" s="183" t="s">
        <v>16</v>
      </c>
      <c r="B16" s="184">
        <v>753074</v>
      </c>
      <c r="C16" s="184">
        <v>729897</v>
      </c>
      <c r="D16" s="185">
        <v>1482971</v>
      </c>
      <c r="E16" s="184">
        <v>0</v>
      </c>
      <c r="F16" s="184">
        <v>0</v>
      </c>
      <c r="G16" s="185">
        <v>0</v>
      </c>
      <c r="H16" s="186">
        <v>1482971</v>
      </c>
    </row>
    <row r="17" spans="1:8">
      <c r="A17" s="183" t="s">
        <v>15</v>
      </c>
      <c r="B17" s="184">
        <v>4808542</v>
      </c>
      <c r="C17" s="184">
        <v>4557633</v>
      </c>
      <c r="D17" s="185">
        <v>9366175</v>
      </c>
      <c r="E17" s="184">
        <v>0</v>
      </c>
      <c r="F17" s="184">
        <v>0</v>
      </c>
      <c r="G17" s="185">
        <v>0</v>
      </c>
      <c r="H17" s="186">
        <v>9366175</v>
      </c>
    </row>
    <row r="18" spans="1:8">
      <c r="A18" s="183" t="s">
        <v>14</v>
      </c>
      <c r="B18" s="187">
        <v>8515661</v>
      </c>
      <c r="C18" s="187">
        <v>5820455</v>
      </c>
      <c r="D18" s="360">
        <v>14336116</v>
      </c>
      <c r="E18" s="187">
        <v>10320000</v>
      </c>
      <c r="F18" s="187">
        <v>0</v>
      </c>
      <c r="G18" s="360">
        <v>10320000</v>
      </c>
      <c r="H18" s="188">
        <v>24656116</v>
      </c>
    </row>
    <row r="19" spans="1:8" s="25" customFormat="1">
      <c r="A19" s="25" t="s">
        <v>1</v>
      </c>
      <c r="B19" s="26">
        <f t="shared" ref="B19:G19" si="0">SUM(B3:B18)</f>
        <v>132967224</v>
      </c>
      <c r="C19" s="26">
        <f t="shared" si="0"/>
        <v>55910817</v>
      </c>
      <c r="D19" s="26">
        <f t="shared" si="0"/>
        <v>188878041</v>
      </c>
      <c r="E19" s="26">
        <f t="shared" si="0"/>
        <v>19421071</v>
      </c>
      <c r="F19" s="26">
        <f t="shared" si="0"/>
        <v>147957</v>
      </c>
      <c r="G19" s="26">
        <f t="shared" si="0"/>
        <v>19569030</v>
      </c>
      <c r="H19" s="26">
        <f t="shared" ref="H19" si="1">D19+G19</f>
        <v>208447071</v>
      </c>
    </row>
    <row r="21" spans="1:8">
      <c r="A21" s="25" t="s">
        <v>0</v>
      </c>
    </row>
    <row r="22" spans="1:8" ht="16.5" customHeight="1">
      <c r="A22" s="229" t="s">
        <v>212</v>
      </c>
      <c r="B22" s="229"/>
      <c r="C22" s="229"/>
      <c r="D22" s="229"/>
      <c r="E22" s="229"/>
      <c r="F22" s="229"/>
      <c r="G22" s="229"/>
      <c r="H22" s="229"/>
    </row>
    <row r="23" spans="1:8" ht="17.25" customHeight="1">
      <c r="A23" s="229" t="s">
        <v>13</v>
      </c>
      <c r="B23" s="229"/>
      <c r="C23" s="229"/>
      <c r="D23" s="229"/>
      <c r="E23" s="229"/>
      <c r="F23" s="229"/>
      <c r="G23" s="229"/>
      <c r="H23" s="229"/>
    </row>
    <row r="24" spans="1:8">
      <c r="A24" s="96"/>
      <c r="B24" s="96"/>
      <c r="C24" s="96"/>
      <c r="D24" s="96"/>
      <c r="E24" s="96"/>
      <c r="F24" s="96"/>
      <c r="G24" s="96"/>
      <c r="H24" s="96"/>
    </row>
    <row r="25" spans="1:8">
      <c r="A25" s="21" t="s">
        <v>73</v>
      </c>
    </row>
    <row r="26" spans="1:8" ht="26.4" customHeight="1">
      <c r="A26" s="374" t="str">
        <f>"Total: $" &amp; TEXT(H19,"#.0,,") &amp; " million (Expense: $" &amp; TEXT(D19,"#.0,,") &amp; " million, Capital: $" &amp; TEXT(G19,"#.0,,") &amp; " million)"</f>
        <v>Total: $208.4 million (Expense: $188.9 million, Capital: $19.6 million)</v>
      </c>
      <c r="B26" s="374"/>
      <c r="C26" s="374"/>
      <c r="D26" s="374"/>
    </row>
  </sheetData>
  <mergeCells count="1">
    <mergeCell ref="A1:H1"/>
  </mergeCells>
  <pageMargins left="0.25" right="0.25" top="0.75" bottom="0.75" header="0.3" footer="0.3"/>
  <pageSetup scale="7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51"/>
  <sheetViews>
    <sheetView workbookViewId="0">
      <selection activeCell="A22" sqref="A22:XFD22"/>
    </sheetView>
  </sheetViews>
  <sheetFormatPr defaultColWidth="9.109375" defaultRowHeight="15"/>
  <cols>
    <col min="1" max="1" width="32.88671875" style="52" customWidth="1"/>
    <col min="2" max="2" width="17.109375" style="52" customWidth="1"/>
    <col min="3" max="6" width="17.109375" style="52" bestFit="1" customWidth="1"/>
    <col min="7" max="12" width="17.6640625" style="52" customWidth="1"/>
    <col min="13" max="14" width="18.44140625" style="52" customWidth="1"/>
    <col min="15" max="16384" width="9.109375" style="52"/>
  </cols>
  <sheetData>
    <row r="1" spans="1:16">
      <c r="A1" s="393" t="str">
        <f>"Figure 5: Costs by Fund, FY"&amp;N4</f>
        <v>Figure 5: Costs by Fund, FY2021</v>
      </c>
      <c r="B1" s="393"/>
      <c r="C1" s="393"/>
      <c r="D1" s="393"/>
      <c r="E1" s="393"/>
      <c r="F1" s="393"/>
      <c r="G1" s="393"/>
      <c r="H1" s="393"/>
      <c r="I1" s="393"/>
      <c r="J1" s="393"/>
      <c r="K1" s="393"/>
      <c r="L1" s="393"/>
    </row>
    <row r="2" spans="1:16">
      <c r="A2" s="54"/>
      <c r="B2" s="53"/>
      <c r="C2" s="53"/>
      <c r="D2" s="53"/>
      <c r="E2" s="53"/>
      <c r="F2" s="53"/>
    </row>
    <row r="3" spans="1:16">
      <c r="A3" s="53"/>
      <c r="B3" s="53"/>
      <c r="C3" s="53"/>
      <c r="D3" s="53"/>
      <c r="E3" s="53"/>
      <c r="F3" s="53"/>
    </row>
    <row r="4" spans="1:16" ht="17.399999999999999">
      <c r="A4" s="216" t="s">
        <v>337</v>
      </c>
      <c r="B4" s="215">
        <v>2008</v>
      </c>
      <c r="C4" s="215">
        <v>2010</v>
      </c>
      <c r="D4" s="215">
        <v>2011</v>
      </c>
      <c r="E4" s="215">
        <v>2012</v>
      </c>
      <c r="F4" s="215">
        <v>2013</v>
      </c>
      <c r="G4" s="215">
        <v>2014</v>
      </c>
      <c r="H4" s="215">
        <v>2015</v>
      </c>
      <c r="I4" s="215" t="s">
        <v>210</v>
      </c>
      <c r="J4" s="215">
        <v>2017</v>
      </c>
      <c r="K4" s="215">
        <v>2018</v>
      </c>
      <c r="L4" s="215">
        <v>2019</v>
      </c>
      <c r="M4" s="215">
        <v>2020</v>
      </c>
      <c r="N4" s="215">
        <v>2021</v>
      </c>
    </row>
    <row r="5" spans="1:16">
      <c r="A5" s="3" t="s">
        <v>183</v>
      </c>
      <c r="B5" s="199"/>
      <c r="C5" s="199">
        <v>88120408</v>
      </c>
      <c r="D5" s="199">
        <v>105257648</v>
      </c>
      <c r="E5" s="199">
        <v>109818406</v>
      </c>
      <c r="F5" s="200">
        <v>102742463.01000001</v>
      </c>
      <c r="G5" s="200">
        <v>93422644</v>
      </c>
      <c r="H5" s="200">
        <v>102350719.14</v>
      </c>
      <c r="I5" s="200">
        <v>103824064</v>
      </c>
      <c r="J5" s="200">
        <v>98720366</v>
      </c>
      <c r="K5" s="200">
        <v>96641476</v>
      </c>
      <c r="L5" s="200">
        <v>84178235</v>
      </c>
      <c r="M5" s="200">
        <v>75452137</v>
      </c>
      <c r="N5" s="200">
        <v>94918509</v>
      </c>
    </row>
    <row r="6" spans="1:16" ht="17.399999999999999">
      <c r="A6" s="3" t="s">
        <v>413</v>
      </c>
      <c r="B6" s="199">
        <v>31917878</v>
      </c>
      <c r="C6" s="199"/>
      <c r="D6" s="199"/>
      <c r="E6" s="199"/>
      <c r="F6" s="200"/>
      <c r="G6" s="200"/>
      <c r="H6" s="200"/>
      <c r="I6" s="200"/>
      <c r="J6" s="200"/>
      <c r="K6" s="200"/>
      <c r="L6" s="200"/>
      <c r="M6" s="200"/>
      <c r="N6" s="200"/>
      <c r="P6" s="58"/>
    </row>
    <row r="7" spans="1:16">
      <c r="A7" s="57" t="s">
        <v>411</v>
      </c>
      <c r="B7" s="199"/>
      <c r="C7" s="199">
        <v>64187623</v>
      </c>
      <c r="D7" s="199">
        <v>79829739</v>
      </c>
      <c r="E7" s="199">
        <v>76351240</v>
      </c>
      <c r="F7" s="200">
        <v>75238564.810000002</v>
      </c>
      <c r="G7" s="200">
        <v>53057116.689999998</v>
      </c>
      <c r="H7" s="200">
        <v>78332688.890000001</v>
      </c>
      <c r="I7" s="200">
        <v>56932653</v>
      </c>
      <c r="J7" s="200">
        <v>57033262</v>
      </c>
      <c r="K7" s="200">
        <v>57573752</v>
      </c>
      <c r="L7" s="200">
        <v>57509278</v>
      </c>
      <c r="M7" s="200">
        <v>54086446</v>
      </c>
      <c r="N7" s="200">
        <v>61146071.131080814</v>
      </c>
    </row>
    <row r="8" spans="1:16">
      <c r="A8" s="57" t="s">
        <v>412</v>
      </c>
      <c r="B8" s="199"/>
      <c r="C8" s="199">
        <v>20983783</v>
      </c>
      <c r="D8" s="199">
        <v>37606835</v>
      </c>
      <c r="E8" s="199">
        <v>45782424</v>
      </c>
      <c r="F8" s="200">
        <v>48583014.189999998</v>
      </c>
      <c r="G8" s="200">
        <v>50913614.200000003</v>
      </c>
      <c r="H8" s="200">
        <v>36986093.710000001</v>
      </c>
      <c r="I8" s="200">
        <v>48793368</v>
      </c>
      <c r="J8" s="200">
        <v>46988392</v>
      </c>
      <c r="K8" s="200">
        <v>66808002</v>
      </c>
      <c r="L8" s="200">
        <v>70365137</v>
      </c>
      <c r="M8" s="200">
        <v>80266680</v>
      </c>
      <c r="N8" s="200">
        <v>76218148.868919179</v>
      </c>
    </row>
    <row r="9" spans="1:16">
      <c r="A9" s="3" t="s">
        <v>72</v>
      </c>
      <c r="B9" s="199">
        <v>130932844.03999999</v>
      </c>
      <c r="C9" s="199">
        <v>51765457</v>
      </c>
      <c r="D9" s="199">
        <v>73608793</v>
      </c>
      <c r="E9" s="199">
        <v>58956587</v>
      </c>
      <c r="F9" s="200">
        <v>48813940.990000002</v>
      </c>
      <c r="G9" s="200">
        <v>54828830</v>
      </c>
      <c r="H9" s="200">
        <v>44748863.060000002</v>
      </c>
      <c r="I9" s="200">
        <v>47558238</v>
      </c>
      <c r="J9" s="200">
        <v>40649455</v>
      </c>
      <c r="K9" s="200">
        <v>45108946</v>
      </c>
      <c r="L9" s="200">
        <v>23354937</v>
      </c>
      <c r="M9" s="200">
        <v>41369889</v>
      </c>
      <c r="N9" s="200">
        <v>35229779</v>
      </c>
    </row>
    <row r="10" spans="1:16" ht="17.399999999999999">
      <c r="A10" s="3" t="s">
        <v>402</v>
      </c>
      <c r="B10" s="199">
        <v>11562285</v>
      </c>
      <c r="C10" s="199">
        <v>14530682</v>
      </c>
      <c r="D10" s="199">
        <v>14911880</v>
      </c>
      <c r="E10" s="199">
        <v>15501115</v>
      </c>
      <c r="F10" s="200">
        <v>15723909</v>
      </c>
      <c r="G10" s="200">
        <v>16911905</v>
      </c>
      <c r="H10" s="200">
        <v>17132184</v>
      </c>
      <c r="I10" s="200">
        <v>17063851</v>
      </c>
      <c r="J10" s="200">
        <v>16566061</v>
      </c>
      <c r="K10" s="200">
        <v>12567914</v>
      </c>
      <c r="L10" s="200">
        <v>15445314</v>
      </c>
      <c r="M10" s="200">
        <v>15245805</v>
      </c>
      <c r="N10" s="200">
        <v>15493817</v>
      </c>
    </row>
    <row r="11" spans="1:16">
      <c r="A11" s="3" t="s">
        <v>238</v>
      </c>
      <c r="B11" s="199"/>
      <c r="C11" s="199"/>
      <c r="D11" s="199"/>
      <c r="E11" s="199"/>
      <c r="F11" s="200"/>
      <c r="G11" s="200"/>
      <c r="H11" s="200"/>
      <c r="I11" s="200"/>
      <c r="J11" s="200"/>
      <c r="K11" s="200">
        <v>10367580</v>
      </c>
      <c r="L11" s="200">
        <v>11607301</v>
      </c>
      <c r="M11" s="200">
        <v>11601030</v>
      </c>
      <c r="N11" s="200">
        <v>12327352</v>
      </c>
    </row>
    <row r="12" spans="1:16">
      <c r="A12" s="56" t="s">
        <v>71</v>
      </c>
      <c r="B12" s="55">
        <f t="shared" ref="B12:N12" si="0">SUM(B5:B11)</f>
        <v>174413007.03999999</v>
      </c>
      <c r="C12" s="55">
        <f t="shared" si="0"/>
        <v>239587953</v>
      </c>
      <c r="D12" s="55">
        <f t="shared" si="0"/>
        <v>311214895</v>
      </c>
      <c r="E12" s="55">
        <f t="shared" si="0"/>
        <v>306409772</v>
      </c>
      <c r="F12" s="55">
        <f t="shared" si="0"/>
        <v>291101892</v>
      </c>
      <c r="G12" s="55">
        <f t="shared" si="0"/>
        <v>269134109.88999999</v>
      </c>
      <c r="H12" s="55">
        <f t="shared" si="0"/>
        <v>279550548.80000001</v>
      </c>
      <c r="I12" s="55">
        <f t="shared" si="0"/>
        <v>274172174</v>
      </c>
      <c r="J12" s="55">
        <f t="shared" si="0"/>
        <v>259957536</v>
      </c>
      <c r="K12" s="55">
        <f t="shared" ref="K12" si="1">SUM(K5:K11)</f>
        <v>289067670</v>
      </c>
      <c r="L12" s="55">
        <f t="shared" ref="L12" si="2">SUM(L5:L11)</f>
        <v>262460202</v>
      </c>
      <c r="M12" s="55">
        <f t="shared" ref="M12" si="3">SUM(M5:M11)</f>
        <v>278021987</v>
      </c>
      <c r="N12" s="55">
        <f t="shared" si="0"/>
        <v>295333677</v>
      </c>
    </row>
    <row r="13" spans="1:16">
      <c r="A13" s="53"/>
      <c r="B13" s="53"/>
      <c r="C13" s="53"/>
      <c r="D13" s="53"/>
      <c r="E13" s="53"/>
      <c r="F13" s="53"/>
    </row>
    <row r="14" spans="1:16">
      <c r="A14" s="53"/>
      <c r="B14" s="53"/>
      <c r="C14" s="53"/>
      <c r="D14" s="53"/>
      <c r="E14" s="53"/>
      <c r="F14" s="53"/>
    </row>
    <row r="15" spans="1:16">
      <c r="A15" s="54" t="s">
        <v>0</v>
      </c>
      <c r="B15" s="53"/>
      <c r="C15" s="53"/>
      <c r="D15" s="53"/>
      <c r="E15" s="53"/>
      <c r="F15" s="53"/>
    </row>
    <row r="16" spans="1:16" ht="17.25" customHeight="1">
      <c r="A16" s="231" t="s">
        <v>339</v>
      </c>
      <c r="B16" s="224"/>
      <c r="C16" s="224"/>
      <c r="D16" s="224"/>
      <c r="E16" s="224"/>
      <c r="F16" s="224"/>
      <c r="G16" s="224"/>
      <c r="H16" s="224"/>
      <c r="I16" s="224"/>
      <c r="J16" s="224"/>
      <c r="K16" s="224"/>
      <c r="L16" s="224"/>
      <c r="M16" s="224"/>
      <c r="N16" s="224"/>
    </row>
    <row r="17" spans="1:15" ht="18.600000000000001" customHeight="1">
      <c r="A17" s="231" t="s">
        <v>414</v>
      </c>
      <c r="B17" s="224"/>
      <c r="C17" s="224"/>
      <c r="D17" s="224"/>
      <c r="E17" s="224"/>
      <c r="F17" s="224"/>
      <c r="G17" s="224"/>
      <c r="H17" s="224"/>
      <c r="I17" s="224"/>
      <c r="J17" s="224"/>
      <c r="K17" s="224"/>
      <c r="L17" s="224"/>
      <c r="M17" s="224"/>
      <c r="N17" s="224"/>
    </row>
    <row r="18" spans="1:15" ht="18.600000000000001" customHeight="1">
      <c r="A18" s="231" t="s">
        <v>403</v>
      </c>
      <c r="B18" s="224"/>
      <c r="C18" s="224"/>
      <c r="D18" s="224"/>
      <c r="E18" s="224"/>
      <c r="F18" s="224"/>
      <c r="G18" s="224"/>
      <c r="H18" s="224"/>
      <c r="I18" s="224"/>
      <c r="J18" s="224"/>
      <c r="K18" s="224"/>
      <c r="L18" s="224"/>
      <c r="M18" s="224"/>
      <c r="N18" s="224"/>
    </row>
    <row r="19" spans="1:15" ht="18.600000000000001" customHeight="1">
      <c r="A19" s="231" t="s">
        <v>433</v>
      </c>
      <c r="B19" s="230"/>
      <c r="C19" s="230"/>
      <c r="D19" s="230"/>
      <c r="E19" s="230"/>
      <c r="F19" s="230"/>
      <c r="G19" s="230"/>
      <c r="H19" s="230"/>
      <c r="I19" s="230"/>
      <c r="J19" s="230"/>
      <c r="K19" s="230"/>
      <c r="L19" s="230"/>
      <c r="M19" s="230"/>
      <c r="N19" s="230"/>
      <c r="O19" s="180"/>
    </row>
    <row r="20" spans="1:15" ht="18.600000000000001" customHeight="1">
      <c r="A20" s="231"/>
      <c r="B20" s="224"/>
      <c r="C20" s="224"/>
      <c r="D20" s="224"/>
      <c r="E20" s="224"/>
      <c r="F20" s="224"/>
      <c r="G20" s="224"/>
      <c r="H20" s="224"/>
      <c r="I20" s="224"/>
      <c r="J20" s="224"/>
      <c r="K20" s="224"/>
      <c r="L20" s="224"/>
      <c r="M20" s="224"/>
      <c r="N20" s="224"/>
      <c r="O20" s="180"/>
    </row>
    <row r="22" spans="1:15" hidden="1">
      <c r="A22" s="102" t="str">
        <f>N4&amp;" (make sure these formulas catch last column)"</f>
        <v>2021 (make sure these formulas catch last column)</v>
      </c>
    </row>
    <row r="23" spans="1:15">
      <c r="A23" s="52" t="s">
        <v>442</v>
      </c>
      <c r="B23" s="59">
        <f>N5</f>
        <v>94918509</v>
      </c>
    </row>
    <row r="24" spans="1:15">
      <c r="A24" s="52" t="s">
        <v>451</v>
      </c>
      <c r="B24" s="59">
        <f>N7</f>
        <v>61146071.131080814</v>
      </c>
    </row>
    <row r="25" spans="1:15">
      <c r="A25" s="52" t="s">
        <v>452</v>
      </c>
      <c r="B25" s="59">
        <f>N8</f>
        <v>76218148.868919179</v>
      </c>
    </row>
    <row r="26" spans="1:15">
      <c r="A26" s="52" t="s">
        <v>443</v>
      </c>
      <c r="B26" s="59">
        <f>N9</f>
        <v>35229779</v>
      </c>
    </row>
    <row r="27" spans="1:15">
      <c r="A27" s="52" t="s">
        <v>444</v>
      </c>
      <c r="B27" s="59">
        <f t="shared" ref="B27" si="4">N10</f>
        <v>15493817</v>
      </c>
    </row>
    <row r="28" spans="1:15">
      <c r="A28" s="52" t="s">
        <v>238</v>
      </c>
      <c r="B28" s="59">
        <f t="shared" ref="B28" si="5">N11</f>
        <v>12327352</v>
      </c>
    </row>
    <row r="30" spans="1:15">
      <c r="A30" s="102" t="s">
        <v>74</v>
      </c>
    </row>
    <row r="31" spans="1:15">
      <c r="A31" s="52" t="str">
        <f>SUBSTITUTE(subtitle,", not included","")</f>
        <v>Total: $295.5 million includes $41.9 million in obligations to capital projects, plus General and Administrative (G&amp;A) expenses ($12.3 million), and Columbia River System Operations Review/Environmental Impact Statement expenses ($0.2 million)</v>
      </c>
    </row>
    <row r="51" ht="30" customHeight="1"/>
  </sheetData>
  <mergeCells count="1">
    <mergeCell ref="A1:L1"/>
  </mergeCells>
  <pageMargins left="0.34" right="0.37" top="1" bottom="1" header="0.5" footer="0.5"/>
  <pageSetup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23"/>
  <sheetViews>
    <sheetView topLeftCell="A25" workbookViewId="0">
      <selection activeCell="B23" sqref="B23"/>
    </sheetView>
  </sheetViews>
  <sheetFormatPr defaultColWidth="9.109375" defaultRowHeight="13.2"/>
  <cols>
    <col min="1" max="1" width="41.88671875" style="1" customWidth="1"/>
    <col min="2" max="2" width="15.44140625" style="61" customWidth="1"/>
    <col min="3" max="3" width="15.44140625" style="1" bestFit="1" customWidth="1"/>
    <col min="4" max="4" width="15.44140625" style="60" bestFit="1" customWidth="1"/>
    <col min="5" max="6" width="15.44140625" style="1" bestFit="1" customWidth="1"/>
    <col min="7" max="12" width="15.44140625" style="1" customWidth="1"/>
    <col min="13" max="13" width="17.6640625" style="1" customWidth="1"/>
    <col min="14" max="16" width="16.6640625" style="1" customWidth="1"/>
    <col min="17" max="17" width="17.33203125" style="1" customWidth="1"/>
    <col min="18" max="16384" width="9.109375" style="1"/>
  </cols>
  <sheetData>
    <row r="1" spans="1:18" s="63" customFormat="1" ht="30.75" customHeight="1">
      <c r="A1" s="394" t="str">
        <f>"Figure 6A: Costs by Category, FY"&amp;P2</f>
        <v>Figure 6A: Costs by Category, FY2021</v>
      </c>
      <c r="B1" s="394"/>
      <c r="C1" s="394"/>
      <c r="D1" s="394"/>
      <c r="E1" s="394"/>
      <c r="F1" s="394"/>
      <c r="G1" s="394"/>
      <c r="H1" s="394"/>
      <c r="I1" s="394"/>
      <c r="J1" s="394"/>
      <c r="K1" s="394"/>
      <c r="L1" s="394"/>
    </row>
    <row r="2" spans="1:18" s="72" customFormat="1" ht="17.399999999999999">
      <c r="A2" s="214" t="s">
        <v>12</v>
      </c>
      <c r="B2" s="214">
        <v>2007</v>
      </c>
      <c r="C2" s="214">
        <v>2008</v>
      </c>
      <c r="D2" s="214">
        <v>2009</v>
      </c>
      <c r="E2" s="214">
        <v>2010</v>
      </c>
      <c r="F2" s="214">
        <v>2011</v>
      </c>
      <c r="G2" s="214">
        <v>2012</v>
      </c>
      <c r="H2" s="214">
        <v>2013</v>
      </c>
      <c r="I2" s="214">
        <v>2014</v>
      </c>
      <c r="J2" s="214">
        <v>2015</v>
      </c>
      <c r="K2" s="214" t="s">
        <v>214</v>
      </c>
      <c r="L2" s="214">
        <v>2017</v>
      </c>
      <c r="M2" s="214">
        <v>2018</v>
      </c>
      <c r="N2" s="214">
        <v>2019</v>
      </c>
      <c r="O2" s="214">
        <v>2020</v>
      </c>
      <c r="P2" s="214">
        <v>2021</v>
      </c>
      <c r="Q2" s="75" t="s">
        <v>78</v>
      </c>
      <c r="R2" s="75" t="s">
        <v>202</v>
      </c>
    </row>
    <row r="3" spans="1:18" s="63" customFormat="1" ht="15">
      <c r="A3" s="71" t="s">
        <v>184</v>
      </c>
      <c r="B3" s="114">
        <v>7393716.5499999467</v>
      </c>
      <c r="C3" s="114">
        <v>15227116</v>
      </c>
      <c r="D3" s="114">
        <v>18618170</v>
      </c>
      <c r="E3" s="114">
        <v>22462594.310000002</v>
      </c>
      <c r="F3" s="114">
        <v>25185796</v>
      </c>
      <c r="G3" s="114">
        <v>28135259</v>
      </c>
      <c r="H3" s="114">
        <v>30074159.880000003</v>
      </c>
      <c r="I3" s="114">
        <v>13294304.619999999</v>
      </c>
      <c r="J3" s="115">
        <v>13500244.51</v>
      </c>
      <c r="K3" s="114">
        <v>13778450</v>
      </c>
      <c r="L3" s="115">
        <v>13866904.550000001</v>
      </c>
      <c r="M3" s="115">
        <v>12490178</v>
      </c>
      <c r="N3" s="115">
        <v>11396071</v>
      </c>
      <c r="O3" s="189">
        <v>11440413</v>
      </c>
      <c r="P3" s="189">
        <v>11096346</v>
      </c>
      <c r="Q3" s="119">
        <f>P3</f>
        <v>11096346</v>
      </c>
      <c r="R3" s="71" t="s">
        <v>184</v>
      </c>
    </row>
    <row r="4" spans="1:18" s="63" customFormat="1" ht="17.399999999999999">
      <c r="A4" s="71" t="s">
        <v>213</v>
      </c>
      <c r="B4" s="114"/>
      <c r="C4" s="114"/>
      <c r="D4" s="114"/>
      <c r="E4" s="114"/>
      <c r="F4" s="114"/>
      <c r="G4" s="114"/>
      <c r="H4" s="114"/>
      <c r="I4" s="114">
        <v>14616141.960000001</v>
      </c>
      <c r="J4" s="115">
        <v>14404354.34</v>
      </c>
      <c r="K4" s="114">
        <v>15213335</v>
      </c>
      <c r="L4" s="115">
        <v>14542930.67</v>
      </c>
      <c r="M4" s="115">
        <v>11036776</v>
      </c>
      <c r="N4" s="115">
        <v>11677755</v>
      </c>
      <c r="O4" s="189">
        <v>11642926</v>
      </c>
      <c r="P4" s="189">
        <v>11906296</v>
      </c>
      <c r="Q4" s="119">
        <f>P4</f>
        <v>11906296</v>
      </c>
      <c r="R4" s="71" t="s">
        <v>445</v>
      </c>
    </row>
    <row r="5" spans="1:18" s="63" customFormat="1" ht="15">
      <c r="A5" s="71" t="s">
        <v>41</v>
      </c>
      <c r="B5" s="114">
        <v>206545.32</v>
      </c>
      <c r="C5" s="114">
        <v>2803385</v>
      </c>
      <c r="D5" s="114">
        <v>3964851</v>
      </c>
      <c r="E5" s="114">
        <v>4199379.4000000004</v>
      </c>
      <c r="F5" s="65">
        <v>4319007</v>
      </c>
      <c r="G5" s="65">
        <v>4130748</v>
      </c>
      <c r="H5" s="65">
        <v>3980350.71</v>
      </c>
      <c r="I5" s="65">
        <v>4244806.68</v>
      </c>
      <c r="J5" s="65">
        <v>4077673.9</v>
      </c>
      <c r="K5" s="65">
        <v>7152515</v>
      </c>
      <c r="L5" s="65">
        <v>6798515.7999999998</v>
      </c>
      <c r="M5" s="65">
        <v>5980713</v>
      </c>
      <c r="N5" s="65">
        <v>4792926</v>
      </c>
      <c r="O5" s="189">
        <v>4000012</v>
      </c>
      <c r="P5" s="189">
        <v>5141190.7600000007</v>
      </c>
      <c r="Q5" s="119">
        <f t="shared" ref="Q5:Q11" si="0">P5</f>
        <v>5141190.7600000007</v>
      </c>
      <c r="R5" s="71" t="s">
        <v>41</v>
      </c>
    </row>
    <row r="6" spans="1:18" s="63" customFormat="1" ht="15">
      <c r="A6" s="71" t="s">
        <v>185</v>
      </c>
      <c r="B6" s="114">
        <v>65391134.799999997</v>
      </c>
      <c r="C6" s="114">
        <v>60793513</v>
      </c>
      <c r="D6" s="114">
        <v>76781454</v>
      </c>
      <c r="E6" s="114">
        <v>80386908.619999975</v>
      </c>
      <c r="F6" s="65">
        <v>123373947</v>
      </c>
      <c r="G6" s="65">
        <v>122609228</v>
      </c>
      <c r="H6" s="65">
        <v>118831308.82000001</v>
      </c>
      <c r="I6" s="65">
        <v>102422790.40000001</v>
      </c>
      <c r="J6" s="65">
        <v>124435134.92</v>
      </c>
      <c r="K6" s="65">
        <v>117933009</v>
      </c>
      <c r="L6" s="65">
        <v>98185616.640000001</v>
      </c>
      <c r="M6" s="65">
        <v>123250425</v>
      </c>
      <c r="N6" s="65">
        <v>95407540</v>
      </c>
      <c r="O6" s="189">
        <v>102910269</v>
      </c>
      <c r="P6" s="189">
        <v>122044125.41000001</v>
      </c>
      <c r="Q6" s="119">
        <f t="shared" si="0"/>
        <v>122044125.41000001</v>
      </c>
      <c r="R6" s="71" t="s">
        <v>185</v>
      </c>
    </row>
    <row r="7" spans="1:18" s="63" customFormat="1" ht="36.75" customHeight="1">
      <c r="A7" s="71" t="s">
        <v>40</v>
      </c>
      <c r="B7" s="114">
        <v>447384.8</v>
      </c>
      <c r="C7" s="114">
        <v>3674945</v>
      </c>
      <c r="D7" s="114">
        <v>3417255</v>
      </c>
      <c r="E7" s="114">
        <v>3241565.96</v>
      </c>
      <c r="F7" s="65">
        <v>3599302</v>
      </c>
      <c r="G7" s="65">
        <v>4429624</v>
      </c>
      <c r="H7" s="65">
        <v>4077995.11</v>
      </c>
      <c r="I7" s="65">
        <v>4062872.09</v>
      </c>
      <c r="J7" s="65">
        <v>4248774.49</v>
      </c>
      <c r="K7" s="65">
        <v>4206148</v>
      </c>
      <c r="L7" s="65">
        <v>4321384.6500000004</v>
      </c>
      <c r="M7" s="65">
        <v>6599734</v>
      </c>
      <c r="N7" s="65">
        <v>4345080</v>
      </c>
      <c r="O7" s="189">
        <v>4367674</v>
      </c>
      <c r="P7" s="189">
        <v>5246418.55</v>
      </c>
      <c r="Q7" s="119">
        <f t="shared" si="0"/>
        <v>5246418.55</v>
      </c>
      <c r="R7" s="71" t="s">
        <v>40</v>
      </c>
    </row>
    <row r="8" spans="1:18" s="63" customFormat="1" ht="37.5" customHeight="1">
      <c r="A8" s="71" t="s">
        <v>77</v>
      </c>
      <c r="B8" s="114">
        <v>36296239.659999982</v>
      </c>
      <c r="C8" s="114">
        <v>25638528</v>
      </c>
      <c r="D8" s="114">
        <v>28175648</v>
      </c>
      <c r="E8" s="114">
        <v>45271831.170000017</v>
      </c>
      <c r="F8" s="65">
        <v>61846889</v>
      </c>
      <c r="G8" s="65">
        <v>53165835</v>
      </c>
      <c r="H8" s="65">
        <v>50024766.200000003</v>
      </c>
      <c r="I8" s="65">
        <v>45146278.850000001</v>
      </c>
      <c r="J8" s="116">
        <v>32202008.149999999</v>
      </c>
      <c r="K8" s="65">
        <v>31490426</v>
      </c>
      <c r="L8" s="116">
        <v>34872455.259999998</v>
      </c>
      <c r="M8" s="116">
        <v>36978108</v>
      </c>
      <c r="N8" s="116">
        <v>41775457</v>
      </c>
      <c r="O8" s="189">
        <v>55046556</v>
      </c>
      <c r="P8" s="189">
        <v>46496391.919999987</v>
      </c>
      <c r="Q8" s="119">
        <f t="shared" si="0"/>
        <v>46496391.919999987</v>
      </c>
      <c r="R8" s="71" t="s">
        <v>77</v>
      </c>
    </row>
    <row r="9" spans="1:18" s="63" customFormat="1" ht="15">
      <c r="A9" s="71" t="s">
        <v>39</v>
      </c>
      <c r="B9" s="114"/>
      <c r="C9" s="114">
        <v>1119159</v>
      </c>
      <c r="D9" s="114">
        <v>705064</v>
      </c>
      <c r="E9" s="114">
        <v>656356.34</v>
      </c>
      <c r="F9" s="65">
        <v>805250</v>
      </c>
      <c r="G9" s="65">
        <v>853122</v>
      </c>
      <c r="H9" s="65">
        <v>750779.54</v>
      </c>
      <c r="I9" s="65">
        <v>883679.1</v>
      </c>
      <c r="J9" s="65">
        <v>865989.83</v>
      </c>
      <c r="K9" s="65">
        <v>800717</v>
      </c>
      <c r="L9" s="65">
        <v>1007595</v>
      </c>
      <c r="M9" s="65">
        <v>939310</v>
      </c>
      <c r="N9" s="65">
        <v>921482</v>
      </c>
      <c r="O9" s="189">
        <v>1078454</v>
      </c>
      <c r="P9" s="189">
        <v>937863.16</v>
      </c>
      <c r="Q9" s="119">
        <f t="shared" si="0"/>
        <v>937863.16</v>
      </c>
      <c r="R9" s="71" t="s">
        <v>39</v>
      </c>
    </row>
    <row r="10" spans="1:18" s="63" customFormat="1" ht="15">
      <c r="A10" s="71" t="s">
        <v>38</v>
      </c>
      <c r="B10" s="114"/>
      <c r="C10" s="114">
        <v>3208172</v>
      </c>
      <c r="D10" s="114">
        <v>3284130</v>
      </c>
      <c r="E10" s="114">
        <v>3549111.76</v>
      </c>
      <c r="F10" s="65">
        <v>2983190</v>
      </c>
      <c r="G10" s="65">
        <v>3558732</v>
      </c>
      <c r="H10" s="65">
        <v>3309063.57</v>
      </c>
      <c r="I10" s="65">
        <v>3879435.13</v>
      </c>
      <c r="J10" s="65">
        <v>3614166.46</v>
      </c>
      <c r="K10" s="65">
        <v>4251762</v>
      </c>
      <c r="L10" s="65">
        <v>4211395.18</v>
      </c>
      <c r="M10" s="65">
        <v>3392431</v>
      </c>
      <c r="N10" s="65">
        <v>5301185</v>
      </c>
      <c r="O10" s="189">
        <v>3733535</v>
      </c>
      <c r="P10" s="189">
        <v>4087548.31</v>
      </c>
      <c r="Q10" s="119">
        <f t="shared" si="0"/>
        <v>4087548.31</v>
      </c>
      <c r="R10" s="71" t="s">
        <v>38</v>
      </c>
    </row>
    <row r="11" spans="1:18" s="63" customFormat="1" ht="15">
      <c r="A11" s="71" t="s">
        <v>76</v>
      </c>
      <c r="B11" s="114"/>
      <c r="C11" s="114">
        <v>61948189</v>
      </c>
      <c r="D11" s="114">
        <v>70325233</v>
      </c>
      <c r="E11" s="114">
        <v>79820205.509999946</v>
      </c>
      <c r="F11" s="166">
        <v>89101514</v>
      </c>
      <c r="G11" s="166">
        <v>89527224</v>
      </c>
      <c r="H11" s="166">
        <v>80053468.640000001</v>
      </c>
      <c r="I11" s="166">
        <v>80583800.829999998</v>
      </c>
      <c r="J11" s="166">
        <v>82202202.650000006</v>
      </c>
      <c r="K11" s="166">
        <v>79345812</v>
      </c>
      <c r="L11" s="166">
        <v>82150738.269999996</v>
      </c>
      <c r="M11" s="166">
        <v>78032415</v>
      </c>
      <c r="N11" s="166">
        <v>75235405</v>
      </c>
      <c r="O11" s="189">
        <v>72201118</v>
      </c>
      <c r="P11" s="189">
        <v>76050145.24999997</v>
      </c>
      <c r="Q11" s="167">
        <f t="shared" si="0"/>
        <v>76050145.24999997</v>
      </c>
      <c r="R11" s="71" t="s">
        <v>76</v>
      </c>
    </row>
    <row r="12" spans="1:18" s="63" customFormat="1" ht="15">
      <c r="A12" s="71" t="s">
        <v>238</v>
      </c>
      <c r="B12" s="114"/>
      <c r="C12" s="114"/>
      <c r="D12" s="114"/>
      <c r="E12" s="114"/>
      <c r="F12" s="166"/>
      <c r="G12" s="166"/>
      <c r="H12" s="166"/>
      <c r="I12" s="166"/>
      <c r="J12" s="166"/>
      <c r="K12" s="166"/>
      <c r="L12" s="166"/>
      <c r="M12" s="166">
        <v>10367580</v>
      </c>
      <c r="N12" s="166">
        <v>11607301</v>
      </c>
      <c r="O12" s="189">
        <v>11601030</v>
      </c>
      <c r="P12" s="189">
        <v>12327352</v>
      </c>
      <c r="Q12" s="167">
        <f t="shared" ref="Q12:Q13" si="1">P12</f>
        <v>12327352</v>
      </c>
      <c r="R12" s="71" t="s">
        <v>238</v>
      </c>
    </row>
    <row r="13" spans="1:18" s="63" customFormat="1" ht="15">
      <c r="A13" s="70" t="s">
        <v>239</v>
      </c>
      <c r="B13" s="114"/>
      <c r="C13" s="114"/>
      <c r="D13" s="114"/>
      <c r="E13" s="114"/>
      <c r="F13" s="65"/>
      <c r="G13" s="65"/>
      <c r="H13" s="65"/>
      <c r="I13" s="65"/>
      <c r="J13" s="65"/>
      <c r="K13" s="65"/>
      <c r="L13" s="65"/>
      <c r="M13" s="65">
        <v>304457</v>
      </c>
      <c r="N13" s="65">
        <v>254958</v>
      </c>
      <c r="O13" s="189">
        <v>213881</v>
      </c>
      <c r="P13" s="189">
        <v>179587</v>
      </c>
      <c r="Q13" s="119">
        <f t="shared" si="1"/>
        <v>179587</v>
      </c>
      <c r="R13" s="71" t="s">
        <v>239</v>
      </c>
    </row>
    <row r="14" spans="1:18" s="66" customFormat="1" ht="15">
      <c r="A14" s="69" t="s">
        <v>37</v>
      </c>
      <c r="B14" s="68">
        <f t="shared" ref="B14:E14" si="2">SUM(B3:B13)</f>
        <v>109735021.12999992</v>
      </c>
      <c r="C14" s="68">
        <f t="shared" si="2"/>
        <v>174413007</v>
      </c>
      <c r="D14" s="68">
        <f t="shared" si="2"/>
        <v>205271805</v>
      </c>
      <c r="E14" s="68">
        <f t="shared" si="2"/>
        <v>239587953.06999993</v>
      </c>
      <c r="F14" s="68">
        <f>SUM(F3:F13)</f>
        <v>311214895</v>
      </c>
      <c r="G14" s="68">
        <f t="shared" ref="G14:P14" si="3">SUM(G3:G13)</f>
        <v>306409772</v>
      </c>
      <c r="H14" s="68">
        <f t="shared" si="3"/>
        <v>291101892.47000003</v>
      </c>
      <c r="I14" s="68">
        <f t="shared" si="3"/>
        <v>269134109.65999997</v>
      </c>
      <c r="J14" s="68">
        <f t="shared" si="3"/>
        <v>279550549.25000006</v>
      </c>
      <c r="K14" s="68">
        <f t="shared" si="3"/>
        <v>274172174</v>
      </c>
      <c r="L14" s="68">
        <f t="shared" si="3"/>
        <v>259957536.01999998</v>
      </c>
      <c r="M14" s="68">
        <f t="shared" ref="M14:N14" si="4">SUM(M3:M13)</f>
        <v>289372127</v>
      </c>
      <c r="N14" s="68">
        <f t="shared" si="4"/>
        <v>262715160</v>
      </c>
      <c r="O14" s="68"/>
      <c r="P14" s="68">
        <f t="shared" si="3"/>
        <v>295513264.36000001</v>
      </c>
    </row>
    <row r="15" spans="1:18" s="63" customFormat="1" ht="15">
      <c r="A15" s="64"/>
      <c r="B15" s="65"/>
      <c r="C15" s="64"/>
      <c r="D15" s="65"/>
      <c r="E15" s="64"/>
      <c r="F15" s="64"/>
    </row>
    <row r="16" spans="1:18" ht="15">
      <c r="A16" s="47" t="s">
        <v>0</v>
      </c>
      <c r="B16" s="49"/>
      <c r="C16" s="47"/>
      <c r="D16" s="49"/>
      <c r="E16" s="47"/>
      <c r="F16" s="47"/>
    </row>
    <row r="17" spans="1:16" ht="15">
      <c r="A17" s="395" t="s">
        <v>237</v>
      </c>
      <c r="B17" s="395"/>
      <c r="C17" s="395"/>
      <c r="D17" s="395"/>
      <c r="E17" s="395"/>
      <c r="F17" s="395"/>
      <c r="G17" s="395"/>
      <c r="H17" s="395"/>
      <c r="I17" s="395"/>
      <c r="J17" s="395"/>
      <c r="K17" s="395"/>
      <c r="L17" s="395"/>
      <c r="M17" s="395"/>
      <c r="N17" s="395"/>
      <c r="O17" s="395"/>
      <c r="P17" s="395"/>
    </row>
    <row r="18" spans="1:16" ht="15">
      <c r="A18" s="396" t="s">
        <v>75</v>
      </c>
      <c r="B18" s="396"/>
      <c r="C18" s="396"/>
      <c r="D18" s="396"/>
      <c r="E18" s="396"/>
      <c r="F18" s="396"/>
      <c r="G18" s="396"/>
      <c r="H18" s="396"/>
      <c r="I18" s="396"/>
      <c r="J18" s="396"/>
      <c r="K18" s="396"/>
      <c r="L18" s="396"/>
      <c r="M18" s="396"/>
      <c r="N18" s="396"/>
      <c r="O18" s="396"/>
      <c r="P18" s="396"/>
    </row>
    <row r="19" spans="1:16" ht="17.25" customHeight="1">
      <c r="A19" s="396" t="s">
        <v>434</v>
      </c>
      <c r="B19" s="396"/>
      <c r="C19" s="396"/>
      <c r="D19" s="396"/>
      <c r="E19" s="396"/>
      <c r="F19" s="396"/>
      <c r="G19" s="396"/>
      <c r="H19" s="396"/>
      <c r="I19" s="396"/>
      <c r="J19" s="396"/>
      <c r="K19" s="396"/>
      <c r="L19" s="396"/>
      <c r="M19" s="396"/>
      <c r="N19" s="396"/>
      <c r="O19" s="396"/>
      <c r="P19" s="396"/>
    </row>
    <row r="20" spans="1:16" ht="17.25" customHeight="1">
      <c r="A20" s="396" t="s">
        <v>404</v>
      </c>
      <c r="B20" s="396"/>
      <c r="C20" s="396"/>
      <c r="D20" s="396"/>
      <c r="E20" s="396"/>
      <c r="F20" s="396"/>
      <c r="G20" s="396"/>
      <c r="H20" s="396"/>
      <c r="I20" s="396"/>
      <c r="J20" s="396"/>
      <c r="K20" s="396"/>
      <c r="L20" s="396"/>
      <c r="M20" s="396"/>
      <c r="N20" s="396"/>
      <c r="O20" s="396"/>
      <c r="P20" s="396"/>
    </row>
    <row r="21" spans="1:16" ht="15">
      <c r="A21" s="97"/>
      <c r="B21" s="97"/>
      <c r="C21" s="97"/>
      <c r="D21" s="97"/>
      <c r="E21" s="97"/>
      <c r="F21" s="97"/>
      <c r="G21" s="97"/>
      <c r="H21" s="140"/>
      <c r="I21" s="180"/>
      <c r="J21" s="180"/>
      <c r="K21" s="180"/>
      <c r="L21" s="97"/>
      <c r="M21" s="97"/>
      <c r="N21" s="97"/>
    </row>
    <row r="22" spans="1:16" ht="15">
      <c r="A22" s="73" t="s">
        <v>74</v>
      </c>
      <c r="B22" s="74" t="str">
        <f>SUBSTITUTE(subtitle,", not included","")</f>
        <v>Total: $295.5 million includes $41.9 million in obligations to capital projects, plus General and Administrative (G&amp;A) expenses ($12.3 million), and Columbia River System Operations Review/Environmental Impact Statement expenses ($0.2 million)</v>
      </c>
      <c r="C22" s="73"/>
      <c r="D22" s="73"/>
      <c r="E22" s="73"/>
      <c r="F22" s="73"/>
      <c r="G22" s="73"/>
      <c r="H22" s="73"/>
      <c r="I22" s="73"/>
      <c r="J22" s="73"/>
      <c r="K22" s="73"/>
      <c r="L22" s="73"/>
    </row>
    <row r="23" spans="1:16">
      <c r="A23" s="62"/>
    </row>
  </sheetData>
  <mergeCells count="5">
    <mergeCell ref="A1:L1"/>
    <mergeCell ref="A17:P17"/>
    <mergeCell ref="A18:P18"/>
    <mergeCell ref="A19:P19"/>
    <mergeCell ref="A20:P20"/>
  </mergeCells>
  <pageMargins left="0.41" right="0.39" top="0.55000000000000004" bottom="0.27" header="0.16" footer="0.16"/>
  <pageSetup scale="9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13"/>
  <sheetViews>
    <sheetView topLeftCell="A7" workbookViewId="0"/>
  </sheetViews>
  <sheetFormatPr defaultColWidth="9.109375" defaultRowHeight="13.2"/>
  <cols>
    <col min="1" max="1" width="41.88671875" style="1" customWidth="1"/>
    <col min="2" max="2" width="15.44140625" style="61" customWidth="1"/>
    <col min="3" max="3" width="15.44140625" style="1" bestFit="1" customWidth="1"/>
    <col min="4" max="4" width="15.44140625" style="60" bestFit="1" customWidth="1"/>
    <col min="5" max="6" width="15.44140625" style="1" bestFit="1" customWidth="1"/>
    <col min="7" max="12" width="15.44140625" style="1" customWidth="1"/>
    <col min="13" max="13" width="17.6640625" style="1" customWidth="1"/>
    <col min="14" max="16384" width="9.109375" style="1"/>
  </cols>
  <sheetData>
    <row r="1" spans="1:17" s="63" customFormat="1" ht="30.75" customHeight="1">
      <c r="A1" s="118" t="str">
        <f>"Figure 6B: Artificial Production Costs by Category, FY"&amp;P2</f>
        <v>Figure 6B: Artificial Production Costs by Category, FY2021</v>
      </c>
      <c r="B1" s="118"/>
      <c r="C1" s="118"/>
      <c r="D1" s="118"/>
      <c r="E1" s="118"/>
      <c r="F1" s="118"/>
      <c r="G1" s="118"/>
      <c r="H1" s="118"/>
      <c r="I1" s="118"/>
      <c r="J1" s="118"/>
      <c r="K1" s="118"/>
      <c r="L1" s="118"/>
      <c r="M1" s="118"/>
      <c r="N1" s="118"/>
    </row>
    <row r="2" spans="1:17" s="72" customFormat="1" ht="17.399999999999999">
      <c r="A2" s="214" t="s">
        <v>12</v>
      </c>
      <c r="B2" s="215">
        <v>2007</v>
      </c>
      <c r="C2" s="215">
        <v>2008</v>
      </c>
      <c r="D2" s="215">
        <v>2009</v>
      </c>
      <c r="E2" s="215">
        <v>2010</v>
      </c>
      <c r="F2" s="215">
        <v>2011</v>
      </c>
      <c r="G2" s="215">
        <v>2012</v>
      </c>
      <c r="H2" s="215">
        <v>2013</v>
      </c>
      <c r="I2" s="215">
        <v>2014</v>
      </c>
      <c r="J2" s="215">
        <v>2015</v>
      </c>
      <c r="K2" s="215" t="s">
        <v>216</v>
      </c>
      <c r="L2" s="215">
        <v>2017</v>
      </c>
      <c r="M2" s="215">
        <v>2018</v>
      </c>
      <c r="N2" s="215">
        <v>2019</v>
      </c>
      <c r="O2" s="215">
        <v>2020</v>
      </c>
      <c r="P2" s="215">
        <v>2021</v>
      </c>
      <c r="Q2" s="75" t="s">
        <v>78</v>
      </c>
    </row>
    <row r="3" spans="1:17" s="63" customFormat="1" ht="15">
      <c r="A3" s="71" t="s">
        <v>184</v>
      </c>
      <c r="B3" s="42">
        <v>641816.81000000006</v>
      </c>
      <c r="C3" s="42">
        <v>764148.4800000001</v>
      </c>
      <c r="D3" s="42">
        <v>-3902</v>
      </c>
      <c r="E3" s="42">
        <v>640554</v>
      </c>
      <c r="F3" s="42">
        <v>684891</v>
      </c>
      <c r="G3" s="42">
        <v>664088</v>
      </c>
      <c r="H3" s="42">
        <v>785308.52</v>
      </c>
      <c r="I3" s="42">
        <v>633508.71</v>
      </c>
      <c r="J3" s="42">
        <v>618853.43999999994</v>
      </c>
      <c r="K3" s="113">
        <v>703885.61</v>
      </c>
      <c r="L3" s="113">
        <v>690901</v>
      </c>
      <c r="M3" s="113">
        <v>598768</v>
      </c>
      <c r="N3" s="113">
        <v>636882</v>
      </c>
      <c r="O3" s="113">
        <v>513554</v>
      </c>
      <c r="P3" s="113">
        <v>501558.63</v>
      </c>
      <c r="Q3" s="119">
        <f>P3</f>
        <v>501558.63</v>
      </c>
    </row>
    <row r="4" spans="1:17" s="63" customFormat="1" ht="15">
      <c r="A4" s="109" t="s">
        <v>40</v>
      </c>
      <c r="B4" s="42">
        <v>3054888.35</v>
      </c>
      <c r="C4" s="42">
        <v>3256692.3110000002</v>
      </c>
      <c r="D4" s="42">
        <v>3417255.43</v>
      </c>
      <c r="E4" s="42">
        <v>3241566</v>
      </c>
      <c r="F4" s="42">
        <v>3599302</v>
      </c>
      <c r="G4" s="42">
        <v>4429624</v>
      </c>
      <c r="H4" s="42">
        <v>4077995.11</v>
      </c>
      <c r="I4" s="42">
        <v>4062872.09</v>
      </c>
      <c r="J4" s="42">
        <v>4248774.49</v>
      </c>
      <c r="K4" s="113">
        <v>4206148.1500000004</v>
      </c>
      <c r="L4" s="113">
        <v>4321385</v>
      </c>
      <c r="M4" s="113">
        <v>6599734</v>
      </c>
      <c r="N4" s="113">
        <v>4345080</v>
      </c>
      <c r="O4" s="113">
        <v>4367674</v>
      </c>
      <c r="P4" s="113">
        <v>5246418.55</v>
      </c>
      <c r="Q4" s="119">
        <f>P4</f>
        <v>5246418.55</v>
      </c>
    </row>
    <row r="5" spans="1:17" s="63" customFormat="1" ht="15">
      <c r="A5" s="109" t="s">
        <v>389</v>
      </c>
      <c r="B5" s="42">
        <v>19614679.890099999</v>
      </c>
      <c r="C5" s="42">
        <v>17739369.969999999</v>
      </c>
      <c r="D5" s="42">
        <v>17335477.820000004</v>
      </c>
      <c r="E5" s="42">
        <v>22318040</v>
      </c>
      <c r="F5" s="42">
        <v>22583163</v>
      </c>
      <c r="G5" s="42">
        <v>25176585</v>
      </c>
      <c r="H5" s="42">
        <v>23588530.18</v>
      </c>
      <c r="I5" s="42">
        <v>24046105.84</v>
      </c>
      <c r="J5" s="42">
        <v>24079654.359999999</v>
      </c>
      <c r="K5" s="113">
        <v>24391057.350000001</v>
      </c>
      <c r="L5" s="113">
        <v>24937524</v>
      </c>
      <c r="M5" s="113">
        <v>24832549</v>
      </c>
      <c r="N5" s="113">
        <v>25205995</v>
      </c>
      <c r="O5" s="113">
        <v>24309066</v>
      </c>
      <c r="P5" s="113">
        <v>19198616.699999999</v>
      </c>
      <c r="Q5" s="119">
        <f t="shared" ref="Q5:Q6" si="0">P5</f>
        <v>19198616.699999999</v>
      </c>
    </row>
    <row r="6" spans="1:17" s="63" customFormat="1" ht="15">
      <c r="A6" s="109" t="s">
        <v>208</v>
      </c>
      <c r="B6" s="42">
        <v>22334338.59</v>
      </c>
      <c r="C6" s="42">
        <v>26177768.739499994</v>
      </c>
      <c r="D6" s="42">
        <v>28175648.489999998</v>
      </c>
      <c r="E6" s="42">
        <v>45271831</v>
      </c>
      <c r="F6" s="42">
        <v>61846889</v>
      </c>
      <c r="G6" s="42">
        <v>53165835</v>
      </c>
      <c r="H6" s="42">
        <f>21326284.81+28698481.39</f>
        <v>50024766.200000003</v>
      </c>
      <c r="I6" s="42">
        <f>14595131.65+30551147.2</f>
        <v>45146278.850000001</v>
      </c>
      <c r="J6" s="42">
        <v>32202008.149999999</v>
      </c>
      <c r="K6" s="113">
        <v>31490426.289999999</v>
      </c>
      <c r="L6" s="113">
        <v>34872455</v>
      </c>
      <c r="M6" s="113">
        <v>36978108</v>
      </c>
      <c r="N6" s="113">
        <v>41775457</v>
      </c>
      <c r="O6" s="113">
        <v>55046556</v>
      </c>
      <c r="P6" s="113">
        <v>46496391.919999979</v>
      </c>
      <c r="Q6" s="119">
        <f t="shared" si="0"/>
        <v>46496391.919999979</v>
      </c>
    </row>
    <row r="7" spans="1:17" s="66" customFormat="1" ht="15">
      <c r="A7" s="69" t="s">
        <v>37</v>
      </c>
      <c r="B7" s="68">
        <f t="shared" ref="B7:E7" si="1">SUM(B3:B6)</f>
        <v>45645723.640100002</v>
      </c>
      <c r="C7" s="68">
        <f t="shared" si="1"/>
        <v>47937979.500499994</v>
      </c>
      <c r="D7" s="68">
        <f t="shared" si="1"/>
        <v>48924479.740000002</v>
      </c>
      <c r="E7" s="68">
        <f t="shared" si="1"/>
        <v>71471991</v>
      </c>
      <c r="F7" s="68">
        <f t="shared" ref="F7:P7" si="2">SUM(F3:F6)</f>
        <v>88714245</v>
      </c>
      <c r="G7" s="68">
        <f t="shared" si="2"/>
        <v>83436132</v>
      </c>
      <c r="H7" s="68">
        <f t="shared" si="2"/>
        <v>78476600.010000005</v>
      </c>
      <c r="I7" s="68">
        <f t="shared" si="2"/>
        <v>73888765.49000001</v>
      </c>
      <c r="J7" s="68">
        <f t="shared" si="2"/>
        <v>61149290.439999998</v>
      </c>
      <c r="K7" s="68">
        <f t="shared" si="2"/>
        <v>60791517.400000006</v>
      </c>
      <c r="L7" s="68">
        <f t="shared" ref="L7" si="3">SUM(L3:L6)</f>
        <v>64822265</v>
      </c>
      <c r="M7" s="67">
        <f t="shared" ref="M7" si="4">SUM(M3:M6)</f>
        <v>69009159</v>
      </c>
      <c r="N7" s="67">
        <f t="shared" ref="N7" si="5">SUM(N3:N6)</f>
        <v>71963414</v>
      </c>
      <c r="O7" s="67">
        <f t="shared" ref="O7" si="6">SUM(O3:O6)</f>
        <v>84236850</v>
      </c>
      <c r="P7" s="67">
        <f t="shared" si="2"/>
        <v>71442985.799999982</v>
      </c>
    </row>
    <row r="8" spans="1:17" s="63" customFormat="1" ht="15">
      <c r="A8" s="64"/>
      <c r="B8" s="65"/>
      <c r="C8" s="64"/>
      <c r="D8" s="65"/>
      <c r="E8" s="64"/>
      <c r="F8" s="64"/>
    </row>
    <row r="9" spans="1:17" ht="15">
      <c r="A9" s="47" t="s">
        <v>0</v>
      </c>
      <c r="B9" s="49"/>
      <c r="C9" s="47"/>
      <c r="D9" s="49"/>
      <c r="E9" s="47"/>
      <c r="F9" s="47"/>
    </row>
    <row r="10" spans="1:17" ht="15">
      <c r="A10" s="353" t="s">
        <v>409</v>
      </c>
      <c r="B10" s="353"/>
      <c r="C10" s="353"/>
      <c r="D10" s="353"/>
      <c r="E10" s="353"/>
      <c r="F10" s="353"/>
      <c r="G10" s="353"/>
      <c r="H10" s="353"/>
      <c r="I10" s="353"/>
      <c r="J10" s="353"/>
      <c r="K10" s="353"/>
      <c r="L10" s="353"/>
      <c r="M10" s="353"/>
      <c r="N10" s="353"/>
      <c r="O10" s="353"/>
      <c r="P10" s="353"/>
    </row>
    <row r="11" spans="1:17" ht="15">
      <c r="A11" s="110"/>
      <c r="B11" s="110"/>
      <c r="C11" s="110"/>
      <c r="D11" s="110"/>
      <c r="E11" s="110"/>
      <c r="F11" s="110"/>
      <c r="G11" s="110"/>
      <c r="H11" s="140"/>
      <c r="I11" s="180"/>
      <c r="J11" s="180"/>
      <c r="K11" s="180"/>
      <c r="L11" s="110"/>
      <c r="M11" s="110"/>
    </row>
    <row r="12" spans="1:17" ht="15">
      <c r="A12" s="73" t="s">
        <v>74</v>
      </c>
      <c r="B12" s="74" t="str">
        <f>"Total: $" &amp; TEXT(P7,"#0.0,,") &amp; " million does not include obligations to capital projects"</f>
        <v>Total: $71.4 million does not include obligations to capital projects</v>
      </c>
      <c r="C12" s="73"/>
      <c r="D12" s="73"/>
      <c r="E12" s="73"/>
      <c r="F12" s="73"/>
      <c r="G12" s="73"/>
      <c r="H12" s="73"/>
      <c r="I12" s="73"/>
      <c r="J12" s="73"/>
      <c r="K12" s="73"/>
      <c r="L12" s="73"/>
    </row>
    <row r="13" spans="1:17">
      <c r="A13" s="62"/>
    </row>
  </sheetData>
  <pageMargins left="0.41" right="0.39" top="0.55000000000000004" bottom="0.27" header="0.16" footer="0.16"/>
  <pageSetup scale="9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1B100-A688-4850-B292-B85ED7870BA4}">
  <sheetPr>
    <pageSetUpPr fitToPage="1"/>
  </sheetPr>
  <dimension ref="A1:M15"/>
  <sheetViews>
    <sheetView topLeftCell="A28" workbookViewId="0"/>
  </sheetViews>
  <sheetFormatPr defaultColWidth="9.109375" defaultRowHeight="13.8"/>
  <cols>
    <col min="1" max="1" width="31.6640625" style="98" customWidth="1"/>
    <col min="2" max="2" width="16.109375" style="99" bestFit="1" customWidth="1"/>
    <col min="3" max="3" width="14.5546875" style="99" customWidth="1"/>
    <col min="4" max="4" width="14.109375" style="99" customWidth="1"/>
    <col min="5" max="5" width="14.44140625" style="99" customWidth="1"/>
    <col min="6" max="6" width="13.6640625" style="98" customWidth="1"/>
    <col min="7" max="19" width="15" style="98" customWidth="1"/>
    <col min="20" max="16384" width="9.109375" style="98"/>
  </cols>
  <sheetData>
    <row r="1" spans="1:13" ht="15">
      <c r="A1" s="120" t="str">
        <f>"Figure 6C: Research, Monitoring and Evaluation (RM&amp;E) Costs, FY"&amp;L3</f>
        <v>Figure 6C: Research, Monitoring and Evaluation (RM&amp;E) Costs, FY2021</v>
      </c>
      <c r="B1" s="120"/>
      <c r="C1" s="120"/>
      <c r="D1" s="120"/>
      <c r="E1" s="120"/>
    </row>
    <row r="2" spans="1:13" ht="15">
      <c r="A2" s="120"/>
      <c r="B2" s="120"/>
      <c r="C2" s="120"/>
      <c r="D2" s="120"/>
      <c r="E2" s="120"/>
    </row>
    <row r="3" spans="1:13" ht="17.399999999999999">
      <c r="A3" s="213" t="s">
        <v>12</v>
      </c>
      <c r="B3" s="213">
        <v>2011</v>
      </c>
      <c r="C3" s="213">
        <v>2012</v>
      </c>
      <c r="D3" s="213">
        <v>2013</v>
      </c>
      <c r="E3" s="213">
        <v>2014</v>
      </c>
      <c r="F3" s="213">
        <v>2015</v>
      </c>
      <c r="G3" s="213" t="s">
        <v>223</v>
      </c>
      <c r="H3" s="213">
        <v>2017</v>
      </c>
      <c r="I3" s="213">
        <v>2018</v>
      </c>
      <c r="J3" s="213">
        <v>2019</v>
      </c>
      <c r="K3" s="213">
        <v>2020</v>
      </c>
      <c r="L3" s="213">
        <v>2021</v>
      </c>
      <c r="M3" s="98" t="s">
        <v>336</v>
      </c>
    </row>
    <row r="4" spans="1:13">
      <c r="A4" s="203" t="s">
        <v>47</v>
      </c>
      <c r="B4" s="190">
        <v>22583162.569999997</v>
      </c>
      <c r="C4" s="190">
        <v>25176585</v>
      </c>
      <c r="D4" s="190">
        <v>23588530</v>
      </c>
      <c r="E4" s="190">
        <v>24046105.84</v>
      </c>
      <c r="F4" s="190">
        <v>24079654.359999999</v>
      </c>
      <c r="G4" s="190">
        <v>24391057</v>
      </c>
      <c r="H4" s="190">
        <v>24937523.870000001</v>
      </c>
      <c r="I4" s="190">
        <v>24832549</v>
      </c>
      <c r="J4" s="190">
        <v>25205995</v>
      </c>
      <c r="K4" s="190">
        <v>24309066</v>
      </c>
      <c r="L4" s="190">
        <v>19198616.70000001</v>
      </c>
      <c r="M4" s="204">
        <f>L4</f>
        <v>19198616.70000001</v>
      </c>
    </row>
    <row r="5" spans="1:13">
      <c r="A5" s="203" t="s">
        <v>46</v>
      </c>
      <c r="B5" s="190">
        <v>15426001.169800008</v>
      </c>
      <c r="C5" s="190">
        <v>13469530</v>
      </c>
      <c r="D5" s="190">
        <v>12969684.76</v>
      </c>
      <c r="E5" s="190">
        <v>13133027.810000001</v>
      </c>
      <c r="F5" s="190">
        <v>13434942.029999999</v>
      </c>
      <c r="G5" s="190">
        <v>13332983</v>
      </c>
      <c r="H5" s="190">
        <v>13236006.130000001</v>
      </c>
      <c r="I5" s="190">
        <v>12924874</v>
      </c>
      <c r="J5" s="190">
        <v>12760509</v>
      </c>
      <c r="K5" s="190">
        <v>13399643</v>
      </c>
      <c r="L5" s="190">
        <v>12887138.150000002</v>
      </c>
      <c r="M5" s="204">
        <f t="shared" ref="M5:M9" si="0">L5</f>
        <v>12887138.150000002</v>
      </c>
    </row>
    <row r="6" spans="1:13">
      <c r="A6" s="203" t="s">
        <v>45</v>
      </c>
      <c r="B6" s="190">
        <v>1763066.9299999997</v>
      </c>
      <c r="C6" s="190">
        <v>1735888</v>
      </c>
      <c r="D6" s="190">
        <v>1053093.99</v>
      </c>
      <c r="E6" s="190">
        <v>1228057.49</v>
      </c>
      <c r="F6" s="190">
        <v>1098002.8799999999</v>
      </c>
      <c r="G6" s="190">
        <v>1216118</v>
      </c>
      <c r="H6" s="190">
        <v>1407032.65</v>
      </c>
      <c r="I6" s="190">
        <v>1129180</v>
      </c>
      <c r="J6" s="190">
        <v>1041615</v>
      </c>
      <c r="K6" s="190">
        <v>985607</v>
      </c>
      <c r="L6" s="190">
        <v>665946.26000000013</v>
      </c>
      <c r="M6" s="204">
        <f t="shared" si="0"/>
        <v>665946.26000000013</v>
      </c>
    </row>
    <row r="7" spans="1:13">
      <c r="A7" s="203" t="s">
        <v>44</v>
      </c>
      <c r="B7" s="190">
        <v>8489904.4299999997</v>
      </c>
      <c r="C7" s="190">
        <v>7982519</v>
      </c>
      <c r="D7" s="190">
        <v>7218237.5999999996</v>
      </c>
      <c r="E7" s="190">
        <v>6753429.7699999996</v>
      </c>
      <c r="F7" s="190">
        <v>8107150.2199999997</v>
      </c>
      <c r="G7" s="190">
        <v>7908829</v>
      </c>
      <c r="H7" s="190">
        <v>8864829.0299999993</v>
      </c>
      <c r="I7" s="190">
        <v>8297504</v>
      </c>
      <c r="J7" s="190">
        <v>7709131</v>
      </c>
      <c r="K7" s="190">
        <v>6683979</v>
      </c>
      <c r="L7" s="190">
        <v>6859234.2000000002</v>
      </c>
      <c r="M7" s="204">
        <f t="shared" si="0"/>
        <v>6859234.2000000002</v>
      </c>
    </row>
    <row r="8" spans="1:13">
      <c r="A8" s="203" t="s">
        <v>43</v>
      </c>
      <c r="B8" s="190">
        <v>2826954.2899999996</v>
      </c>
      <c r="C8" s="190">
        <v>2212363</v>
      </c>
      <c r="D8" s="190">
        <v>2062169.76</v>
      </c>
      <c r="E8" s="190">
        <v>1991052.54</v>
      </c>
      <c r="F8" s="190">
        <v>1553864.78</v>
      </c>
      <c r="G8" s="190">
        <v>1264152</v>
      </c>
      <c r="H8" s="190">
        <v>1246514</v>
      </c>
      <c r="I8" s="190">
        <v>1213338</v>
      </c>
      <c r="J8" s="190">
        <v>1157316</v>
      </c>
      <c r="K8" s="190">
        <v>1120424</v>
      </c>
      <c r="L8" s="190">
        <v>1816845.15</v>
      </c>
      <c r="M8" s="204">
        <f t="shared" si="0"/>
        <v>1816845.15</v>
      </c>
    </row>
    <row r="9" spans="1:13">
      <c r="A9" s="203" t="s">
        <v>42</v>
      </c>
      <c r="B9" s="190">
        <v>38012425.010000005</v>
      </c>
      <c r="C9" s="190">
        <v>38950340</v>
      </c>
      <c r="D9" s="190">
        <v>33161752.350000001</v>
      </c>
      <c r="E9" s="190">
        <v>33432127.379999999</v>
      </c>
      <c r="F9" s="190">
        <v>33928588.380000003</v>
      </c>
      <c r="G9" s="190">
        <v>31232673</v>
      </c>
      <c r="H9" s="190">
        <v>32458832.59</v>
      </c>
      <c r="I9" s="190">
        <v>29634970</v>
      </c>
      <c r="J9" s="190">
        <v>27360839</v>
      </c>
      <c r="K9" s="190">
        <v>25702399</v>
      </c>
      <c r="L9" s="190">
        <v>34622364.789999999</v>
      </c>
      <c r="M9" s="204">
        <f t="shared" si="0"/>
        <v>34622364.789999999</v>
      </c>
    </row>
    <row r="10" spans="1:13" ht="14.4" thickBot="1">
      <c r="A10" s="201"/>
      <c r="B10" s="191">
        <f t="shared" ref="B10:D10" si="1">SUM(B4:B9)</f>
        <v>89101514.399800003</v>
      </c>
      <c r="C10" s="191">
        <f t="shared" si="1"/>
        <v>89527225</v>
      </c>
      <c r="D10" s="191">
        <f t="shared" si="1"/>
        <v>80053468.460000008</v>
      </c>
      <c r="E10" s="191">
        <f>SUM(E4:E9)</f>
        <v>80583800.829999998</v>
      </c>
      <c r="F10" s="191">
        <f t="shared" ref="F10:G10" si="2">SUM(F4:F9)</f>
        <v>82202202.650000006</v>
      </c>
      <c r="G10" s="191">
        <f t="shared" si="2"/>
        <v>79345812</v>
      </c>
      <c r="H10" s="191">
        <f>SUM(H4:H9)</f>
        <v>82150738.269999996</v>
      </c>
      <c r="I10" s="191">
        <f>SUM(I4:I9)</f>
        <v>78032415</v>
      </c>
      <c r="J10" s="191">
        <f>SUM(J4:J9)</f>
        <v>75235405</v>
      </c>
      <c r="K10" s="191">
        <f>SUM(K4:K9)</f>
        <v>72201118</v>
      </c>
      <c r="L10" s="191">
        <f>SUM(L4:L9)</f>
        <v>76050145.250000015</v>
      </c>
    </row>
    <row r="12" spans="1:13">
      <c r="A12" s="100" t="s">
        <v>0</v>
      </c>
    </row>
    <row r="13" spans="1:13" ht="21.75" customHeight="1">
      <c r="A13" s="98" t="s">
        <v>409</v>
      </c>
      <c r="B13" s="98"/>
      <c r="C13" s="98"/>
      <c r="D13" s="98"/>
      <c r="E13" s="98"/>
    </row>
    <row r="15" spans="1:13">
      <c r="A15" s="100" t="s">
        <v>74</v>
      </c>
      <c r="B15" s="117" t="str">
        <f>"Total: $" &amp; TEXT(L10,"#0.0,,") &amp; " million does not include obligations to capital projects"</f>
        <v>Total: $76.1 million does not include obligations to capital projects</v>
      </c>
    </row>
  </sheetData>
  <pageMargins left="0.7" right="0.7" top="0.75" bottom="0.75" header="0.3" footer="0.3"/>
  <pageSetup scale="97" fitToHeight="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1 6 " ? > < V i s u a l i z a t i o n L S t a t e   x m l n s : x s i = " h t t p : / / w w w . w 3 . o r g / 2 0 0 1 / X M L S c h e m a - i n s t a n c e "   x m l n s : x s d = " h t t p : / / w w w . w 3 . o r g / 2 0 0 1 / X M L S c h e m a "   x m l n s = " h t t p : / / m i c r o s o f t . d a t a . v i s u a l i z a t i o n . C l i e n t . E x c e l . L S t a t e / 1 . 0 " > < c g > H 4 s I A A A A A A A E A N V Y 3 W 7 T M B h 9 l S g S l 3 N s f / 6 d 2 k x b E a h o W 6 U N E L e m C a 1 F m q D E 3 R C v x g W P x C v w t e l W b e u 0 r F o p X F V N 7 P j 0 n O P j k / 7 + + a t 3 9 H 1 W R F d 5 3 f i q 7 M e M 0 D j K y 3 G V + X L S j + f h y 4 G J j 9 L e C X 4 9 d e G 0 K g d u P M 0 j n F Q 2 h 9 8 b 3 4 + n I X w 7 T J L r 6 2 t y D a S q J w m n l C W f z k 4 v c e T M H f i y C a 4 c 5 / H t r O z p W X H a G z b t h N v B M z + u q 6 b 6 E k j m g i N X v p m 7 w v 9 w A a G T S V 5 B l i z w 4 8 z o a z 8 + c t n M l 6 9 9 E 2 o / D v 3 z / M p l D m 9 + d M U 8 j 6 b j f h z q e Y 4 X 3 u b V R d 5 U x X z x n O b e 9 6 g I / R g s A a n A W g m K A T e M x 1 G B b B 0 w p o i S E q y U V O N l i e T h + O N 2 Z Q S I T 2 S 4 x J u q n r k Q 8 u w 4 y + q 8 a d I W T S 9 5 c K O 3 G v H G 5 0 W G Y B b o y 0 m E T B + W v l h h j p L t b 6 T n H 3 t J + 9 Q n H 5 J + K D 2 C j i 6 D C 3 m z n p b c A 5 n c o f A x B i k T j C o t q T C G m x s G O S V a G a 4 5 0 m s p B 7 G B Q r 4 X C l c i R Y O K r H / 6 i r n B 8 f 1 L j 0 r 0 g i Q C U U p Q y a i U l p o b E 1 o g Q D V T m k r g n C u p / g s K j y 9 2 T u F d X + J u S p a b H z + H m 0 P i p P b B N 9 N X n A 4 w D 2 a f / Z a B I Q W R i h n F r Z B S o m j s 1 u 6 S M I o a a m C c M q Z R x G 6 J s Y K G b m y B 7 S U 7 T g b d N R u 4 E g N 3 P f 6 p 0 H i 2 W M P M T a v t A l 0 I A s Z S E F w z L t r U W Q W 6 w E C 3 g i l m j Q Y q d F d 9 l m j 2 I s r w 9 Z r k J 4 6 L l 8 s i I Y k R g j M m t Q F l M d p v H M 4 k E U o L z o W R I F n 3 N N o 1 g + l y g Y 1 x / h c o f L a 9 R 3 U + q c o t / Q 3 E g s F C w q U 0 0 o L G Y t L 6 G 4 / b 9 a V u y d M C 2 Y u 1 R 7 s / I + 5 U l 7 b t Y a c z S j M K U i u l K M P z d E m e Z U R Q w O B W B v A M F s p u C I e N X W X n F K b t C h v N f T b a e T 4 8 3 9 z j 3 G 3 p b S z j G C x A r Q I G Q i / r z l I e L Q i W S C 7 Q 8 4 D q 4 Q b o L M 8 C z Q 4 N n o 4 W C 2 w U 5 / z d v y f O W V X i C 9 u W 1 U d o g n t E G C a t t p S C v T 0 Y q C V K S G r o o h B R 1 f 1 l a Y V n h w I 9 X t 7 P 3 u 9 c n 4 c J J I B I p E 6 j u S X l F t r 8 4 U D 4 g j u m N S j D l q W y W 4 L v l c D W T N 1 Z P J k X E 1 f 7 l 2 q O y X D R + + / 9 f 5 H + A a x 4 n m X 6 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g > < / V i s u a l i z a t i o n L S t a t e > 
</file>

<file path=customXml/item2.xml>��< ? x m l   v e r s i o n = " 1 . 0 "   e n c o d i n g = " u t f - 1 6 " ? > < V i s u a l i z a t i o n   x m l n s : x s i = " h t t p : / / w w w . w 3 . o r g / 2 0 0 1 / X M L S c h e m a - i n s t a n c e "   x m l n s : x s d = " h t t p : / / w w w . w 3 . o r g / 2 0 0 1 / X M L S c h e m a "   x m l n s = " h t t p : / / m i c r o s o f t . d a t a . v i s u a l i z a t i o n . C l i e n t . E x c e l / 1 . 0 " > < T o u r s > < T o u r   N a m e = " T o u r   1 "   I d = " { F 9 F 5 8 C A 3 - E B 4 E - 4 6 A 6 - A 5 B 0 - C 1 8 5 6 D B 5 B D C A } "   T o u r I d = " e 2 6 0 1 2 e 5 - 0 e d b - 4 4 5 b - 9 5 1 9 - 1 4 b 5 e e 8 6 c 6 8 6 "   X m l V e r = " 1 "   M i n X m l V e r = " 1 " > < D e s c r i p t i o n > S o m e   d e s c r i p t i o n   f o r   t h e   t o u r   g o e s   h e r e < / D e s c r i p t i o n > < I m a g e > i V B O R w 0 K G g o A A A A N S U h E U g A A A N Q A A A B 1 C A Y A A A A 2 n s 9 T A A A A A X N S R 0 I A r s 4 c 6 Q A A A A R n Q U 1 B A A C x j w v 8 Y Q U A A A A J c E h Z c w A A B K E A A A S h A X x / 1 Y g A A G F j S U R B V H h e 7 b 1 J j 2 R Z l t 9 3 b J 7 d f I g p I 7 M 6 s 2 v q 6 m 5 R j S Z I U B C g J Q F B C 0 E r C t p z I S 4 I a s s d l 4 I E C N A H E A Q u u N N G k D 6 C I A g C B I h N d n d 1 V d e Q Q 2 S G R / h o 8 / g e / 7 9 z 3 3 V / / s L M 3 T w i s q o z w 4 / H C z N 7 w x 3 P / 0 x 3 e K X / 7 f 8 Z p P Y d o l 7 T b L Y 0 W 6 3 N t h W 8 V D J 7 3 D V r 1 c 0 a 1 d T v n e v 4 0 W N + m 1 V 0 f a H f p N N t m J X 1 + 2 0 p V S H O J 2 a 1 S k i 7 r g M i z 6 n S 5 3 p X Z S a P t b 5 P 5 i F f 6 l G 2 t a 2 X M 5 W 3 Z M 1 W O z x 4 B 5 H e n H T 1 n f Q G U + V b M z v q h H T P x v q u p O p l 5 Z + Y j Z T f I 7 X F r n V c L h e e R 7 V W 0 z P h o U S / L 1 X H 0 c K s 3 z L b U 9 k j K Q t b K N 9 Y p q r y r e h o q u 1 5 e j g L 9 e d i l t y d R P 6 v z 8 d W r T f s o F P 1 O r 2 8 D O m P V Z + J 8 v q o H / q O T / L z a 8 r r L 7 8 O / R H z 4 p 6 f P D U 7 V P t 4 W 6 m f z v U 5 n K V W S p Z e t m a j b k 2 1 4 Y W e o 6 7 7 q m N N / T h T f V e q I P 0 6 W 5 l 9 f W H 2 8 Y G u q 3 2 p L + e 5 f 6 F r t U r q a V T + y T / 9 l / 8 q Z P 3 d I A p O h S e L k j f i N o L Z 1 H Z 2 O S t 5 p V u q L B V f i t H p A D p 6 r c b q q M H f h e g 4 G p 1 0 q m Q o g i E 4 D 3 M B s L I + I f q Y j u K 8 X 1 d B a m L c x V y g 0 l + l k i V w C 1 G X C z E E T D N X f Z 7 0 d F J p 1 f V o Z G R l I b A q L 9 U Z o X I / g Z G q n R I J g 7 L K r l L p W Q 7 S I f 2 l 6 h r L z 0 G b 0 p b U H e a k f H z n H u j V k D 4 L b c 3 n L h T y q 4 j h 5 1 a r 1 7 3 v A M Q j 1 Z V + P V W a l I U 0 D 3 S e 7 3 r E 2 5 p + O B 2 Z t V X e j o 6 x Q A E g Y X 7 S A I w I m f m q J M G Q i E d W d j K t 2 Y n S P B B Q A A v d Q J 1 I g z Q R J L T 3 R J + v d R / 9 S 5 4 I 5 S / P A t C W a 6 U n v v z O A S p J A F L J V q o U F d t G M D m d D w C n A l 8 E F U x I g 3 L Q A J w n G Z i e T r k v 8 e w S C a W G h x E o E 9 q J d O l M 8 u M 3 B z c 7 s + m g Q 6 a 6 T l 3 q e n g 8 H g k A d Z V D F 2 4 h w A H T o C n o b A d z B h r y j / X g c F S J u I f 8 d i G e W 6 m w q 7 Q s i V v 2 N C O 5 c N B v h B J p x v p Q V + 5 D U y K 5 k y w / 7 o 0 g 4 + D 5 X a m k i s x n U w G q o b R L V / V q K o 0 T A Q Z g A R I 0 f Q Q U 4 E a T k A / n n + 4 F j U a Z u J 9 z A K a n 9 g M k + + 2 S d e u J 8 0 W 3 W f Z 0 O r o H c N G f A I h y r 1 V f t A 9 1 d W 2 l 9 E 4 E U i l R b w v K p t u c n / T 1 u 0 U 0 D I z q N b i D Y P T x X A D U v T A 2 z 9 H o N D 7 m D A y N l H F g 5 t K D + W 8 D 6 w 3 S f Z Q p E l 8 x 9 c 4 k 0 d A k d A r 5 D i T x 8 l i h D B B m x i q t W K P Z c g Z a L j C 5 b s + c T o Z g L u p D P S B O 0 9 k I E M 9 A B / U + F o N Q z 5 1 I 7 V K S K b r X T B 0 Q 5 A V T x h L B U C 6 5 x V y 0 E / l j Q s P E f O c Z j l g F r s G w 7 b e w B K r V m p j 5 u u C A F k 3 5 y W E w x 8 g P 7 f C 1 z M H j g d l X + o 4 G e S Y z 8 A e 6 B z A j f A A R 9 N V 5 a B / S e S R t V X M 1 W p K Z u 3 Z g A B o q y i c a C u 1 6 q T 5 c 6 h x 1 x q z + R C Y f x z N p S w B I N b m f v F I J + + + c h o q 0 M 8 O L k J w u X f W d y m N 3 0 8 m 0 Z 1 + N H U 0 Y C O m K B O S Z X a Q 6 z 8 G s p O G A 0 W + X a k o H 5 o M B 9 t S p l z C l z p N u z A u J R 0 f C 9 H T Y a D T U N Q R A K m b S w z l C 8 u J / o R j g M f L k W U w Y 6 h T N K p j f Z H 6 4 R N e B F K V s 1 H e 3 + o j B B G r M z 3 K 5 4 m X G / 8 T 3 o N z k Q d N H T U t V y B v g L F U W z 0 v 1 z Q s P i P t I C w G D o M F C o N y p 0 i P d 2 C Y 3 S C d X 8 u n w 5 / K E R q Y c l 2 J 6 2 n q k z 1 P V k + 8 A C D O Y u n J Q N u 6 n v Q A d w i e C j D z R X p V S I i s h m L i A F J M x + s X 4 n 7 Q d h F V A m e l T f D P 6 j G v 0 M + W h n X Z o 4 u 8 2 0 c h u n q h L Y Q A H E w 2 h w 5 n f r + V I L U J D 7 c J 8 k W C m y A 9 8 0 s j Y 4 9 j 3 m B m Y D 0 h 0 J D c d C g P A X H Q o H Q s w p i v 5 D P W + M 8 9 q t f Q j z R X u l Z i B + + h k h A P a C X C S D 5 0 M k b 6 D q 4 w f F A C Y 6 h w d z r U I Q q 6 R / y 4 E M G C e y P A 8 R 3 v G 8 t O m t F X W x B I E f t t G 4 p l v p E 3 Q K m g 3 w D X M h M Q m q i h h + i 8 p d B J t 8 N k j a Q m Z d J 8 e q U / 3 r z W k 9 1 t W V u p 8 I B D g e 9 E u X E L r A D 4 I 8 D f U M R W 1 V 7 s m U G V t S 5 9 8 r D R J H x B R R 5 6 n v r H u 5 I M v 7 / e o j + E B 7 i O P 7 z 3 R 0 I f t 1 P 5 A Z g D a g P a m A W C 0 y C i R a B D U N 5 2 x K z l z 5 V q S N G l w 0 o j J Y C 4 A r m j + Y R Z y D Q b n e H E h Q 6 t U l 6 S s i 5 G q N h m P b e E R N y U u g j G w 0 W E C 0 q b z Y C x n l C w T b i U t o h I t 5 Y W m w F 8 g L 8 x S g I z 2 x U R C Q 4 S U N 1 E s d a B 8 W 5 A 3 j P d G u + k 3 4 N u e p p 7 R 9 S N J / B 8 K D E + z K B 2 m Y E y f s q O 9 k P Y Q 2 r K q i q K l i k T d I Y D 5 V I D B X 4 L Z j 1 W 3 + D x E m W g z I p O U n W u Y c 5 Q T 4 X Y + k V Z a l / V b 3 q z K Q R q Y 6 / A J Y I p t D b C 5 H + 0 F I F / I f K S 9 S Z 8 g B j w j G f j 9 B x S g O e q m b j t j X 9 O Y N B Y M R Q d u Y o A i s 9 x F N G r x E e 8 w 5 Q m A Y G I 6 h M 7 B H H k u 6 Y c W h C K o f / w k 3 P v r U 3 q w Z e 1 u 3 x a S B C v s K F F P n R u Z a B u R J 8 w e T S 7 3 X 5 Q P U p d n k b y P l T / f 8 3 5 f k c o q 6 D Y / j r J u a h / a F 4 2 z 4 d I V c Q 2 N G g U D Q H J w h s t + r n 1 D Q M j 8 X F d k l i V v 9 B P 3 Y I 5 9 f h r a l 3 o B G t o Z M y 5 P n C P 6 i a U A w Q c M A w B m w L j f r T t o 8 d c A j K w / t 2 Q Q Q A D n x Z n Z z 7 8 x + y s d + L y / O Q m R Q z Q + R c W k B N h f 6 l 4 9 + v 0 m J B K B i V e j k o 8 / w G A w N n a 0 m 0 L Z f Z u I T n T w q W H z U q 9 I g K P I Z P g 5 S D Q C I z A K n b m J R 2 F E J D V l e q 5 O R K P g 9 5 y O 5 e D W W z a f z 2 w 8 G r x h 9 m w i 8 o F x N p F L U 8 q o T 5 g W s 7 R Q 5 C t C Q y a q 8 F 3 B k U g w L H f S p t S j S E h 9 f L u 7 q k A b A v 7 Y l n z W 8 G v k E w 4 m 6 R t 9 A C B + 9 l E w r e l L T D + 0 y U u Z x 5 5 f V n z q T b u i H b 1 8 O o + W o e 2 5 p a I b + J s v U z c / n 0 j b Y S 5 j n h I N R J g 9 0 r l P l D 7 3 / 0 T C 7 w c y N R G Y L p R 1 E j 7 x 9 L + r Q Y l d i U a l Q 1 0 j S O K 5 a a Z z q G g a d 5 O 0 j Y T U Q Z N h A t B h S P b b 7 o 9 E A 3 M b H Y 5 J x h H D y X R 4 n p B y R J J g 8 O g b E e 6 n z J 1 6 S c y A K S J z c L V y R u f 7 b S T / O v R 6 d p t / Z G 0 A 4 K g z v h f f b 6 2 7 7 B f 8 u b v y i 0 T 6 M D z 1 K z 4 C 4 2 L m I l T 8 e n Z + F y q L 2 d d K e K Z G a a g D 8 o D 1 u m R p Q v Q x V f + 1 N A i a h P 7 i O u c 4 u A 9 f l H P 4 S N y D D 0 d 5 V 4 m E 7 u X K j g d V L y u W D I E g B B Q C D 0 1 6 K M C g F e G p L 6 Q Z 0 V L 0 F f 1 N g A T g 5 o r 3 / S U 6 k B k T j R q j P m o Q H U W t Q 4 N H g j k g O i R q D x g Q K b S L 0 O Z 5 I j 5 R Q k J I M w D D O U w j / D o I s J G + p 6 3 f 2 O O Y R D 6 2 p B 5 q N l s 6 2 u p 0 x m V U 6 F 2 o U E b y p a 7 k S 9 n o + N t w w l i Y B 0 R 2 1 F C k F d s H Z n Q / L i O S I G + u x T r f h w B 0 C G 8 n S u d m e f g 5 V Z r 5 0 5 h w + M o I q Z + / D F q G 7 1 g L + L B o M c x h t C k A B x S Y a p f z i o 3 U S Q x q R 9 C 6 M N Q 9 t J s L I J 2 j L g h Z n g d g 1 I k g C / d x P X v 0 + 0 s 0 D h 1 + I e d z s p S T m z X M V x c y A T M 7 m A 7 B N I P p I R i C 8 x C N D r D o s 2 0 8 R i P n m Y j 8 8 F / Q c H Q k E h o N x W 8 O z B F 8 G M 9 b z x I t i t c g 8 k O 7 x Y 6 F q R r N p s q Z y A S c i 9 n 1 c K 4 c l I l n o / l R J N K B A S D K A h N s u O 2 K y C 9 R Q v E e w E A 9 y C M v h P I E a H m A Q V E k f 7 y P t s D M J n / q H c 2 s + 1 B F C K D P q P 8 b R G K 5 B N F C j E H h q 1 F m x p 6 Y c k R 5 S O M P H w V / C z 7 g H j S O X C i Z h C V 7 u l + 3 Z 7 2 V m 4 e A j i E V Q I g 1 g 6 D A n 8 K c x M + i X t x H 2 3 L A J 0 x L + t 6 a f D D l 4 1 7 q g 3 B M O V m s S t 6 Z t A Q M R X S H 6 U v w J o 3 B N Q B F x 9 P 4 q H z 3 M 9 R w M D 8 S i P v 4 z V E k p B a m B N f Q A B E M 9 C L p Y Y u T N v f B f F y P I / K Y K p g X A C K f R j 4 f m B z G C s 4 z U 2 Z k / h E T V 9 l K K v d S w m K q t B P 5 G / C X z 2 K 6 8 f x 1 + a k / l 6 7 K K H I g 6 i T n X f L P 5 l a v M 3 O j 5 H P k M I 1 o B x + 3 0 X M w H P d G o v 0 I S X M N R q S O s f z U B Z M p A j 7 W c V c q K Q E C B v R h X Y g h b z + v N O j n Y l q U I Q p B A I H G p y 8 B G / l z Y H l w D + e 5 j j b q N M t W S y d W r j Z c 6 y B I E L S U n / 4 Z q A 2 i b 0 Y e + F Y 8 h / A j I M L 3 r G j f T 6 L R i K r 9 Q K D 6 2 b P U n U a k 1 c t L H F 3 d I P 8 E I o D A e e 6 H 3 N e h Z b K O c r N P j Z 9 n c h o b x x Y p y H k 6 J 6 + l I B q d d L j H m U j n A B f M h + T E l O B Z J P 9 Q + e O r R X N z E 1 W q V Z 9 R g e 6 Y r 2 Z i j F B + w u S 1 p k x a d W q i O s n d C t y U f W R f P X 8 Y G 7 + A M p A / z I G m R v J i / j D 4 i Q Q G O D F 5 Z x g x D 5 K c 8 l J v J s R G p x w h A Q P y m 0 h i n A q V J 9 o H w U Z b 3 g d M E L N a G l U e S n 0 g O 5 b r N s I c + 9 m z 0 P f k H b U j / e 6 M r 3 6 h H A C f 6 / Q T A q s s 0 / p i s v a 2 o V 2 o m 0 c F 1 T 8 M b n 8 q 7 U d f x v a h r h y c o 8 7 f W w 1 F Z Z k A S e g V J k U 6 M V a B d B 5 L m i N 5 V p L m n K d x G X O A c S D G Q j z c r G s Q D V X k A c D C Q Y M D E h g L a R c Z C V A C U v o e J m A c C l D S s R C 3 u T m R g Z W O R Q u g C S n T N q Z j j h s + z n I 5 t 3 J N 3 7 0 C 4 X 4 H v b 5 T N / K E e Q A J 0 3 T 4 D X i 4 D w a i X J Q Z E I B h H 5 z U s 5 S f e k / F f e 1 m R W m G O W 6 R 6 W A c Z y g 9 S 1 0 I 9 d O + P B N D 1 9 v K T t q U z + U Y o N c z u x J J p s n a X o + V g H 7 l Z 5 x s I u 8 H H Q g + + p L f l B O + I M x O O S l L k X A L v j g e 2 j y p q x 8 I 2 w f h S / 3 1 4 d q X W R R E F p m + B L A Q j t w D L 3 y v o 3 y x o x n 3 8 c F a n a M x f v Y k g I t G n m W m I M x F W B 1 p R E P 7 1 B T d v 5 W x d Q A k z H q Y k o P x H 9 d s X N c N H I k 6 V O Z 5 k G D q z K 6 A 6 0 w p h g B Q d A j l 4 D d l / T q L Q k X m 3 k Q h a J D a d D I R w 1 f 9 N y Y h t / M c + d a V H g I C 6 Y m p h x Z G w 8 T r 4 J A 8 E Q K Y n P z m 4 D p M 2 K z J r B T n x y l Q s S g 8 y z 2 U E W F A H f h O f r Q H 9 Q H A P L a t / K F h s 2 N H o n 4 r C Z G 9 V k V C Q l p E Z i j 5 0 2 8 c L i w 4 s n S j J U A Z q B 9 l R D M h U P H x a B f 3 + 3 I E z q n z y T d f 2 K V M h p o k F B O W C d s 7 + H Q D / i 5 Z o L E h + t 1 d A q U H s L 5 z 6 6 H u S z T m Z 0 d p U M 0 Z q P I N i T Q / V Q P T y L 5 W S Q B 7 u i f T Q v 7 V p 4 e p A 5 F O o h H z R K P R a Z y n M / k 9 U B p M c 7 k i X X e x J k b N G 9 d + v w 4 6 A h P r I 4 E b Z k b i Y / a x l o u 0 Y V y E A m V 3 R i k Q o e 3 x a C R Q V a z d 6 T q w N h F 5 o a k Q E q T p 2 l u M A A j y T M 9 5 T B u o U 1 v 6 2 q h 2 W 2 J 4 B 9 K j 3 p Y O O B 0 M T 5 A 0 T M 0 5 h M W m O t y H Z r O p 1 7 V a r f t E W M p L f e j j a N b B 4 H F W B J q J 8 8 V s 8 V 2 P 1 E / 5 8 6 S F Z d J t J P b r 3 3 5 t n 5 + u V f a y 1 b t P r a W E c B c A M P W g 3 2 L f 4 0 e R F 4 P B L h x D c t 9 f w p l k Z P u v j 0 s e Q k U 1 0 3 i R k N 6 E W j / u q 2 H 0 H W n 3 a q i m 0 j 2 M M d B B S G x A k C e X x j p P W n Q a D e 3 M m l 1 3 k r m Z k F S u 5 / C X s M 9 5 F s b D 1 L z C g X 7 j K i B N o 9 b g v j y R X y w L s 7 H 3 + v s + X j S d C o n b S G l S T 8 A J k Q Y m W 7 4 d M F G 5 z i 0 I H B g 3 z t K A y D O a T J u I K k Z / h P r w m 3 t f i P G / O g v t + q 6 E t m B p C b 4 j U 7 E A K F E 6 2 h C h Q 5 t F g R G Z n 3 L k i e I 7 s P W F d B g w J + C B 8 J h I 4 1 9 c D G R 6 V 2 w m d J T E E L V 0 K D 8 s s R 8 + S u 1 5 P / V o 3 9 f n 0 m I D m Z + X q z C b R Q 3 D A k h M 9 u / 9 w C 6 N y 6 A d j E w 7 A h A a P m o p G A n b l w O f C y l X q Y S l C z A 2 J h w B A 6 R 5 N O c g 0 o L J X C J n 5 w E v k i o C h I g b 4 y T u 2 / C A C F 8 G b Y H 5 w U E e V 5 J b 6 Z E G 0 U D u D 2 W / e Q + M S R 1 c 8 u o c p h B m G T M q i M r x u 0 i c A Z y k y c E t 7 p h n t 1 I P f C H S j k 4 7 M x T m 8 2 k W B A n n M Z c Q A l s U 4 R t E P t S F O v D d / Z 7 s 2 t s Q d V s u 5 i 5 A 8 G / Q F N E / I n 3 q S P r k S f v k K Y K H Y 7 V a 2 W Q 6 t Z m E 0 H A 4 8 m M 8 H l u y n P p i z 1 o l c Y 1 / I B u 5 v B 5 Z u 7 y Q O T m X 0 F p 6 X 7 + W b z C 8 v N C 9 Y 1 v O B g L j S q 6 C G k j 6 6 X t v 8 u U J h / 8 H M u O i / 8 I 4 A s y E k 0 p H 0 A n / / m u B Q A y L 1 M N U T K R e G F A k W g h j w + Q Q H V g k J B S 8 R o c i 6 v G f 5 O O 6 d o j M S 8 S P 9 U l M M y r a 8 D A s a W C y Q D D v N z I J m d E c Q Q v T 4 6 P A S D B Q p O l 0 L A n e u P J 5 b i O 0 K 0 x O m a h / 1 I L 8 p n 6 e t v I b X J z b 3 v 6 B X 0 M g c W 8 E 5 q 7 E M 9 Q Z Q L o 2 v s e z m 2 g 2 m 6 k t S r 7 w E G G Y B z d d M 1 u k 0 k x 8 u 9 Y + i 8 X C x + 9 g f H 4 z x j a T 5 G q J I W g v t H F N n Y R A Y g U 1 f u k a s y J Z 2 6 u z g Q 9 V M I N / K Q Q P R 1 N L y 0 i j u s 2 T m p W S h S 1 m Y x s r v a P 9 z o c F K B o f 0 6 4 k x 5 P O B V Q w v 0 + U z L T W / / 8 l A G N 5 d G A A Q t R I b A D A 8 z A W w I w d m Q c Y j M r 4 F Y 6 r + 0 4 w T 4 7 p Y W L s d 5 4 l I l b k L c r h I N M F w E W Z f v U 6 5 B 2 d Y P L D Z A R g l C t S 9 C 8 w i z Y R j O 3 L R v T d A a X y U X / S 4 d q 1 x r s u 1 3 B w a b 0 9 Z f 4 O h M a n n N Q H k L o W K V b 8 H g Q g 0 C x o E C h q n Q i c C B 5 M Q 8 5 R Y 0 A D U P h k j R f t R K U p R m c v + J 4 e 1 N l Q s J U a i / Q Z 3 W M h 4 s X l w D q d l j R 3 W y 6 B z i q d y X h k X x + f 2 q P D v Q 8 L U B A M 9 N k h Q A q g o m 3 h M h i Z 9 v y 1 G P j X r 0 s u p W E E T A V A R 6 Q Q c 4 5 7 u B a b H s n L e M W h H H 6 U A 6 D Y R 8 P g P C E p c 3 1 E h B H A E W F E 2 + U J h 5 b 5 Y A Q k 0 E K Y M z D 5 L 4 6 D j 4 d T D H G N A A p l w E + I N J M J U x G 3 b g M U W o 2 B X 0 x X N D T p U G c 0 x j Y G H w 2 H 1 u l 2 N z L a X Y T 2 Y D C b + j L + h L b F / 4 C 8 3 d W W d 2 m r O M 6 W i G k D c N a u Z S 7 O z 1 x D L W T + L R a s H V v 5 9 b o q 1 2 g 0 x e z S 1 O p Y g M M R t V A E D g Q Q F l N p O z U G Y I u E t t 4 W Q K E 8 H J 6 G D t w E t C + B j L H M m v O p T O 4 P D V A Q Q O n U A 6 D Q F G g C h B k a B I D 8 5 q T k z A 3 R u B 8 f 6 F 6 B B A f 7 T 5 8 H Z g A A 9 D f M e T y Q v 7 E K 6 6 2 I 9 O 0 T W a j q I m D N E Y E A N h g B n E X C 1 K M P A Q k a A 4 l O x I / J n J 8 d h Q g d R G f R i Q A O R z w y 5 W B w E Z i J 0 d 0 C U U 5 A T x j 9 h s + W I 7 Q W a Z N e T B P J W 2 9 g R l 4 z 3 H 2 I 9 I j 8 E d x B q 9 K G U c u H m S h B W O X 9 G 2 a B r N c s W 1 n Z X I C Z z 4 P G Q f O 4 p l D h a w J O u 9 W 2 V q t 1 p X l Y N 1 U E T f z c R O R J I I J W x 9 T z c z o I L s Q h F Q i e Y N A a P m A W e l 4 I 0 G a M N c I r u A n w x A c J K I i 2 Z h n D s 3 7 q D E 7 j / P J V S f 5 K 6 p G j L 8 7 M 5 / s x 6 y C G g O n 8 P / 9 B C F g Q X k Z C x f E q t M Z z N b j 6 3 s e a N g 1 a A h T C y A C 4 S A Q q C F i g j W A + 0 u Y + n 8 G h T 8 K 8 k Q A U + W O y A R L y X y 6 X N p 2 M b Q 8 T r c B I 1 I 2 8 3 d z K z u U J w J E f e T F g G c u H B m A Z R 1 O M e x t F T Z K n K M 0 B w U r o X 0 j g V M s q S M r v t R 1 f y J c R c A j P 4 6 M Q V A F M J M V g M k C B 0 Z v S N t G 3 A T g M b P u M B p A p u g 0 0 d x G A Q r u 1 c l u 4 A S A E J q n S b l + c h 7 5 h 6 Q b C N w 8 o K A o / n l F V P 1 x A Q T T O Q T t 1 y Y N Z 4 u N A I 7 M / e q a L u o a J 9 P l Z y V e 4 Y k t j R w M + B k P x o x q 1 M G L P f W s x O S b U g c B Y r d + / k + k 8 G B r + Q P v 4 B E 1 9 9 2 k + k u h M o c k T H U 9 5 Y X 5 M w 1 S M y k C v M 5 7 M v j y j M a k T b Y y Z S M d D R R C Q n i + u k 5 n K p F E / J 2 a b T k b W 7 f V v A C R 8 8 j t o l e v f H A I K I H I f J k T U O O L z H I A h m G N l g a X h Z U 6 S l c z R m u 9 P y P W o a e I R C Z O M s q K d 7 y L a F N M 2 7 2 v m i X K x f w Y T j y N A 8 0 T 7 / v Y 0 p I O V w J j T X T 3 7 w Q O q 2 0 x d m d R k 5 O N X o Q k Y 4 6 A j Y F R m T v z N S z H 7 W C p o d i Y G q E q L V F y 7 w f 1 s a 9 a R c 8 U E z r I 6 u d O A A a 6 l J w c T T K + Y I j s X O y a e R + v U B V D y x U z K B y G Y F e D m U q E 3 G Y j G n G K H I o h x I 8 y j s p g 1 m D E 8 E P a X q A o o + A 1 5 x u Z a + C T P x C N k A I o 9 F p C 2 g G M 8 G o r J 4 + B u u D + C J 5 4 j n 2 i O U V d + Y 4 L h z x E 9 C z 5 M m N E R 2 y J / Q J S b r 5 t M 1 j y R L b 4 o l k G x P Y q E z + Y D 5 1 L a c U p X n q j D A p N C h G k b y x I J I G G e q j m v t B Y a i b Z B 6 L n f H W 6 9 o g 8 a U F B s Q 2 z k H z 9 O v a M A E t o C B 5 6 5 g L 8 9 T e 3 0 f G T j 0 9 9 a W U z W 3 z + U e V d 2 7 Q R D A S Y S I i 0 a H F u 6 L h 8 K j R b S v 2 5 2 s W L 8 k v 3 H t d R 9 C s L r M D / P I Y H p c D o Z 3 c h d n I e Z n R H V w W u B G V O t 3 + Q 3 + Z F / K s 2 w d g 1 A R O s 6 Z w g g e F E 9 D X Z H i q Y p 2 u b G t a s n y a + c g e L a 0 Q / p o 0 X C / c U D y n / f R m g b 6 o z J W i u v r C n G 3 q Q t 8 k Q 5 o d u S 5 h Y C R L + R h g F M C C i f W S 6 8 5 o G V E B 2 c z W V V o N m 3 q D I R P h K g o q z w B u n g A h T L 8 M E D K h I g e t T F 3 E n s c Z c g A w v b g h O P l P v F i 6 k N X v 9 W Y r F q e 0 c / s B 8 d 1 e z 5 g R j U + z 4 0 o U s 8 N f j J i N 1 t G Q 8 J 5 l A 4 u B 6 Y 1 n / z T O 4 a Q B n P U 2 c w g F r i / F o d 7 c 6 2 C i E K p t T C J T 9 I w B R E C r N h I 7 O x 4 c P A w B l j o w 3 i d 5 2 O D H 5 1 r A U I 1 b t E C C 6 j e C 1 + j 7 T p 3 P s g 2 g t m p R G q 6 d S 3 R W Z W / f s g B B v T y m h f C I 3 D k E b U / p F W c m x X 6 6 X V W 5 t N P w h T E 8 2 E f 4 u v i 0 + 1 q S k e A J U R b c P k y 1 Z y Y o 8 P + / b R U V M O O g 5 w y Q d i / + q L i Q 1 f / d K q / c + s 2 t i z R + 2 y / d E T a R L 8 j V z D Y g o w 3 g M Q i x E 1 w L O J O A 0 w 8 G H Q k G g n g F V K J A q t K s e c f c b p U M Z a W K f U l N Y q O 9 D J A 5 8 n + k a R Y J 5 M c W 4 H g Q D p s u D 9 8 O 9 b E X V X U f 1 z P h 1 b Q 6 a q d J V r F R 8 Q 1 k X M L q K f 2 3 y h 2 w i L I X 7 S J s i O N 0 w / d R o B n Y Y A d R u Y A d Q r 9 R E B K C K 6 + e G T S J v h + A E S 7 Y 7 R h A T 6 4 s s v 7 S 9 + / r n 9 4 s s L O x 0 s L F W P M t U F g j m r 0 g Y e + d v Q e t y G O b A p P M 2 z m w 7 8 C m Y 0 d 2 W 6 9 X R 4 X j q P S f d q 7 I b j G 8 9 w D / f y H N / j e W Z 2 D O c l d X p 4 n n N b i f L r f v w 2 g h + Y j 9 8 m w d C R w S G A E o c G m K 1 C 5 J J F i u x k R D A A X y m u i k X g I G T u S w g V D g a V 6 Z M i m C D a q F Z p e I D i N k J 5 k Q b + M x b N p p Z 9 0 F A F + t n T t U 1 k A n z + c m C L 0 a k 6 Q 7 p A Z t 5 a p l Z S l j m y 9 6 n t d Z r 2 p J f a p 1 L 7 b X z o Q s s i b T n g 5 d v 4 O R J j Y P / 2 h d l P n x A k C e e Y W z c Z T w X a q u 1 3 a y 7 F q y p L 0 F D B z 4 A J Y V L C / H k N h V C A W e l 0 l h V s L Y L u Q Z K c i F m Z Q I w W Q P L y T C Y / 3 p n w D W F i G J E h g / g b J i d v p D z f u T a a z F w g Y P Y h X N B I 1 A + w e 5 3 0 n Y F v f J d Y X + q J O c a 9 + b m W 9 y b y H 1 1 a Z 3 / P A X Y b A Z h t d z w A K k f 4 T B / 3 U 2 f s w S y x F 2 d M o g x j M e t S 1 a b r h i W l m g 8 K w y B / u F + y A w G r q K n o e C b U 0 t l x O X g k b + y s x f P 9 F p d X O K O J C N m y 1 3 l D D 0 + W N X s p y f 2 0 t 7 Z e b e 6 R s G j r R + D m i W d Z 3 g C D E W 7 P 5 3 + D C E q o M D O l g b m J N g B U 0 Y 1 A c 5 H G L k J h E 1 H / X 7 4 K w o E x H O q H K b d t J s J 0 v p b Z P b N 2 u y X A X D c q p t Z r l Y 9 B V 4 Q E g C L A w I b 9 1 J 9 Z K s / w a b L 7 3 4 q U z l I F X Z f X 1 l T + u 1 A M 4 b O S t 0 K d d O 6 6 1 A / k D O C h U L X M v n y k P / m k b v / g x 1 3 7 h 3 / U t 3 / 0 0 4 7 9 v U + q 7 q 9 g g h G 0 w A z B q c 7 w c U U w o a + j 0 i e z x 2 E I 9 m X A + c a / 8 p c I 6 D v S F 4 Z A + j o w s u c h 0 u A 6 E p 2 R e M p 2 P m W l 8 U 2 2 K T I m H Y w f x w r h O y U 2 K / K U X l P M 4 H s C q s z w M U C i T O Q b y 7 Y r e f 4 6 Y L a / f R 3 M O B q I 8 s N 4 s X 0 3 0 T I t 2 5 x I S y F D y o Q G Y g E n / q U H B 9 R + C D X q y X n S v 0 8 5 n b i f Q + n x W W 3 U b C n H L f V X u 3 D D d q K O D F s w A 8 W 3 L l D + 0 F 1 N / k E R H c J + E 4 A A o t 9 R / 2 g N T K D H e 0 x L S a 0 r D d V S Z 8 K A 2 2 x p l 6 T q f B i S z T 2 I N s F k A A R t 4 E f W G U x t g Y n z R K S P M T I G n N l o B k 3 n a 7 b K 0 i i S 5 I x V b W I g H H l W j j I + h T a 4 l S / o f Q 7 l D Z N z k C a g p 3 w A A E I Q w E B 5 / y c S p w A R h H C 5 U J 0 A E f 4 P W h f J j W a i 7 g g S w L C J y J e 3 V 4 R x q u x k j h B Q g J 5 t w N h k k r 0 d e M s G Q G N / C y w C y r i V K C j X O W h r j v h b + X L Q 1 8 y H Z N p T N I c p 1 y a w I r R 4 F E 1 J G J 2 + 5 J 4 H Q B U I x x y H f h P R s O x C S 8 c x n Z / G 3 B S Y i I R / g B S F Q W E q Q r Z o O D S H d 1 D W W f g D d B B g u 9 F x 4 m C S 5 3 4 2 Z m w 3 C I h U B a i F O n H l w M / f z r O U D X A i A J h G t N X c i 8 S c Q z E T z / I c 9 Q e M z K z w y F q m E b h 2 o 2 w Z A T J m l x D 5 Q j g w X x H i 2 R 8 + D j M M E A b U H Y B v A g s E 4 G h L d j X K v y Q h E v V B Q F E f 2 o N 0 + E 0 5 E T p o M V 8 0 m d 0 f Q K O b l K 5 / k i Q X 8 3 W g L N 7 A O u m H / g m h y 9 V c t + m 3 n q U o C A h 8 v E g k w X n K A d C Z r Y K 2 o u 1 J 7 j 1 T v s T f T Y K h N h G S u N t I g 3 R C m n L f l n s h G B C G I + o H g 0 E 4 5 G g 2 p C v L 5 V l n B c i Y T Y 4 P 5 w Q z q A M T Z c h A / h T p p 3 N l c Q A z q l u N s l V L S 4 H q 5 v b E M B k g x q e A 8 d y 8 y q 5 t J W c q p S P N 5 l J e 5 Y V J 3 G T V N W d k l R 2 N G / 2 7 P M F A L j R U T j R U X P Z C f Z l k S h C B 8 v g S c l 3 b l A b M S T 3 Q i P i M z C j f R G + A U W X F a q 2 q E r L Q f T u 1 R P V g E R q L j c / V P i z w d H B Q U D R u / u B c I U 3 e m F h K y g 4 q r q l p X H D S b 5 F 4 B C H I O c p E P R F 4 n C P J 9 0 r F O n 8 X y T e S z B H S G Q k F c y G V Y B A Y o 0 y D w v x 0 I o x 9 8 z F n E h x w G D I y E s / D c D A h 5 + g Q A I b 0 d o 2 X S d Z U z y F Y z 6 S 1 F h n T 2 E J m y V K w k o 1 f S Z c e H C k y K O n G N 1 v s S g x O A 9 g m Z d F z + Q 3 7 I Q c W 9 + h v q U o x G y M S 1 x g o R T h 4 B E 6 A j h G 4 m A S / o 2 b Z R C z E L A k E V V W 4 m t R 8 5 o K 3 J 2 3 B J w c Y Q 0 v Q 1 n z n k x f L 4 V O q P I x 1 z 1 W s Y 2 n L i f r v X N d T X e I 8 g 9 e 7 M i Z m H 3 P 7 l u u V n m c 6 l d p D z 9 c K z y N g W M 6 D M K B + P h i v e 7 Z U 8 e 0 J h / 2 7 T L D K K H v r Y S Q a D O 1 B E O J v X o U x H l 6 P U x N D m x r S B 0 a z T s b f i M + C S 6 R 2 3 j + i 0 f P S D o o M e M V E m B + c 4 1 6 l z Q L R q j S j k R / X d H 4 l e 6 + x X l s 5 l 3 Y k Q L y N e Y t E W c f S g C O V u 6 R 8 r s q S o + l i b f / m / / r K / u v / + f + z f / 6 / / n v 7 + d f i 2 h x R J w Q C 5 m E u O H e D t n K F 8 m f Y Y M 3 a s Z q 4 p 0 7 b 6 3 t s C 6 S K f l 5 p F d q a T 9 r d 2 1 + H z m E u N p Q / s 4 f w I d m X D z N 7 1 3 b I E 9 u z V V m R u 1 C H k x d p 0 L / 5 g z K p a P i F R C C j p f A W 2 X 2 / y R k M M 0 v g i I r K t Z E + M W t 6 6 s A f 7 K U + 4 d L 9 J z i F T 3 U m k n 6 l B p 6 o H 0 g D q Y z 0 R r u R L m u l c N T z 9 v g V u f R V Y l k H k i z M z R i T r w C G s r y a 3 Z a 1 9 9 o 2 n Y 9 s y f w a 5 e c M e E + i e m g m s t y T h g E Q m 4 i y X 0 6 W 9 j d f D + 3 n L 4 Z 2 M V 7 6 s 0 W i e P c h g g l L l R 0 Q Y g 4 S w K B + Z a E g B W C U B 8 B w P r Y z B 9 / z R 0 b 4 M m h K L A A K W N T e t 1 G Y A h a O d b K W C b z w 9 V g O b v K k L E o v T D U T i T 9 q a r t D a X S 0 M k I F i p c f K E e M m / z 6 J O x 9 H s O h t O u h A P J n H 8 n v Y c w D C V n o M M 7 1 B I C 6 W p W 3 Y L j j q n u q M L v S 7 O h 7 R d L N 7 X z S R d L x X R r R C S 2 E B C 5 Q 7 K x r k i / V a F q n 3 7 P Z e i y X Q Z y J 6 U M + S m I j t 2 8 g / D N c h b K Y g i z e y C Y j N u v / 9 H H b n h 8 0 7 b B X E 9 B 1 5 4 5 5 b C P a F Q W A B q 6 R f y 7 z s L v R J q m z A 6 l c w r t b E 3 n / M p K D R h 3 D p F g m E a 9 W K 5 9 x z t S j 0 f D S h p e X v m S F v i u 5 r Z g j / S R t 7 y P K r P 5 G a N Z 0 7 1 L t i I B 4 G N j d Q P g y f / g o L D S 8 m q + l R s N x r 0 i S 3 k W A b + 5 a g z e 8 s 0 R A 7 S / z g 4 Y m G o b 9 j Y + D Q x 1 M P B 2 F v o N Y O s G y g v y y d j q a 4 A g 8 j e k I 4 7 G y t t 3 a U z J K i E R J l / Q o + G 0 i E 0 B D e g x t f J t E R 0 O 9 k E P X b l T k o z X V L m 8 v i 6 k D L x L x A V G 1 Q 5 F 4 d Q / b o n V 7 8 v b v S Q D 1 5 8 d h r 8 N 9 m e X M 1 c c n j u u 2 w h H 8 Q I D F b 1 / x K 1 s x v i 5 I C s o m s o F n 6 d y O + m w B k C U u I m i D L 1 0 k n q F O D x p q A / l 4 i v w k G O y q 7 W h I G H 9 X U s u u 1 V m 4 A K 8 F R H D D c E d H 5 g g r e l 3 4 c Y A V P k W 6 3 c P H A A Z M F A l T E Z s d s 9 H H P 3 W O 5 e m s O J 3 N x / J D Z I p l 4 V / 3 y A E M h 9 K 7 0 l 5 5 o v d 1 n 2 u L C K 4 t 1 G / X 7 E 8 + 6 d l n 0 l T v A i b q u F Y 9 i J B W r u X E D W I 9 V 1 i e v i s F w K B t l r I h e 5 W p T Q T I w Y h t w R a 2 l N B B 8 H A E A N F m M p s 7 X Q c t i x o 5 F 6 c c 0 U w + U 1 9 f 5 l I 7 + S D M J j B B B K j q R D G z 3 w + U I w I Q T W k W H N p c W w Z E i G A + 9 o D Y Z F J A 9 A s R I C J u P i V F 3 w E D 4 1 H 4 Z p 5 m x u A M y h O 0 c B A L L L 5 Z v w A T f L j r z G F 6 5 u 6 x 4 J F 7 8 2 B n w x J m S b N I D 2 2 1 h G M j s K C Y H 2 Y h C I 9 E 7 0 v k I n X J + 0 Z d 3 4 G u k o n 5 6 s B X I / 9 E R Y M p Y b 5 r a X W T Y G w u w f y R o n b B T A N s b E r D e 4 i p r 7 + P m C X 0 A g x T i V m B 3 a 4 z k 6 W i 6 t b U P t K o 7 Y 4 D i O X 8 4 U V y r O X a X A B 8 1 1 a 9 I u F X 8 7 w A 6 i 6 E x U C T P l C O a O J u d W a d 6 t x m k k 6 z h S Q f T E F L Z e 1 P N 9 P G a J N t o M L R h u n h C e a x E V Y l + k Y U E O a F G O 8 C O K T v y 9 9 1 j p F / z E E 0 E B v V x y 6 H 6 S F C 7 B y k l S d e z M Y L r y H 8 A y f K D K i 4 l 4 N B F W y 7 7 L K T N B S 3 U S 6 m 8 7 w r k T y C w 3 1 P g i x k p / p 5 p F P 5 I 8 l 9 W 7 s I 9 i 3 E M n 6 2 C 8 P s H Q 0 H N h 4 O Z Y a N f L s 0 6 o c G q U r y + a p g 9 p z I D u Y 5 1 h s t + Z U t m W w N t X E w 4 + 5 F u p 0 Z G y x 2 r M s + 5 y U F e X D f R g + A K h D N x v 7 m X 1 8 k 9 q v j u b 0 8 H b j T y j t e U 3 d 6 x M x i B q J 3 M P + 2 M D G d A h M x K E u g C o 3 l 8 9 H 0 L D 4 E i o L g B 9 K a k D M h X v Y s Y I y L q J H f l z E j B I D Y 8 J K B Y O 4 r 5 g v T Y C q x k t Z X E B e J U / E Z q s G R A Q j J y h j S p s f u Q y T J d m W X 0 q K y Q J W n z i h P N L R H R P k E 2 D v k A z g w 0 R g T Q r u 0 O j r a Y a c j A j L M u P f 9 K A C S Q B W W 2 K v u t I P S x 7 r A K m C W Q 3 7 Y Y m e i v C o + + 1 1 4 E I N O 2 4 F 4 7 I E K l J Q a 9 u y g Z Z 8 9 6 c o p b d t o M r W z s 3 M 7 H S G p A j 9 g F t B x 2 3 g D B l q K e c 7 E Y C M x F 2 s F y 7 O S 9 f V E R 8 e Z T L t g W u h e G E D 3 + s A x D C d C o z W F I l 5 R 6 X l m 1 / z Y 0 m t I U c x E G G s j 5 Q s L m D B h h X b S R i s S j H k b g t e Y Z Q G Q S q r v k Y R C S w C N o W b A f z U L Z E e C k X k Y 3 + Z q y T 1 H B p r b t A 6 X m H 1 C + B z N z 7 Q g h N O 9 i O Q l 9 c g v B D T u B h Q W y 5 a u + b A J x o b B f B + C Z t 3 2 + / t W Z 6 u p p c z A 3 c x p J z Q N b w + v K Z 2 V v q c t d U o j s a U 6 Z y h T k o 4 q H i H y F A 6 W a L B K l 2 2 4 M P n u 4 g n u x Y 8 I G 6 V s I S 6 R E I c P F H N S F M / d R h u u R 0 u o o q p 1 1 H D s O M b x r t o O H 2 d X 3 2 U T A S p m f C C Y i u / h 3 Y m 8 / H p I g o e y 3 G X y q d t c G z 4 A q k C 0 I 1 o D P 4 V O 8 S k m O l q y 1 5 j u 0 y o I / + A o 6 9 g i w J r V V A C V L z a b 2 0 S i c i p t t 1 6 N r G 1 D W 0 w H P v b h x 0 j f 8 R e y A 9 + B t U G 8 B e L l 5 d o H h R n D v Y 2 Q p r 4 v t z s w W 4 g K Y m + i n U i P W / n E 3 2 E j d n g 4 z z t 8 p 2 6 c j 2 N d H J z X w S A 2 w w m Y t K 6 F S J v 7 S O 9 t T K 2 M 0 E C s i d r V d y k S f U c / O p B 0 8 P s + J N f S 1 u p r q l q r N h z c t 5 W F p f p u s T y M Q 7 1 J r L H 5 j z 8 J i w g j 8 c K A 4 1 e X 9 q j X t q o c H M Y 2 w u b z 0 j j 6 z s r a r h 6 Q p 6 V z a n y d c 3 7 S Z y q t w e b z F T k Q N Z w I m X J V o X S z Z R a 6 I / b d U C B c L l b W k N h f p V X 3 t b b x B h E w B i j x K / A v S C t u a X Z F E R z F v L m N P C N Y Y i Z 8 B y T e F v r B 9 Y y 4 R M S R K h E P u c G 0 3 A d Q N 4 w z 7 U p h 5 9 q m j x P d l 1 g 2 w 5 Q g / F R Z 7 j 6 m e B + i / X 2 8 T 9 8 5 J p O h + 3 G 3 7 c j E M 9 u v f q A E U z C F B b P v J p U s l e 0 2 l 5 q Y T 6 U 5 d P B u o N i I y V J a a D q V d t F 5 3 b N E o o n B 2 c y x 1 e 1 Y f 7 9 n 3 b 2 2 N d o N A b U q b S c / Q J K 8 J G a N P k E 4 C O e G j R 4 5 e m 0 5 5 d K O b G J J k c h P G L 0 C H J q R 3 1 A w F Z k w W 7 b 5 b C Y m G P t e f T e I R O I B q O L B b y r i 3 / U D D Y a Y 5 g J R l R i G x 7 X h 0 H 0 O J G n y N 8 A E k R b n s r K 9 L R F h u y 8 B J t 4 Z z I s Z m L 0 A x f b a l a g P l o n c N o + t q G c o T H Z 1 M / H M g 4 Y q E G q b F 1 y z d J w G o i O 8 g f S f + N M a z D G r I u J 1 r 0 e W G P k Q / w k 8 d D 6 O a U u a C j C 8 w W S R P E E R v M I B o 8 L I W w j N 8 / r s 0 h q d Q w 8 c 4 M d F 7 U m 4 m z L T + Y 2 y 8 p 9 O l L z M T H E C Z a c M R M m u i L y j h v q 2 x W n E w q a 6 q X A U J Z j M t F 3 0 I 7 M Q t Y 6 F h E G v t + f j R r s S w o X 1 W Q x J + K p j + T U s r 2 C L 6 x j w u T e p v Z a y a 9 l q 7 E Z b F o n 2 f g D U T S L y 9 m c y 9 w h P Q 4 w T s X C u p 8 4 g d C 0 L J I S A t 1 B k 4 p 2 I l u f A 5 0 A M A p I N z 4 7 c 7 J t b v b X n w Q l f j J d d i x u W E C L G L K 2 X E 4 E r l d 1 f u Z r C c + O V N J 6 f j m 8 R U N H X 8 J 1 q 5 V y s K w E w A M c F D 3 + 6 h f u I 4 p V V A f f / E E 4 6 H y N 4 D K o i m H j p 2 6 7 k 1 c u A z I J N 3 q + F E P L V v W p f g g e A 7 V 4 R T d 1 P X U b j S + v 1 9 7 O T O S J T 8 p R W f w B U g Z D 0 f / 8 P r v f 3 x q Q a S O J 1 1 B l E 6 3 Y G y 3 2 I H l A + T g U p C o M R s t / b 6 z r z c R t M A V E U N 0 n 0 y X 2 M t y C h 3 V Q R W G B i 3 s r R b M r U b E o S R P J Z 7 b q x k N d 2 C g D w b / r C A T B c o 8 g M w m c k E O L z 4 3 S w S S d j Y Z W K w K L S l V P 5 j P W q l W r X p m 1 I T E f u 9 9 X 5 j E h 3 N p l a p 5 d J t 3 t S B A 8 A 8 9 k o O h A 8 j J V 9 c i R Q q U 8 L W W 4 m y i k h N J 4 N r R 1 f 7 + M d E Q 7 q z O y U 2 V x m + Q O g b h J h 1 n / 4 a e p h c 7 W T m w z M y O 4 K Y M 1 3 c L D v J D q H K B s z z n O 0 E C e c X 1 z a 0 8 e H 2 Z n 7 E a D i x W k E N X z f c P J B Q 6 E N t 2 g o / C 8 0 W w j h M 7 a V y K w M Y z L B l B U I 9 B m 0 i 8 7 p N x t v n o z l u 0 n b M j M E z X n F q 0 h v j l v y 3 E S J N O z o c m S 9 z v 7 1 3 M d 3 0 K p M T G a W C v t l 8 N Y S + p g B b Q b c t 1 L s D r X Z Y s k O W L y A r 6 n q r A X M q c 2 X M 2 8 P J j E 3 J b Q e A F U g Z i r 8 f Q G K w V N s 8 B d n Z n v V k m z 5 1 D v h W y U 0 B w G A j B N h 5 v O L g b W F 5 G Y r p 2 H u S Q Q m J u O h z J U D D 4 I 4 k 8 D c V x w f C A E y W 4 Z d V D v i M l 5 c d h + K A R L a D i F + R e Q H o C D y v Y u 4 H 8 m / Y A n 7 x J m 1 y l w l j z b q Y t S s 3 A c V 6 n G D s n u 8 b u p P z D 5 O Y T a P 9 J v o n 5 e V k / G T w 4 M y 2 c n s 3 E x l G Y z O J Z g a E i Q 1 L x c v Z c h r 1 n f A + / e P a B b 2 K 4 8 z E X B i 9 8 R T e 5 3 f A Z g g z D A Y T x / 0 5 X w h U y q V 9 M s Y G 7 M F R o B p 7 0 N o E U Q 8 W m f N L F W e j 0 e O G A Y 4 k Q g / n 6 Q + m A y g I c L H m / I s n s P M x N y 8 A S a I 3 7 Q p 9 6 M h i x T P U 3 c O N K g + S w 2 Z j T I V C Q g 4 E A F T / r 7 8 w X n S i Q e / i f C R V h Z N b a k c J Q E l 0 W 9 W 2 Z c B D c 9 i G f g Y X P Z b H 5 5 X X Z 8 M f m M 1 M K N E d W D 6 0 9 7 + o f z S P Q d W 0 U x 9 A F S O Z M V 4 y B x C 2 u L U E l G j j e m j b 5 3 o m 6 y T F z L + L 0 d z 4 U A S U H / w N u V h N j p j P 0 U 6 H y / t 3 3 4 + s L / Q c X z J r j 3 X h J n W l R 9 C O H 6 5 W v i c x E T p r + Y h 1 M + E U 8 D m 7 6 6 t z O 2 g u V K O K w c M f s e X 5 y H v P D n g s 5 D 0 T g S n U T 9 n 8 O z g + c j 0 a J 8 I F u 7 D D N M z D D v I 9 t S P 8 P s K m N w T 0 + S y p 5 F 9 j w c X u Y 6 g Q v M j l w S Q l c C C M T B S B a c 6 v d L 1 J C 6 n z / L 1 5 / K k c 3 U 5 0 b 7 p q X y 7 b c S j D 5 Q R f c e m j 5 F g 3 L U 6 G n D 9 T h B F b 9 D 5 y m 8 + W X k 4 v M 2 6 d P h C B 1 8 p 4 y b 6 z a u x / f f / + y / t f / g / / t b + 7 1 + e X W m X S I C K 9 8 4 y 4 X Q 6 H 8 v 8 m b h p l 8 y D n 7 R c p T Z Y V M V s P a v K 1 y L A w K A o c / R Y u c y c O G + H S C o P A u h e 5 P f r Q Y q W T 4 s 2 j 8 y M Q M u Z o w g T / v f 6 8 J V 7 u U 5 a 3 l 4 6 e C 6 e y 9 9 D m v F 8 j j D 7 / L 2 / O s / + g b 5 c R s A u N N l N U r o k z R K Q 2 / Z A L 2 T 1 Y R N O K k E J C G Y m t N q W 5 K I D 3 j B j v i 2 K z J A u j K X n T S J j f i E w w r Y d Y T H R / v K r g R + v 0 V A b m I M 1 U 8 w 6 k D H n 7 0 N q d F r W a n R 8 g W K n 0 7 F u t y 0 p X B V w x d V 6 n j Q x d d n v n H m N + S Q p U 3 4 m y U 7 E Q y w h i S C I x y 1 c 6 D P n 1 f i E 3 G 8 l 0 o j H D k Q b P l J b s u 0 Z U U B m V e A z 3 w W q u 2 j H 7 L / / R F v x f i i 3 M P S d C Z V I a N 5 s u O u A I J 2 B y f V X X w 3 t x f l M t v 9 t v X M L q Q w 1 O S M r e d H M / 4 v L D + A t I l K b t F S / X b X / 9 K e H 9 p / 8 + M C e 7 7 c 2 9 n 0 c 0 0 H K u k N d k w + Q 3 U m a M B f A A c i 0 A g K F Z e p I c + Y 2 v j l 7 5 J 7 E 8 8 y + 4 H P H t M L U K d 5 1 f B / 7 8 m 5 y j a / 6 U S 9 / G b U 6 7 8 X Z w o 6 l s n j 5 G + / r w o c d T 6 Y + 4 8 Q X M k 5 G t p x w L a 9 e b 9 J D l C 8 j m J U B X U b V I c A B H k o C F n P u P G x 7 B 1 3 K b v i v / s f / 1 + b y 4 m H u / + 6 / + J F 9 c v h 2 0 T n e W T S X y B w s V z L B 2 m L q 2 z m Q Q d 0 5 g y 4 i A I E g u J P o e X w j i p i 7 H f N q P B r Y u t K z 4 2 H Z G Q 6 w 0 U b v T D j / O P z 3 S I s X W s P E + Z d L v w t R P z Q e I F 3 O 5 z 7 x F X + x R j R R G n y 1 k D C U 2 p J 4 t a 6 0 u G 8 P 7 U + W b D w c W a J r 7 V 5 Y / V u s x w Z Z 9 2 E S / I f U A k h o B C J b C O q K T u 5 q 7 h F I G M / W O t R B 6 q G d m H o b q R O J y H W l q Q 7 a d 6 f D L A M 2 U O H Y O V 9 u Q 1 A A r A I x U E t b M F P k b S K L W w m T 7 2 2 U z T 3 z B z Q c A J E Z I 7 z J h B n 8 F 2 c n d n 7 6 W s A Y + H 3 t b s 8 O j h 7 Z 0 a N H t t f r W V s g 2 e s f 2 O H h k R 0 d 7 v v Y U l j I G B Y z 9 g / 2 L a n W 7 e x i K q D L / / R U r u k B U B n x w m o Y 5 1 z O N 5 E 0 v n v k C K 4 q 8 C e n f P R d o M s z G i H U P / t s z / 7 8 s 7 7 9 6 F l H / t e O t u I G Y j n 6 + Z T B w 7 L v w / C t E X U r u C c e C t Y / z C H e i I + v s c l v 2 0 a 0 z 1 Z y C 0 6 J E 2 b b k T B V O T w w k a M r w L i 2 W f l 4 W 9 h v Y u I m 2 u D y 3 I a D C z f Z e B K N 0 j 8 4 s s N H T / R 5 6 N s G M O d x E 9 E G x Z A 4 x I B 2 Z 6 8 n H 7 R u c 0 m b o i X 6 Y P K J M G U + O U j t p 0 8 F E I E E Q L G x z 2 N Z G L 7 E o t D m g M m j Q v p O o I A l 8 X n C / O K o y T H Z 0 C d 3 E t E 0 I o y s k 2 o 3 O 9 a p y N g n r A u R 3 l u k u Z W w E m F u x l p y 6 T J l q d v d c 0 a + D 6 H Z c e 6 R J b f O Q J j r I K K 3 Q 1 1 c w 8 j s I 6 j C T H o H l p 7 D C m B C s s 8 R T M O r v e P K X l b 8 U v Y 3 l q + 8 B y J 7 X s o 3 H 8 + s 0 2 5 Z v c W + F e H a + 8 / t O 0 Y 0 B L u W x s m S g I P R c x o m p d c 2 t B B B C q Q 3 f k U R T B D m V 1 0 i / T Y w 0 S k A s y B 0 / T e 7 z h L K R U t O d M y Z O O v j U x z c F O 5 9 r 5 R L M 2 j d L F R 9 D + J u y s 7 r e S j / r Y R Z W t C M 2 w i t w N x B d j b C 7 0 E T A T J y Z D M X g i x 7 e / s + C d h 3 N n L N A 5 N / O + x N v z Z Z U d C o y 7 y f C + z B P I Y + e E B h y j z L t l a O 0 b M 6 0 R / 5 m 6 6 d b g H F f Q n N A 8 P x H l k G S / n M 4 g h X B D M j 4 b m X s D S r T o f 6 v R S o 1 g 4 s 3 Q S w 3 g f B B M w O I E i Q 4 w S A 7 q / t u S t U v Y G Y K e F R Q b X f r U S e s R 6 U I x 4 b y D U N W k d + j G 8 H 1 u 3 6 J 8 C J m u h 3 T Q Q q e p 2 6 D 7 M Q p I j 0 w Q M K p m U z D 8 y T y K Y I T 8 6 H l U 5 3 k / O C / g M M t z 2 B x n l x C Z B K f i / M h 7 m Z J 9 K J W h P t R z n Y m 4 J J u m g r N z 8 J P 9 6 f 1 9 8 k C s t B m i L K B O A 9 C K G T m F T 3 I a r C T B M m n D J l a y f C 3 M Q P I f r H d + q 4 g Z i A u 8 m n + X 0 R J c E S q a m T m F 3 v f a K y f 9 C A g p k P 2 m F m + Q 1 S 2 7 A 3 u Z t Z B c L H Y g k A r B b Z j Z k x j F l 9 c R q Y c R v 5 w K z 8 M t 7 j y / u E e G d S 0 d m H Z x g L A u Q I 3 m B e B E Z l V H + s 9 H n V j T P e L X n d R u C E 6 J 3 P o K n I D 1 E e T B T l r R W / P g m z I v q 8 w 8 V 3 p 7 w / 7 c z 3 + e k + / q l D b b m e h R n h 7 J B 7 Z U p J Q 3 m y 8 c T v m W h D D h Y / r p O F z a e S R B I K H 7 y G A l R v 9 D 8 n a J k N j I H T f S p T 7 Z U 0 D a + / p F F h f E D J m / p u m 9 / G f f 5 C M t 2 3 S T t B m J 3 4 c 3 m g c R t O P u Y f o O I l 0 8 6 E g F 5 A c A n P 9 x 0 I w P / m p G S / e i W N N w 0 F 4 H / W B j G 1 C a 3 I l t P M o e M t F O + b E O Q U 3 4 m M 8 w d 1 V r 1 o Y / g z 7 5 8 S j E B j 5 n f T / X 0 R Y O c F 2 i / k K 4 4 X Z Q m 8 j k 2 n M 9 W L R S w f M A G G O A H 2 B t F n H P g s B a K T n 2 d T c W C O O I s B I j 1 W 9 / I Z D / 2 7 Q e w M t A l I d x G B E I I l b H b p 0 f i M + X y a E u m 5 y a T P L c A i a s i B u V 9 X q T 7 t S Q h I O 7 s P p f M A + U B 1 + v T I 7 K n y Y X B 4 v e V N g m 9 L + I b H Y k S E T r F d r k j F a U g 4 f U z 5 9 B m 1 H R r q a n n 8 7 4 H o a 7 b C f h W G r 7 w f e O c x 7 T l b l q 1 c r d o s m T 9 o K L T G R g a n 3 z a c h x m Y M I q G g c H x c S L x H i c 0 E C B D i r E P u T P P e + I B i g O w Y v D k S q p T B s L e f I 9 L E M g z O w h w + E a U A r u U k D 3 r y C / T 4 a / k w e z i G R F 1 i v M W c f T f t z Y g N d q G f e H z g u g N U j 1 8 3 V Y O z 1 4 e 2 d u 7 b D j 5 v o n 2 Y 8 O X K N T w t 5 1 v d L T V X l y f V 9 q + k Q 5 d I G K 7 q X B A u z r j 3 w d y k y / w 0 0 3 y 3 t c F z K l c c / B + o F / J z z i R u U d D 5 g l G j 5 N X a X x W r b o 2 2 Z T + t 0 E A i + h Z t g R k q b K O B S R e s 8 L L w e o q L 2 U u I f k p F w Q H b N D E B A D e R p P e R p i y b C 2 Q F 0 I b i X w B e g 5 0 v 8 + A B A E h h I 1 P v w J E S C V I b V m T 0 O H F E o 9 6 A D 4 0 p 4 g x h 3 A 4 q F R 2 Q P U h A I v 1 P t j s N 4 i + c 3 N K 9 a c J c h 3 b V W N 2 6 y X f 3 n e b l K X R Y + R w 2 4 u / v j W i R y m 3 G I B g A 9 g C P L w I D o D L M n G w 3 + T P G z + c Y O D 3 b V 3 R D k w 6 Z m Y 3 Q Z F b y T m T C v g v p 6 t B 3 d 8 h w R u U G / 8 V A e M K c p V a O t e x 4 B 2 8 q T V a D C i L Z V r N C K h r i s A K c H q z o b 9 v R M R u P F n a Y h F e W x L s d O Z o B a Z 0 q Q 9 w s o 5 F U j 3 f R y L l T K 8 C 0 W o 0 / l b t 9 2 0 T e e q I 4 2 k s w S g B J P 3 2 t y n m B Q H 8 W e B R f B 3 C 5 2 t E b o 7 w w f A 5 3 x B A O x L t Q f A D r R 2 X y W w l 6 u B j V e E n V J E D y u 5 D 9 0 H 6 7 n c G A r D x o A i 8 p q q l V O q q d D r T w R a x S p Q x 4 1 J V W r x R 9 u 9 Q r 9 t 6 m H r E l l s / O l r Y 4 4 6 Q J Q Y K g 5 k 0 i Z p T / + h A N q T k v a + 8 z D g 0 V h g T I R K W S i b x 2 h l e Q o Z m S i S M 4 r K P l r + A W X e H p O 5 N w + G l z 7 B m M 5 T 3 Q h Q e f k D C s p A R R l D 9 U o E n l Y m F I G E K z 8 v L x B c c 9 s p D e / r s m T 8 K I a k R Q I C h G O 6 / l a J A Q l D r k 9 A / Z p O 3 J u k g u D Y 1 E M / h 3 2 U b 1 z B L g j e h M K h 7 l w m I U G B / P i w F D 2 4 o 7 x B i 1 C e P Y o n F f D n F Z 5 5 0 e S 0 t t F q k V m E p / l U Z 1 f e U u X h / R t 8 K o N B t 3 x X t h s b 5 8 W P G h d i D n H I X S e c Y c P S F c f o u B o T p p p J U w 1 l q 1 V J i F 5 P E j l o r M R n n U 7 u U F K c j 6 + W 1 m y l M g c m n 6 w D T f 2 G u G e B U D 2 W d l a f 5 d O o z n X 1 P i A L d L K m + 8 w / N K g Q H 5 z 1 8 x r R v p A y o s h B k S c A v y y a s q C H Y H 4 / 7 T y c l t U t Z 2 m x o R 0 e P s o c C R Q G x l X T 9 i g A R g Q X O U Q U O s q U 8 p M F 5 v 6 4 f m Z l 6 g 3 h e A I 7 b O V M n Z o x 3 f C u v D N G k w Z E v k 7 4 T 8 e e F 2 O z Q W 1 H a a O h o j 3 F r s l T 7 z N U + r m X U B 4 z m c 4 H y C X h r x i b 0 u 9 K 6 1 k C 7 0 O 9 M Q 2 F r Y k r + X S S m y v x H z 9 N r Z z N P t A 6 A Y t A x 1 7 B I a 5 x V T K O 4 O y k D t W i n b y 7 C Z N t k M Q x T / 9 m r + A 2 i P b K v N y i c h H n C p / + v Q 5 3 O 1 6 s m B I j Z 1 + u T T u F 8 y Q a X T H D t h U H R 3 M O U n V X c 8 C l y w s / H K K H I Z 9 L o 1 E Q a k r 0 o 7 p z a E 4 G D w x a K H Q q O j R f b L W S 9 m X i W P L k P U M X s S E v l j J N o a Z P L s z P b 6 x z o l g x 9 a B r x V d S u K z m 2 y / V M d V j Z f v / Q U u V / 2 9 t I U u W d T G X m C 2 C e C f + U d L k L k M i U f w L k r V L k m v 5 O m H y / b 7 A R v f l 7 H 8 v E 0 e c b R O s Q 7 a P j N l h e u B k E N m I 4 G z 5 y s 6 g i b T U d O a D C x v 2 / e 7 q 8 O H d A M F E 0 E u B n B g I C + a P 9 8 G k z S W k Y v 1 C / Y H J 2 f N H d F d E e 2 Q E w H S s A i o Q w I / N 0 n y 7 l 0 T j 5 F y L K x z m 1 J Q w N W A D u Y H T h e 8 X T H y v 5 v K y u Z V d d X o e 6 k p N X S Z l p X r e G O r W / 3 7 9 Z 9 q 1 E X s r 7 P u U V R S s A 4 n M 2 m / 3 d 8 a F + n 2 Y i Y w t / 8 t E W D Q X R Q n G J w 4 6 0 l K R k J 6 F W a 5 u G + v Z p c H H h 5 h H L H i I R 7 v / 5 N 6 G 1 / 1 j u E X v V w a t P Z K K y M 2 5 e G W F e M b X G N 8 i E q D 4 M r y P V f a c C Z 4 x o b r B K d y b X x h l z M v a V y P l n w i n n e b t J K t O Z x Z b M 3 G C z S f x c 3 2 R T m d f k 0 L G U v 1 F p W G U t s 5 U g Q Y 2 J v W x D P X W B s o 1 I X 7 m 5 y b s L h f K E c s X v g J p y U x b e r v i d C E r k w f a + g Y c m / / T Q 7 E f y o / C n N l I E V M H s u 4 0 u J 2 u X W E d 7 9 f c X V L g n X c r k Y / O V m L 9 4 w A H 1 i + O S r + f q S U D w P l w 0 6 5 / I V d q X Y K k K + 9 F C 8 j d + 6 B m 2 c n Z C G C P J p Y m w 0 p g x j 5 Z i E 5 f 8 N K E 8 w X h k z C e M h 2 l G 9 H C 1 D I w Y G J P 9 B 2 F U z L W F 3 9 M o t 4 O f t 5 Y v 1 + L 1 P z X X N u y F F 7 U O z y 7 X c y u t Z A D y L t 3 o C 4 l g d l 5 m z f 5 5 R X I Y C Z y Y c Y C 0 l n s d P V n y x g 6 m Y U X Q c F B W + I B n v U 4 i 1 l 4 V 9 + b 7 T g D q X Q g A g r + i S c k v K k 6 U 7 4 + e E g q / Z q Q 8 0 c C Q h G S g X S w I 0 f l 4 7 V s a P + 6 H N 7 T / P o j V q o C B p d s Q 4 e 7 X A 7 M v B I R L m X l o J s x t Z r P / 6 R O Z v r J M e a G 0 C w 3 V e z F Z O M N 2 2 p m U p x 2 D 0 + V R t N f D s C E m m 9 u 0 a w I E Q I E B M 6 m N m c Y + d h z x v b 9 o h E U y 1 b W l a 6 N u o + / 9 M F 0 O 5 Y K x U H D p + 6 A / 3 f s D e U l 1 K 8 8 r V u l u 1 y A E E J K F N E R N m q l 6 3 Y H k P x o O b a + f e 1 F C R g F Q M g + 9 s t f E M 5 P 5 2 r 4 5 W 9 h H / V B P w A u A O N B C L I m / j b 7 3 g L q L 6 t X U / v Q j d r 5 h k x O J b + 8 T O K p s C 0 m + y 2 n V m u q o f R 0 V a S j M / G r G H L f 5 q d O 5 7 H v Z 9 p 1 2 0 y X Z t 0 q x B 9 E g U J Y d K 3 7 j C 5 4 h h A N T o Z h Z / t u T k s 8 7 R A s w A P 0 j a Z m P O w w P 6 E b U k u q 2 U h 0 u x i e e R p T S S H Q A M 5 P j O J H W X k i D t K X p O v J 5 k N S E + a k v g o y F g V k o x d O b r U c 2 W 6 m N y w K A N A l a 6 W n 3 U w m 1 h s p 0 b s P 5 m d J X A X U z 5 w 4 a T 6 2 + b F u 5 c 9 M s A B A x X b Z r B l T l 1 s 1 7 K O s Y D Z U z + T x o k S y s X g m g Y N + M J R u 1 s G B R 9 W N t F S / O Y w I x 5 j 9 5 8 K b 5 u 4 I y t C t d g H J 8 A J Q Y i A g f O / u c j L 9 w i U y H 4 S R M 5 y 0 7 G + 1 b r 7 m w x 5 W a T e t T g Y n g h W w j G T 0 1 n a P j 5 6 u p N 7 p k q a Q e U 0 9 1 N d v f A P / j X o A C F P B K x o d 3 E p o T + 8 v v 5 7 + s O 5 X l e D p y J m H L M C R s m J s n o a C 6 / e K 4 b N 9 c 8 D 1 o 6 Z a O z / p r e y z B U t J 1 m K l c L 9 m X r / 5 W V l 7 w Y V x K E 1 o X f 5 F U Y i 0 x b k n t U b N O p e f n M D F p i 1 A c p Z J J H d p 0 v p r 4 w V A C G m m + n t o T A a p R a U t 4 T e x 8 + t L P x X o c N j + y V t K 3 c p M 8 Q z q A Y i 0 t V i u p T m i n m c r U V D 4 5 7 Q R R V n w o N A r l 4 T f A G c o v 9 J n r 0 p r s F 1 + t V G V B 8 C 6 t o I G 8 7 B s k J e 2 U W Z N v E N v F f X N Z 8 l c g V f 7 J P / 2 X / y o 7 / 8 E R I / a f H q U + c 7 g s z p w s B 5 K 4 U z V u I m C w e 5 C k u x y r x a p q y 1 n D X k 2 k / t X Y h 7 2 q T J u J D W Y n k q x n 6 u z U Z m K Q Z r 3 n n R X 6 A 7 M C S a x O w k n h X H a 4 h M 1 9 + j k B a T 0 Q 0 + r n m i k t n A a H 2 f X 8 4 f c s 5 X + I m W D 8 8 / V L S 8 p i M j Q R k T Z 1 8 H q 6 d k B 1 9 j p u Y o U 3 L k p Y S M O w g + y j L h r C D W K b S t P I j 7 d W W Q K j d u H + C j 7 J 3 M T 0 J W a F q j 1 0 Q 1 k H 2 1 u w k h l N V q l K q t c T 2 + 8 c q i 1 b n g 8 L 7 q q 6 C a a 8 4 V v o D x O r U W 1 L i L W s W q p J W 4 3 8 u U q p 6 p p r q t + 0 P c 8 R K O g 2 9 l W d Y J Z F 3 0 h Y M h v p E 8 0 E C A B b A U w Q a a B 1 X r 9 6 J S 0 k j U o E T u e 6 r P Z t t R x M b P Q P m B B 4 H N v A x P o w B o m Z c V J 0 C 4 b T 1 E 4 v 5 y 6 s 5 m t p 5 g 9 Z Q / E S r j / 9 K H W z j 0 a 4 n L 0 W S F 5 7 5 9 P x / d Z T / z 4 i D j 5 s 2 K U a / W l f n S 3 G u 5 y 9 c m k b S c a B Q P k j + 2 g / L I Q j + s N B p 9 F R 2 w h z A b d k d S m m 7 S O J d V K / k b w A q i Q t 4 Y W D S F j A 8 0 F J O U Q V S e a V 2 P 5 i + s o 1 4 2 F b t m t G S O + T r 0 + s d 9 A R 2 M f y j 4 5 0 V g n o + Z R I g s A 0 k 3 Y 7 m 5 b s Y m b 2 4 7 3 E q m L m Z T q z i i R N o 9 e 2 l 9 O / t a V M p D x J P C g V p S P G a 6 q N a g J H t 7 5 v o 8 l Q j H d u / V 7 f T a q 6 r v l 9 t 9 B r W Q S J N B + D t F f m t u p K b y C Y n v V + 4 p E 7 6 k I 7 J F M q L y D j U 9 2 e t B P t T z g d r f k u R B 8 x v o i v W Q Q U v u S X r 9 f W U T 0 e t w T K 7 P w H R w g i N F S Z 1 2 g K G G s 5 q Q 1 J S w j + X a x n Y s S R p C e S E g Y p 2 w 8 O y j 6 d C I k q g Z R J s 9 D C 5 V J T Y A y v 4 Y T Q T t A m i R e J I M F X J 9 J u 0 k z l t u 6 N v a F H m B H u U 4 T m S m s u A I m Z A F k y A Q x c L 0 k i T u x 0 8 r X K d 2 A 9 H X l C o u N X s C i v U e 3 p 3 r k A N L V F S Q n K Y q 3 s l 6 3 W X 9 i z R 0 v 7 4 + d r a x 1 J E K g M s 9 r I x s 1 z W 1 f U H r X A i B i z V Z N 2 s b Z 1 S n 3 r l 4 6 s b 0 f W q x 4 5 U B e r m Z t w R M u C n y I B F B s i I z Q P 5 j R t j S Z K 0 p W D i b b c q x + p X f c E z A P l e Q 3 E B D D r K + 9 k I p T O 9 K 8 K r 5 L c 3 q Q 3 C G D 6 + N U 7 E i D q F b U T 1 Z N A a u r L D y V k n z 9 W + 6 g N P 1 h A 0 d + T 5 V q O s D p Y z L D K w r W h t 7 w r d E h 6 S r v U i P S o N R k U 9 c i V m I E 9 D g L P i N n K D T F C 1 X 7 y h K l G n I u A y p i q w F y R u B W X u S K z h f G T P O E z l H C 0 S 5 L O m F l M g c H s k o O O z 4 D Z B e h h d r Q B 5 m m R 0 I 5 L M f e U F w M s Z P Y t Z t I E 7 B w U o n C T x a V N 0 6 G l 0 t A r C Z S 5 z q 1 l 6 i 1 X c 7 X N p Q O A 9 L s C U a 9 0 o M 8 9 g Y o Z 1 T C O y q Z q M b 9 O X p o d t J 5 I o w t k A k d H G u t q a l B G + E Z n 0 6 / l p 3 7 p B + Y 1 W o g g A Z I E M N X K 8 m m k a W l z S L V E I e n Z t S 1 R 4 w Q r O b E j R u j P N 2 Z J 6 F k E 1 a 5 p Q H Q f w s 9 7 U f 8 x q w I h t x b I A V W t T f + F f G 7 W + g O j y 0 l q L + W Y 1 8 o 9 M W V D t n 9 D n 9 e D m G i t q G n k V v h s 6 4 V s f S J S b q q o + e a L v t j r U I C c 6 / y p D W W r s 7 B w g l a R a b V e L m w p R i a k X C T c g r 2 W 8 s e s 2 0 A o N 0 w d 9 x / 4 J x A 5 C v 2 a f A S f 6 K b 8 X W O + m T 6 + m + 9 h 3 g h h c 4 i B U v e n Z A r V x c D 1 W t P T w p d Y y s c Z z f u 2 W v B 5 b h e j m r 7 3 X T s R c K F R E D R e M N K S T z a e n N t i O t F 9 c 4 + a 4 d d s o q A t C G 7 w 5 v z E h c G + T G r A 5 1 p L Q m 2 o 9 l u s p l Z K V O 6 k H T Q 0 m k n + 0 m q u 2 r J T q 7 4 n + E 8 6 7 i L 8 M A c l / i b P + W x x P S t A A A Z v M h 0 q l v f 3 1 Z E n / V 7 p m e k I v 1 R p A K T F 2 l 8 F h M w o 8 9 K p H I o + a E A t 1 1 U 7 H r Q F A h x f 9 g N v u A n T q q E 3 g g Z Y e t S J / d 9 K k t y c Z X b 5 I n S W G K t U W r j p B b M Q p D i f v F K a M 5 / j h 5 S e i g l e n o u B B L Q i + e T M H E j u Q z j B k 3 n Z R t N g l m 3 i Y 3 e 0 V Y Z W s + V l j Y S z P p 8 v J D w 6 8 o N i V E 4 a V 2 p v L f B U U 6 J 3 Y n 5 x 2 1 j g W s i v E g v p l / 5 K 8 t 2 k s U k P 8 D C L G 4 A k 0 l T J G o C / S W j 0 p c z C C D b a r l q q u 0 b C k B z P z 3 S c u 7 b D x K 0 v e d m B y r R S 4 6 j N m Y s o r 0 p u n 5 6 v q r l 0 G l D g W x W J Y Y B g K q t s D M Y r v Q U b V H A r T a B n w 5 I L + W Q C F W N Y f v B d B 8 E c N 6 / j o X N o I a L B A I i 8 S 3 q e O Y K b 6 I M G F D R b V e 3 1 q C L w h N / V t G 6 d a l + d T i R v o f N E / d Q 5 6 g z m r G F a 9 Z q P 3 O a H W e v y O U q l k Y d y n c p j 6 7 Z e W q M + d n N j K T v l m 3 F T D J V l k B G S D s n o Q Y d r X t + Z Y F K 4 o y d H G N o U + O A c k 0 Q 9 y p g R S 0 7 q d W Y d I L 1 T O x 1 / Z Z e L Y 3 1 L f E X t Y W t p 7 U b V T a + 9 1 s x 6 3 b F J Z N j E R j Y t 6 b s E i C 6 q z G E G v e 7 0 d B 1 g Y u a o 0 f M U x 3 / g a t e G a t t W 2 r P 1 U B p t W r L G v G M t a c b W c s / b Y l m R B i 1 P L K 2 r g V r S J N W F 2 l M C T 0 4 v E T 1 / + b X M 3 k Q a w 4 G F 9 p F v m Y x 1 r 6 w O N + m U j g / 2 6 t 5 1 W Y J L J l m c l g T X Y 6 I x L O B m N J 9 Z u q s y 9 V M 5 Y z 4 6 a s q r 0 V a 5 m Y m h 3 x X V n + E I Z 4 o C f f C A Y g b F q Q A 1 Z w K s O h w m p M M J 8 a p r B K i F w M I s A J l m z j s V M V 7 X w 7 5 c d y Z R K 3 K / m l s g Y 1 B S 5 k 8 6 c P O G C b c E P 6 b r r K n 1 y F q d P x y n N s d P K t r 4 O 1 J F + T / q 7 t t h Y d A z E l p j z V s k s p e D o a 0 A E S Z g u 9 O x d r s t J 5 + 6 9 P x A O P C y u U Z N P l Z J Z p e K x f F 8 7 y M 7 7 H 5 k B x 0 d 3 Y + t 3 3 m q d g g D x f n X 9 Q A U t B r + W Z 4 Q R s v Z y t q l f T u q f G I H 6 X N r L w + 8 T S / t 2 C 5 K x z a t D W 1 R n Y r x l x 4 M S a s C h 6 6 P 1 u d 2 t n g h E E + E Y d d Z W a r K j 6 C L Q O b m n / I A L P i Z Z f d n A n A 4 A F V e o F w R 9 Q M 0 S s c P 7 t d v Z p W U a w J u 9 p t j E 0 p i m m G W + j V t 7 o 0 P j H h z O a P j 7 E d e q c o p J g i B n n c K o J E A t 7 2 u 2 Q v m r + n S + V j m n M y h e q V t R + 1 P 7 J G O n s x F I o W P O n x / 5 K Y N 7 3 n 6 4 4 / M 2 l W B U v 4 L U p V 9 3 B q 9 m a 7 J r J K f 9 j a E I K g z K F k A J I y I 9 h I r C E B 1 M T P g K N l e f 8 + n 4 T A G 4 y a e m 3 k y B 2 t 7 r o k J S g A g t C p j Q + 1 6 3 9 N A u B D 0 Y O y o J q 1 V R X C o X q T J / X k C T J i T N 0 h N V 5 4 p L 7 U X P m q z 2 7 b u w b 7 8 t a k D Z p l O f c r R S l p o K T D X V O a + 2 g 5 h h R 8 3 W 4 8 l j E Z K e 3 F t 4 u k D g 0 B F s w p B G g H I X T y 4 m Y N y F c q 2 K / G m + 5 1 I + R A s w l z M g + o B U C L s Y 7 R I x c 0 m a S U 5 y f g o j E X h V w E M z H / 2 x E M w w U i r p G q T 2 V P 5 I E 8 9 I P F q 9 L l N V 0 P 6 2 s d 9 W J O D + U N g o i F Q N W o N W 7 H 1 q x J K m 0 Q X X 9 v F 7 I U t E 9 n 3 W y j 4 H N e d l a f j Q c n 9 t D y h l Y j O T Z c j L 2 S V i Z t 3 z C P E 1 J s u h g G I c t 5 9 f E v P t G X S w p P H o 9 / 6 t T x x X n p Z A A t c i 4 9 T q d Z c u v s 7 c X P E k v F F d W K X z W M 7 X 3 9 t r y d f 2 O n k S 1 s J E f 3 m E 7 8 H X x N f j n E t o n 2 A v F Y O W h B Q r + R Y U S e f L E s Q Q c 0 I m H b h 3 j h g G / 2 3 9 0 m u J Z t K O 4 s a L t T X D 4 A S l Q l N X 7 U E J h u d i b k n M 0 R m D N I S n u r I f D v o c D 9 z v c r 6 z q 6 h I 4 H j 1 J k u j r M Q B R y M z 2 w 6 G g d n V y Z e e V W T J K 7 a U v Y 6 / h k m G w e z C j Y R 6 Q 0 l o f / 6 6 z P 7 d 1 8 M 7 C + / H A p A 1 9 r M 9 9 R W P + b 5 h K 9 s q o / W 8 z L r 4 l 0 S F 2 F x 2 P l Y o B r 4 1 B y A K O U n E 1 i + o / 6 C x i t o H d 0 z k 6 8 J q A B T o 9 2 z R q c n Q K m B d G s a Y 8 w 6 M P f S W m J t m Z W Y w K t U H p n a i D Y b z k 8 c M C H q N 9 U x d w G D B u y 3 H r t 2 x L x G O 6 7 W S w c 7 y a I Z 9 N h O 5 L 6 d 2 m G T b / c u R L s L P 2 6 y h + / M l C B 0 8 k D B 5 B M v 0 V k Q Z k 2 j 0 h U j 0 T z q R L U Y s 6 p Z O x S s j p I d d a v 2 y U H V O o 2 O N F l H r n n d 6 m u Z R e u m 1 V Y t q 6 z q H h 3 D s f a x o 2 7 Z z l Z l O 5 / K t E o r t t d 8 J K f / s Y C K 7 / F m Z 6 P 1 B r O R / U / / 5 6 / s n / 0 v f 2 H / 4 l / / O / v r r y 6 z q 6 x B Y q Y 2 D L 9 0 h o T c 4 R d A A Q J m H B p z l 4 F N t B Q v s V 6 p D W r N v v u H A 2 l Q B m i Z 9 V C c l U 0 T M B + w W p f 2 r s l E V r 6 c J J z M i 8 z G 4 6 G A J B N N / g 0 T Y d N S I i F z I c D M P N i B 6 Y f Q o l 3 5 g / C / S M S 1 u 0 B F J L V e a 7 v p i a X A d J K E b a b C 7 T s T G o r 2 L f p 2 7 0 o E s d j q g J c 9 r F S P m d D V w l / L r n / Q h K R H 2 s T O Y h q R I G O L 5 W M x V F e S E i e V 8 Q z G r j D 3 0 A R y + q U N k J 7 t k j o 9 k Z M v o C A 4 V 0 n J B o u 6 D W U K J N n M b Y i X u v X Y D E U d L H b U U b H F X I x H A T L C / 5 l n 8 9 o w e 5 j x P h Q I O W b y I y J h W S 2 S s V 1 K y s O A M K Y v / e a 7 N A o S H w 3 g M 8 f v I L R E o 9 Q R O B L 5 X Q g Y g c t n f Y e o J t f z B O / X Z e L V m 2 0 X P i g w j 1 p S V Z Z O N Q i 4 i 4 G l H B O Z t w C J 2 R z 7 M v H w z 2 h o N G O l H K K J E O X H p w O c M x / 0 r d h + 4 7 E 0 2 5 5 r t 3 q j r f p J e N D 4 9 y Q H L o V 7 j 0 T 7 i y V U a t U x C 3 z w t s s H Q G V U f K 2 M D D 9 J t Q N b r p h F L U e 9 V b K W p D 0 T S d l K 6 4 r H 9 B z a K J E k n l V H t q h M b W I L u 1 j K J E o w H a + Z s S N t 1 U D S C h j L u f w 0 A Z J J m g y q Q m i a s U y v 0 e x M Q J p J M j f s H / 2 4 a f / l P z i 0 / / z P u / a o d 5 O x i Z R h q v k 8 O D E M U h 1 s Y j I R t e v I H 8 k v f 9 9 G F c a e k r o t K y w o F B S U D u n B 1 H G p A 5 z j A 6 I y X 2 e j x E o C e D I W k g R 4 h A v A b b Q b Q a P U p L F l k + L n N G o t a e P H P q O c g A 1 m H E s 0 A G 2 t G g a V I 2 E S A j i u A a I w + 0 P i D Y 1 W a q q N 1 X b y y b w s W w C y 6 X Q + j / d F j B z E C C 7 b t b H B D 7 k 8 A E p E J 7 w 4 K 8 m h D 7 8 Z U 2 L v 8 k + P S t I q R L M k e c Q c r J F J h T w 3 / R J J J A Z C C T R U x I T l 6 4 H b s s D V r C / V 6 E o 4 p 3 3 c n 5 G D n K z F j N h X Y t 4 Q C K E M g A m z S H 6 b G I t 5 c c x 0 / 8 d / 3 r D / 9 h 9 / b P / N f 9 a z J / v X / h A M h Q b D o e c Z d + z F y F 0 x N G F w / J G V z u 8 i m T H V p q u B m 1 v T 0 c h K k 4 o 1 1 z 2 f R l S X + b o W g P A D c b 7 L V W k z C Z c p U c J G 2 d b V p Q 3 W r y 2 p r n 3 t E D S c n d v J + C s 3 8 w A l Q E J L D e V b A n T K y s F M j f 3 m U 7 X r v t + H 6 Y m G B U j R 9 6 M t 8 E 1 r 4 t p 6 W 3 6 o h B D m 2 3 S 2 O Z g z m i d 2 z p i U m 5 C B w g D 3 + w d V J N V G 5 U T H P g D q i l j B + j c v 5 c 9 E C S 2 T h d 1 C 6 Q d 2 f 8 X S q P f K 9 k x m 2 2 S S 2 o V M v 7 k + P z 8 v 2 + W 6 p n s P B K D A U L X K 0 h 7 1 B 9 I 8 8 i c m 8 m M y H w l g 0 r m V 6 H e I I r v j 7 x D 5 Y i X p Q k w F I c n 3 J f V 7 8 p f 2 2 3 L U m 9 c T Y D E b m Q 4 E g 4 Z 1 T k j J q j M j W o V A w p z Z C R v 8 s z w R i p 4 N g 2 Z t r N s + s D m u n a k c q T X n X W d s t t L y M R 6 W S t S l M X T M 5 E P N x U h o V 2 Z R L J O Z A H Q m U E 5 c y 1 C X i 9 k r P w A 8 U 7 o I M F D j a n n P h p N P b D z b l x D o W k d m n Y / 7 q R p o W c B 3 M T 1 W m z P 1 K y y r Y V Z 9 y i v 5 1 W y 0 Y Y t 3 / B Q I 4 T F f S k s z F J E D E P e z 7 P 5 9 B y Y i k R W y k 4 W X H / R 6 q C L x 1 j 4 Y / f F e z S U m x D j P + T h s X t m V 1 q p J Y 6 0 E p A 7 z 1 s p q w G Z q e 2 L 2 T l 3 M K B s f 5 o F o Z N Y G z R d T a a N U j D q 3 i S Q 2 4 1 a D e d 0 m 6 6 b t d c I U H g h I 4 K i z L o h Z B f g W M S 0 k d J j 1 f u i / n f Q c z I 4 2 C o 7 + 9 X w 9 K A Q q l P Z a I B O A 8 d W i B s n T c i D G L 3 3 j Q Z W y Q L K q B U 0 7 L 4 + t 0 o B x B Q L E L s U M R X X C y n t 5 O Z c 5 l 1 h P 5 U K z h N A 2 2 x Z 3 p K G 7 q u / A 5 z 5 S R 0 z B s K y j p b b q y g K o 2 n 6 r 4 o C j z o A I r V y W U D p o P Q 0 T l t U O 7 V r f I 4 N o 7 2 a 5 K 6 3 M w C s a L l e Y j D y f B i H / M E 6 W J 8 B E + J z j f R F p s s 5 q M B j Y 5 J z Z M u s H Q B X p Y s L 7 c c P W Y r F P c D 4 Z 9 2 F q D u F q g n 8 w V L N b t n Z T D M t o O k R A w c 2 s I A n 5 Z M Y 3 c 9 T O h y e W l J Z K s 2 K r p S S m T B f f L z v r Y B z 0 a 7 N H 5 q I v h Q j L G w i D A 5 6 O m D J S Z B i e K Y I J A p y M 7 c x l G v l C O p h J k r p I i Y Q D e 9 8 R S U s a z K 7 X s 9 I m a G p M X 6 R + Q y A o 0 m I 9 s N P x U A U 4 k Y Z R u V Q c g i N s v t I S Y J o 1 + U x 6 D i 3 L Q k I + K R N r z i 5 m x w J X T W W q 2 H h 5 G Q R I q e b g A Z x o O O 5 l Y J d 2 g V E Z D C e K y t v X G f + 5 D 9 F W L I d n f w i 0 1 X 0 J 4 M S D o Q X W W I 2 k 1 W d z B u d r v s y + 3 W y H Q f P s m Q f K C J e H j S p n 2 e i 3 M 1 Q t t Z 8 + Y 5 s x B n 0 T + Q f M 9 G a y Z k X 3 6 3 v A j 5 h o z 1 p V m U k 6 j y k G I X n X 1 Z l + S + r j y M u E 6 b V 0 N D D r Q h 6 R 8 C s 6 t X 2 f a Y E 0 x 5 E H Y I T C + 4 0 w C J o n I o I x G r e J A u j k a 6 n T W Y W 7 i X y 8 q 3 l i s x o m a t V N M P d r p P l U e Y 8 U v j m b I x W j C + R K n + A N Y A I E L H B s V r r 6 G R g e Q K N V M f U w R d G 0 g I f r g O 9 s + t L B 5 u N 3 E k R E N j 3 S p z / S w / d i n w k i i T z v / u D N J t u Z 7 q O Z y A f g s N 8 9 4 O E A k I N L m Z 4 y 6 1 h W v 3 9 4 a L 2 + 6 s b W Y b S D h K r k z w O g N t F k I d C M V m K k J F v + L C C p s Q Z T F s m V 1 M m 6 q Z S a X A l n J t 4 k Q V / T s A z a M u L P G q l I d F C r 0 7 L 9 z i N j e b u b Q i W Z R y U c 5 5 s c g i a C e X D U O 4 3 9 o K 3 E U F f L S j I i T Y 8 I i u G K a e Q J q b q V 9 F g I E q g S + k c + l B 8 h w B E C A 8 x U y I O W v B j 8 x a 8 b C e 7 s F T E O l 3 S e / S j y x U H T 1 Q Q M t B 1 7 R h D F Z y Y E Q R P M O g d J R j 4 8 k Q k i a J G G I Q C 0 9 F 7 j k d W b L V + t T G T 1 v h S E S z C f w 0 T d a w q z 7 2 W S T y Z u w n E 4 k K T d A R Z a D S 1 0 e H T o q 3 / 5 z V z n O T M k M v I B X p X t A V A b i A D E y S i R T 7 W 0 1 8 O S v R y U 7 V y m 0 X h R 8 j e 3 o 8 X Q T D j 0 a J 5 a Z k W w X o p 9 G t x E u c G E d G j Z D n p P r C 6 z Z q 5 0 Z / M w g J n j p x s E o 4 c d g C T 9 y w U w 6 Q 9 m J G Q e f L 3 A L J u I b b 1 u I z Q C g 8 w E B d h s B o 1 B Q I D Q N V E / A I 0 f F I k Z A Z M l E k X 1 a R 9 K e I S 1 U 8 x 8 o L y Y l Y C M 3 w Q T 6 v i F 8 q 1 Y z M h 1 2 o H f 7 M F x T S X P H 3 M 4 j 0 a P M g q M f k 4 N J V y 5 C v C F f f c k g i d j l W G g c o 0 n A 9 / A Z T w a u e Y B Q F H w A H C 0 G c D p 7 f V 8 D w p M 5 g j I S L i j b Z e o G f n X B 0 B t p H V S k V Z q 2 C + O K / I T w o 6 y v W Y q R / t S U j m 1 5 w c A R M 0 n X m W A D 7 8 K + v K M r c f C + q S i m Q R j f n 0 x t e O x T L m G z B + h b z o b v 3 F f n s r y K / q N x / J J b m 7 W i J k G 4 + N n 4 O z f S l s A C z G T Y W z n Y q I w G 4 S g w k x A Q u O Q R z D d U p 0 L v 6 H h P P F N P G t l X v I S B o G 5 D r O 6 O a e G 4 S k 0 H N o T j R C 0 g v w x / X E / A 9 A 3 i Y F X t D 8 D 0 9 e C C F O x 1 z x y j c 0 k W Y I 6 p Y Y Y X 0 U p z v L e R N Q J D Q N 4 C M q M B h J i Y / m 1 8 u 3 Q M v n N M z H j m I G P C V f c v H I T c R V h m t e w P r c v + / 5 A B V o m Z b u Y B G d + 5 C Z e y b q S V P 0 W 9 j 3 j U + G + S L R / R 6 B 7 P W Q y 7 a a Q L l N w j u X P v B A K l 9 Z t 9 9 3 E G E 0 v / F q R X F K m L K + X m S N N i O 0 e p S h a C R O I A V P M t N t o m + / A m N J i t r B J + c K Z G A Z x H n I T j a 2 N r w M R D D I 7 Y M T I D B c s J X A 8 s q g j D M Y y n h R m Q T D 3 k Q m 6 I f p Y 8 8 1 s u C c S 3 8 O I z U 0 C s A C K a F 4 E L 9 B k r A 1 t H T S H t J j M U J Z o r A X q P O X B c 3 Z 2 Z s c v X 9 r p 6 a m f A z R o n C d H H 9 m j g 6 f W b L R d 6 w C c u B N t B B D p 4 D t x b K N 8 6 W 8 A 7 w F Q d 1 D W V o O Z O l C + k 0 s 2 i a V W L W x h z J g u 5 l + U U n W 1 5 n p d d g Y L p t h N K p X m Y j L M n b F M E K U j q T g c i q E 3 m G W A x w E 3 G N l w M P S D n V B Z u o 6 p C T M T A b u L w j u s b j I w + F 2 J I c f l U 1 s Z s y t C F J H b A J d r F W k b n i O C 2 K h 3 Z F 7 O 7 f O z q f z I k s A M m E L w 4 K D 5 z A 5 a H x n z G S U x S F 2 a Z O j + U k + A Z x k L 7 e H w E P O F N r w W A t Q j N j T 1 4 X r Q c X k q W Z y C R B k B H N H E w e W l b x N 2 f H x s Z w I P I E D z H B w c O E g O D 0 P Q w I M y + g 2 I 2 J Y 6 D w L a G X / p / P z c X i m t 1 6 9 f O w g x A 2 O / F o n 3 7 W 5 8 n 7 f 6 / 4 P f 6 P I 2 w p z j 3 V H x J c X s L h u 7 Y j W V N r r U + X Y p v M 1 Q F 2 h I p H i l n M g 0 O v E l 8 U U C a G i A M N O 8 b o P J q Z U W T X v + 5 A 9 u a B M c Z e x 7 G K d I M A f m y a Z x p S J 9 8 + q F l V t z X 9 q P O c c 4 T 3 s l M 1 H 4 O V 9 / 4 + Y d I W t 8 H 8 b R g u 9 2 U 4 t U B Y j l c t + + O p N P 0 a j a T 5 4 i V F T h 8 M + J j T 1 n 0 g 4 w 4 z A 5 s X K V D U H x s T r u U / k M C G k b z D e 0 F h q v n s 3 0 Y A s B t k E j t Z r A x l 4 T A W h o 5 r B H O e k 6 g w N K f J q l y t A R W B j L 2 E B o K o Q J Y K I m e Z A C l p H 8 J w g A Y u 7 F D T E h 8 q H t f R H m B g 3 P p H + m H s E f e U L r P w D q D v r s U W o / f J x Y S Y 1 c U y v 6 4 j 2 0 j x p v o j 4 5 m Q t Q + w x c J t I 8 h I N L k s o s / W D m w L n N 5 Z f k T R 4 I w 4 D N S Z g q B H O x L K G Z H L k T H M 0 P 5 s f R q T B S k b j u d j / v d N 3 Q 4 X k 6 O Z H J 1 V A Z B J J E z k c 1 l d 9 V 2 r e G G I i 3 G B J Q Q G D H 6 N c m q U z k L 0 3 3 7 f h y z / r N h j 3 p r f 2 + S j m 1 e q 0 u K Z / 6 5 N 2 5 O I 2 3 j l T S E z v s d H 1 M a 5 K O r F 3 Z c / P V p w P p u Q V a U H 8 1 2 l H Z z U o z A a n t 4 3 X j + a X n t 9 9 6 4 v c i 9 W H s p M Q L 7 U L 4 H H D 4 Z i s E h d g Z a g M t l g s 7 u Z C J j d k g 8 1 2 e k u o Z T E f A g + a 6 j f C 5 2 D 6 A v H c l u v n 2 3 n g g A U I m w W o h R g 9 L v O k Q F i D O 0 4 l P i m T Z O F F B J t C W S 4 l H + p z h Z b o c S N L i S + R D w Y F S B y a + E 8 z R r L e s s 9 e y 8 4 v X N p 1 N P A + d D s c G i k y P u Y I m C 7 7 V m 0 C A M K 8 Y 1 8 L n Y l y r L P + H 8 o 1 W Z + r 8 s h 2 1 n + v a Y 9 c k N z 0 A M i / b b N E R W L r S x m 2 B p e K b r V w M Z Q 7 N J z a W 3 f t S Z u C l n P 3 q c m j d y s T N 1 4 X M Q o I u q 4 X A t W D V s A x L C Q a W w L D U Y T C t i t k r d j m V C T t b W 2 P d t X 7 7 0 J 4 e f W y P j u S L d a S F O m W Z b o d W b 1 V k W l + 6 t h 9 I 6 8 e g h c / Q V 9 t v J o G N N l q V B e a + H f W f e l r 7 + / t u D t 4 F J o g w O C a k + 7 7 u 4 2 5 o X 5 0 C 1 G g m g i S s f X u Y K X E H M d Z Q r 6 6 l U d j t K M x J g 6 n w M Z J U J o c a t d M S K / r o v S S h r D D M A S d E v w i z q h h 4 I G Q O m G B i l q P P 1 2 P f C m U 6 k X 8 l E 4 z p Q m 5 + i U F h D k B w T W J M 3 T 1 P w l 7 h b L 0 l 3 e D g 4 Z k 8 Y d 6 0 2 1 0 B i S F Y y t s Q Q 7 F K M v h H 7 s 8 o a S J o z K P D D 6 q W G U S V f z d t 2 e u L A 5 t M Z X 5 J a v S r M 9 v T 0 b S Z t O p M / K w 8 x e C N s p j c o 4 J q K / a F W M p X V C P A 0 8 7 3 m K i d n r W 7 X W n G l o 2 T h l U b T a t J c + 4 1 e t Z g b i M O v c w v T O K w j m v t I G c m x V q m K B E / N D 1 C A J P Z p i o 2 e 5 r f a J d I O q d 8 8 Q t 5 P 9 T m e 2 4 n h N R 0 M f L 9 N R g C w Q T F D K a / H E A 0 F d j 2 S i p 9 u l f n H w B 1 B 7 H I c L a s y i e i U 9 b y C / C B m D Z T s 8 l S z K u G x J 1 Y i B E Z p w J M c V y K j f S 5 D 2 2 E C V g k O g j m Y J Y A o C A x X i 4 2 n 4 c N L D H r 4 q t w g h Y K h P k z L 4 0 E K M a y 9 K y O p Y D F P D d M o j y 5 X 7 N Y 2 n w m A T D X s + r / l Z g 1 Y V H l d C G z d e T X M Y t K 0 l 6 Y b 2 F G N w P a f Z / f d 9 B Y 2 0 f d h f X 1 W Z e Z C H + 6 K J A g w A x m r 3 Q O I q I N q W 1 m d 3 S k B f B 1 e P N H U y D y z U 9 0 D 9 q a F 3 o f d K o q h / w c N C Y A 0 D n G h A E 2 b c W Y F Y P C l b S q g z l 4 a g d G h Z U 5 m p a 9 O Z i 0 e x u x Q Q 1 t + D Z E 3 u P Z h c 2 S g f t + T M 0 i v f K C z o U X R P r K O j n 2 f G e m B J v G 3 F 6 i B 3 J i 0 u z L i 7 K c c n W k Q I I P x U T O P X V o p 6 c m l G R i 6 z d e Y i 0 L 4 I r c 6 l g z n e j A p W R R U s Y Q M j M E g h O u D l J y S X V h p + N v l O f n k p D S M J 3 2 j W d 5 B q b V n f 6 L I z j + b 4 Z 6 Y d b a u m 6 t e t s a H T n f 3 a a 0 R B h 3 4 W C J S V V p t x r y F a p K q y K w V W S e i T U O m m X 7 8 Z H A J B + x 3 5 Z + a 9 a t K Q Y l O t l u t / R 8 Q 2 a v h A u a R W C 6 8 u d y b U B I k f 3 6 8 s s p e G M + w 7 / 1 R H X W I / P y 1 I b L U 5 + t z v Q j E g g D w k N n X V Y + I z z Q U k T 6 v C l u N u V G A h T b C M G x U L 9 t I z R 9 p 9 m 3 w 9 Z z W S c H O H o C k / z b u l p U h + / e y 9 K e i C 8 O 1 S V r g Q e 6 k 9 R g S 5 k 9 z I K I x L p A A m 0 V m X w N I Y m X X 4 f B v n C d K B D a a j g X + B r P B Z y b U T n M Q D q u V W X n 2 m u 7 H l C x e n Y s H 4 N d X g F T f v f X j a R M 4 z I O i O 2 1 1 k O V d 5 R Y V f 7 I v D q y q g B C O q 4 5 A I a 0 y N 7 B I y u 3 K z Z L Z d 7 I L 0 T T M C e x W e 7 Y 0 0 5 i 3 X o i j b C d M T c R U 7 Z u Y k q / c m W L V F 1 X B c i 2 t H B d e e N j z Z V X 0 0 1 e N n B h l e 9 K Q m c p + w r N 2 6 h 0 J A C k c W Q N F G T T R r o t Y H M y T u 2 V 2 m c b 0 e Z Y D 6 w O 4 K V v 9 H + t w 6 J J 5 U 2 y W f 5 Y D t G n h R 4 A t S M B l J 8 9 F 3 P L b 4 C w 8 Z P M Q U b l s x J 3 L T M p H 8 W l 0 + n T 6 U L / p X v 2 u E N o / C a o J O d 8 3 l 5 P U j C v h X C K W 5 2 6 n Q 9 f y 4 f h X b 2 Y U G E 8 h Y 1 d G H g t + k v K x M 2 1 5 U j O 9 F L m U l v X B f L T x Z c 2 W L y 2 o T Q A u u 2 K l B 9 z 8 t h z H O 2 A R G d 1 b M X Y n 5 z x t C A 8 r k u 1 G 2 H 6 3 X x G u R Y A F f c v T 3 D 8 s 1 1 G u S V E R M W 0 M v M A 0 W Q 9 k C 5 D 8 F z P 8 2 M + n + + X d w e h h T Y R b V C t T O x x Y Q X 0 F e m x E n t 9 T B O b n I Q l N L 5 V W b 6 5 s 6 Q B b b 7 f 8 r c 8 0 B 2 k b n b u g v E A V F h d G 0 B V 7 c p / m P G i a t 2 i e / I M 9 H y f v f h K M s n Q V E d X j A F h 4 m C q s f c d y x c 8 g 0 j 6 S s T r m / P f h H c 9 y a n v 9 r r y T 7 q 2 1 + T N F 0 + s L k 0 S n / F 9 L i b y r 1 Z j O 1 t P b L Q E 9 C y N Z 6 o H Z U A L L D 2 E T t n D I C 6 T g C U m 1 k E S j B c T e z 0 a i r P D w O 1 9 i L A 8 A 8 V p + a b k 9 5 Z Q e 1 x H z C C J E g a T d f D O L b Q r Z V q s 5 j 5 E s a Q h s Z / 9 O f 2 W A + g m s s C U z g U w h E V G 1 y 1 9 k z B F i 0 C G q F d f A q q B C U F x i O Y L x + y L s R q o D j p 8 q T 1 + E W 9 1 J C 8 1 R W h H i o R p z 3 u B a b s Q N I r 0 E J S 4 B 1 V k 6 6 / S r w U I n H N 1 i M w 0 J K e T G r w q K b Y a q 4 H 9 V F j Q 5 p d 0 j c F h d j / F X y J C G P 0 d g E k a L J v A n C H a h w T N s 0 m 9 U b X J e C I G w D x i 2 + h x N p e v 6 W u k P A S v + 2 q J / C I B L K n J n J F J s 5 Z D X 0 3 F i C o 3 a e L H k O 9 0 O b D B / M x 3 V R r M Z j a d t Q U k + U R 1 l p k o J W m H j n x E f K t d C S + O L Z u X + p + X w b E f x g 3 J L e b 2 6 + u w 8 x H X K v W G 1 W R 6 l q V 1 4 z g Y T 1 S U d 6 0 k E 1 e M O k 3 w q W g 7 + X 3 + v h 0 9 J x M 1 q g K G L N g M C W w U S x v N M d Z d B b N T J z n 0 T E l C x E P d A q d H 7 O R P U d x K R / 4 g b 0 O R h k Y z Q r 7 t s o g 2 p K 9 o + 4 U E 1 m w + U V o E n u J r Q 8 3 + A x s 8 r 2 8 2 5 i 6 A A A A A A E l F T k S u Q m C C < / I m a g e > < / T o u r > < / T o u r s > < / V i s u a l i z a t i o n > 
</file>

<file path=customXml/item3.xml>��< ? x m l   v e r s i o n = " 1 . 0 "   e n c o d i n g = " u t f - 1 6 " ? > < T o u r   x m l n s : x s i = " h t t p : / / w w w . w 3 . o r g / 2 0 0 1 / X M L S c h e m a - i n s t a n c e "   x m l n s : x s d = " h t t p : / / w w w . w 3 . o r g / 2 0 0 1 / X M L S c h e m a "   N a m e = " T o u r   1 "   D e s c r i p t i o n = " S o m e   d e s c r i p t i o n   f o r   t h e   t o u r   g o e s   h e r e "   x m l n s = " h t t p : / / m i c r o s o f t . d a t a . v i s u a l i z a t i o n . e n g i n e . t o u r s / 1 . 0 " > < S c e n e s > < S c e n e > < T r a n s i t i o n > M o v e T o < / T r a n s i t i o n > < E f f e c t > S t a t i o n < / E f f e c t > < T h e m e > B i n g R o a d < / T h e m e > < T h e m e W i t h L a b e l > f a l s e < / T h e m e W i t h L a b e l > < F l a t M o d e E n a b l e d > f a l s e < / F l a t M o d e E n a b l e d > < D u r a t i o n > 6 0 0 0 0 0 0 0 < / D u r a t i o n > < T r a n s i t i o n D u r a t i o n > 3 0 0 0 0 0 0 0 < / T r a n s i t i o n D u r a t i o n > < S p e e d > 0 . 5 < / S p e e d > < F r a m e > < C a m e r a > < L a t i t u d e > 4 4 . 3 8 8 3 6 6 2 1 1 4 7 9 4 1 5 < / L a t i t u d e > < L o n g i t u d e > - 1 1 6 . 6 0 9 9 5 4 2 3 0 8 0 4 1 2 < / L o n g i t u d e > < R o t a t i o n > 0 < / R o t a t i o n > < P i v o t A n g l e > - 0 . 1 4 3 3 7 2 4 5 2 8 5 3 6 4 7 3 9 < / P i v o t A n g l e > < D i s t a n c e > 0 . 7 5 < / D i s t a n c e > < / C a m e r a > < I m a g e > i V B O R w 0 K G g o A A A A N S U h E U g A A A N Q A A A B 1 C A Y A A A A 2 n s 9 T A A A A A X N S R 0 I A r s 4 c 6 Q A A A A R n Q U 1 B A A C x j w v 8 Y Q U A A A A J c E h Z c w A A B K E A A A S h A X x / 1 Y g A A G F j S U R B V H h e 7 b 1 J j 2 R Z l t 9 3 b J 7 d f I g p I 7 M 6 s 2 v q 6 m 5 R j S Z I U B C g J Q F B C 0 E r C t p z I S 4 I a s s d l 4 I E C N A H E A Q u u N N G k D 6 C I A g C B I h N d n d 1 V d e Q Q 2 S G R / h o 8 / g e / 7 9 z 3 3 V / / s L M 3 T w i s q o z w 4 / H C z N 7 w x 3 P / 0 x 3 e K X / 7 f 8 Z p P Y d o l 7 T b L Y 0 W 6 3 N t h W 8 V D J 7 3 D V r 1 c 0 a 1 d T v n e v 4 0 W N + m 1 V 0 f a H f p N N t m J X 1 + 2 0 p V S H O J 2 a 1 S k i 7 r g M i z 6 n S 5 3 p X Z S a P t b 5 P 5 i F f 6 l G 2 t a 2 X M 5 W 3 Z M 1 W O z x 4 B 5 H e n H T 1 n f Q G U + V b M z v q h H T P x v q u p O p l 5 Z + Y j Z T f I 7 X F r n V c L h e e R 7 V W 0 z P h o U S / L 1 X H 0 c K s 3 z L b U 9 k j K Q t b K N 9 Y p q r y r e h o q u 1 5 e j g L 9 e d i l t y d R P 6 v z 8 d W r T f s o F P 1 O r 2 8 D O m P V Z + J 8 v q o H / q O T / L z a 8 r r L 7 8 O / R H z 4 p 6 f P D U 7 V P t 4 W 6 m f z v U 5 n K V W S p Z e t m a j b k 2 1 4 Y W e o 6 7 7 q m N N / T h T f V e q I P 0 6 W 5 l 9 f W H 2 8 Y G u q 3 2 p L + e 5 f 6 F r t U r q a V T + y T / 9 l / 8 q Z P 3 d I A p O h S e L k j f i N o L Z 1 H Z 2 O S t 5 p V u q L B V f i t H p A D p 6 r c b q q M H f h e g 4 G p 1 0 q m Q o g i E 4 D 3 M B s L I + I f q Y j u K 8 X 1 d B a m L c x V y g 0 l + l k i V w C 1 G X C z E E T D N X f Z 7 0 d F J p 1 f V o Z G R l I b A q L 9 U Z o X I / g Z G q n R I J g 7 L K r l L p W Q 7 S I f 2 l 6 h r L z 0 G b 0 p b U H e a k f H z n H u j V k D 4 L b c 3 n L h T y q 4 j h 5 1 a r 1 7 3 v A M Q j 1 Z V + P V W a l I U 0 D 3 S e 7 3 r E 2 5 p + O B 2 Z t V X e j o 6 x Q A E g Y X 7 S A I w I m f m q J M G Q i E d W d j K t 2 Y n S P B B Q A A v d Q J 1 I g z Q R J L T 3 R J + v d R / 9 S 5 4 I 5 S / P A t C W a 6 U n v v z O A S p J A F L J V q o U F d t G M D m d D w C n A l 8 E F U x I g 3 L Q A J w n G Z i e T r k v 8 e w S C a W G h x E o E 9 q J d O l M 8 u M 3 B z c 7 s + m g Q 6 a 6 T l 3 q e n g 8 H g k A d Z V D F 2 4 h w A H T o C n o b A d z B h r y j / X g c F S J u I f 8 d i G e W 6 m w q 7 Q s i V v 2 N C O 5 c N B v h B J p x v p Q V + 5 D U y K 5 k y w / 7 o 0 g 4 + D 5 X a m k i s x n U w G q o b R L V / V q K o 0 T A Q Z g A R I 0 f Q Q U 4 E a T k A / n n + 4 F j U a Z u J 9 z A K a n 9 g M k + + 2 S d e u J 8 0 W 3 W f Z 0 O r o H c N G f A I h y r 1 V f t A 9 1 d W 2 l 9 E 4 E U i l R b w v K p t u c n / T 1 u 0 U 0 D I z q N b i D Y P T x X A D U v T A 2 z 9 H o N D 7 m D A y N l H F g 5 t K D + W 8 D 6 w 3 S f Z Q p E l 8 x 9 c 4 k 0 d A k d A r 5 D i T x 8 l i h D B B m x i q t W K P Z c g Z a L j C 5 b s + c T o Z g L u p D P S B O 0 9 k I E M 9 A B / U + F o N Q z 5 1 I 7 V K S K b r X T B 0 Q 5 A V T x h L B U C 6 5 x V y 0 E / l j Q s P E f O c Z j l g F r s G w 7 b e w B K r V m p j 5 u u C A F k 3 5 y W E w x 8 g P 7 f C 1 z M H j g d l X + o 4 G e S Y z 8 A e 6 B z A j f A A R 9 N V 5 a B / S e S R t V X M 1 W p K Z u 3 Z g A B o q y i c a C u 1 6 q T 5 c 6 h x 1 x q z + R C Y f x z N p S w B I N b m f v F I J + + + c h o q 0 M 8 O L k J w u X f W d y m N 3 0 8 m 0 Z 1 + N H U 0 Y C O m K B O S Z X a Q 6 z 8 G s p O G A 0 W + X a k o H 5 o M B 9 t S p l z C l z p N u z A u J R 0 f C 9 H T Y a D T U N Q R A K m b S w z l C 8 u J / o R j g M f L k W U w Y 6 h T N K p j f Z H 6 4 R N e B F K V s 1 H e 3 + o j B B G r M z 3 K 5 4 m X G / 8 T 3 o N z k Q d N H T U t V y B v g L F U W z 0 v 1 z Q s P i P t I C w G D o M F C o N y p 0 i P d 2 C Y 3 S C d X 8 u n w 5 / K E R q Y c l 2 J 6 2 n q k z 1 P V k + 8 A C D O Y u n J Q N u 6 n v Q A d w i e C j D z R X p V S I i s h m L i A F J M x + s X 4 n 7 Q d h F V A m e l T f D P 6 j G v 0 M + W h n X Z o 4 u 8 2 0 c h u n q h L Y Q A H E w 2 h w 5 n f r + V I L U J D 7 c J 8 k W C m y A 9 8 0 s j Y 4 9 j 3 m B m Y D 0 h 0 J D c d C g P A X H Q o H Q s w p i v 5 D P W + M 8 9 q t f Q j z R X u l Z i B + + h k h A P a C X C S D 5 0 M k b 6 D q 4 w f F A C Y 6 h w d z r U I Q q 6 R / y 4 E M G C e y P A 8 R 3 v G 8 t O m t F X W x B I E f t t G 4 p l v p E 3 Q K m g 3 w D X M h M Q m q i h h + i 8 p d B J t 8 N k j a Q m Z d J 8 e q U / 3 r z W k 9 1 t W V u p 8 I B D g e 9 E u X E L r A D 4 I 8 D f U M R W 1 V 7 s m U G V t S 5 9 8 r D R J H x B R R 5 6 n v r H u 5 I M v 7 / e o j + E B 7 i O P 7 z 3 R 0 I f t 1 P 5 A Z g D a g P a m A W C 0 y C i R a B D U N 5 2 x K z l z 5 V q S N G l w 0 o j J Y C 4 A r m j + Y R Z y D Q b n e H E h Q 6 t U l 6 S s i 5 G q N h m P b e E R N y U u g j G w 0 W E C 0 q b z Y C x n l C w T b i U t o h I t 5 Y W m w F 8 g L 8 x S g I z 2 x U R C Q 4 S U N 1 E s d a B 8 W 5 A 3 j P d G u + k 3 4 N u e p p 7 R 9 S N J / B 8 K D E + z K B 2 m Y E y f s q O 9 k P Y Q 2 r K q i q K l i k T d I Y D 5 V I D B X 4 L Z j 1 W 3 + D x E m W g z I p O U n W u Y c 5 Q T 4 X Y + k V Z a l / V b 3 q z K Q R q Y 6 / A J Y I p t D b C 5 H + 0 F I F / I f K S 9 S Z 8 g B j w j G f j 9 B x S g O e q m b j t j X 9 O Y N B Y M R Q d u Y o A i s 9 x F N G r x E e 8 w 5 Q m A Y G I 6 h M 7 B H H k u 6 Y c W h C K o f / w k 3 P v r U 3 q w Z e 1 u 3 x a S B C v s K F F P n R u Z a B u R J 8 w e T S 7 3 X 5 Q P U p d n k b y P l T / f 8 3 5 f k c o q 6 D Y / j r J u a h / a F 4 2 z 4 d I V c Q 2 N G g U D Q H J w h s t + r n 1 D Q M j 8 X F d k l i V v 9 B P 3 Y I 5 9 f h r a l 3 o B G t o Z M y 5 P n C P 6 i a U A w Q c M A w B m w L j f r T t o 8 d c A j K w / t 2 Q Q Q A D n x Z n Z z 7 8 x + y s d + L y / O Q m R Q z Q + R c W k B N h f 6 l 4 9 + v 0 m J B K B i V e j k o 8 / w G A w N n a 0 m 0 L Z f Z u I T n T w q W H z U q 9 I g K P I Z P g 5 S D Q C I z A K n b m J R 2 F E J D V l e q 5 O R K P g 9 5 y O 5 e D W W z a f z 2 w 8 G r x h 9 m w i 8 o F x N p F L U 8 q o T 5 g W s 7 R Q 5 C t C Q y a q 8 F 3 B k U g w L H f S p t S j S E h 9 f L u 7 q k A b A v 7 Y l n z W 8 G v k E w 4 m 6 R t 9 A C B + 9 l E w r e l L T D + 0 y U u Z x 5 5 f V n z q T b u i H b 1 8 O o + W o e 2 5 p a I b + J s v U z c / n 0 j b Y S 5 j n h I N R J g 9 0 r l P l D 7 3 / 0 T C 7 w c y N R G Y L p R 1 E j 7 x 9 L + r Q Y l d i U a l Q 1 0 j S O K 5 a a Z z q G g a d 5 O 0 j Y T U Q Z N h A t B h S P b b 7 o 9 E A 3 M b H Y 5 J x h H D y X R 4 n p B y R J J g 8 O g b E e 6 n z J 1 6 S c y A K S J z c L V y R u f 7 b S T / O v R 6 d p t / Z G 0 A 4 K g z v h f f b 6 2 7 7 B f 8 u b v y i 0 T 6 M D z 1 K z 4 C 4 2 L m I l T 8 e n Z + F y q L 2 d d K e K Z G a a g D 8 o D 1 u m R p Q v Q x V f + 1 N A i a h P 7 i O u c 4 u A 9 f l H P 4 S N y D D 0 d 5 V 4 m E 7 u X K j g d V L y u W D I E g B B Q C D 0 1 6 K M C g F e G p L 6 Q Z 0 V L 0 F f 1 N g A T g 5 o r 3 / S U 6 k B k T j R q j P m o Q H U W t Q 4 N H g j k g O i R q D x g Q K b S L 0 O Z 5 I j 5 R Q k J I M w D D O U w j / D o I s J G + p 6 3 f 2 O O Y R D 6 2 p B 5 q N l s 6 2 u p 0 x m V U 6 F 2 o U E b y p a 7 k S 9 n o + N t w w l i Y B 0 R 2 1 F C k F d s H Z n Q / L i O S I G + u x T r f h w B 0 C G 8 n S u d m e f g 5 V Z r 5 0 5 h w + M o I q Z + / D F q G 7 1 g L + L B o M c x h t C k A B x S Y a p f z i o 3 U S Q x q R 9 C 6 M N Q 9 t J s L I J 2 j L g h Z n g d g 1 I k g C / d x P X v 0 + 0 s 0 D h 1 + I e d z s p S T m z X M V x c y A T M 7 m A 7 B N I P p I R i C 8 x C N D r D o s 2 0 8 R i P n m Y j 8 8 F / Q c H Q k E h o N x W 8 O z B F 8 G M 9 b z x I t i t c g 8 k O 7 x Y 6 F q R r N p s q Z y A S c i 9 n 1 c K 4 c l I l n o / l R J N K B A S D K A h N s u O 2 K y C 9 R Q v E e w E A 9 y C M v h P I E a H m A Q V E k f 7 y P t s D M J n / q H c 2 s + 1 B F C K D P q P 8 b R G K 5 B N F C j E H h q 1 F m x p 6 Y c k R 5 S O M P H w V / C z 7 g H j S O X C i Z h C V 7 u l + 3 Z 7 2 V m 4 e A j i E V Q I g 1 g 6 D A n 8 K c x M + i X t x H 2 3 L A J 0 x L + t 6 a f D D l 4 1 7 q g 3 B M O V m s S t 6 Z t A Q M R X S H 6 U v w J o 3 B N Q B F x 9 P 4 q H z 3 M 9 R w M D 8 S i P v 4 z V E k p B a m B N f Q A B E M 9 C L p Y Y u T N v f B f F y P I / K Y K p g X A C K f R j 4 f m B z G C s 4 z U 2 Z k / h E T V 9 l K K v d S w m K q t B P 5 G / C X z 2 K 6 8 f x 1 + a k / l 6 7 K K H I g 6 i T n X f L P 5 l a v M 3 O j 5 H P k M I 1 o B x + 3 0 X M w H P d G o v 0 I S X M N R q S O s f z U B Z M p A j 7 W c V c q K Q E C B v R h X Y g h b z + v N O j n Y l q U I Q p B A I H G p y 8 B G / l z Y H l w D + e 5 j j b q N M t W S y d W r j Z c 6 y B I E L S U n / 4 Z q A 2 i b 0 Y e + F Y 8 h / A j I M L 3 r G j f T 6 L R i K r 9 Q K D 6 2 b P U n U a k 1 c t L H F 3 d I P 8 E I o D A e e 6 H 3 N e h Z b K O c r N P j Z 9 n c h o b x x Y p y H k 6 J 6 + l I B q d d L j H m U j n A B f M h + T E l O B Z J P 9 Q + e O r R X N z E 1 W q V Z 9 R g e 6 Y r 2 Z i j F B + w u S 1 p k x a d W q i O s n d C t y U f W R f P X 8 Y G 7 + A M p A / z I G m R v J i / j D 4 i Q Q G O D F 5 Z x g x D 5 K c 8 l J v J s R G p x w h A Q P y m 0 h i n A q V J 9 o H w U Z b 3 g d M E L N a G l U e S n 0 g O 5 b r N s I c + 9 m z 0 P f k H b U j / e 6 M r 3 6 h H A C f 6 / Q T A q s s 0 / p i s v a 2 o V 2 o m 0 c F 1 T 8 M b n 8 q 7 U d f x v a h r h y c o 8 7 f W w 1 F Z Z k A S e g V J k U 6 M V a B d B 5 L m i N 5 V p L m n K d x G X O A c S D G Q j z c r G s Q D V X k A c D C Q Y M D E h g L a R c Z C V A C U v o e J m A c C l D S s R C 3 u T m R g Z W O R Q u g C S n T N q Z j j h s + z n I 5 t 3 J N 3 7 0 C 4 X 4 H v b 5 T N / K E e Q A J 0 3 T 4 D X i 4 D w a i X J Q Z E I B h H 5 z U s 5 S f e k / F f e 1 m R W m G O W 6 R 6 W A c Z y g 9 S 1 0 I 9 d O + P B N D 1 9 v K T t q U z + U Y o N c z u x J J p s n a X o + V g H 7 l Z 5 x s I u 8 H H Q g + + p L f l B O + I M x O O S l L k X A L v j g e 2 j y p q x 8 I 2 w f h S / 3 1 4 d q X W R R E F p m + B L A Q j t w D L 3 y v o 3 y x o x n 3 8 c F a n a M x f v Y k g I t G n m W m I M x F W B 1 p R E P 7 1 B T d v 5 W x d Q A k z H q Y k o P x H 9 d s X N c N H I k 6 V O Z 5 k G D q z K 6 A 6 0 w p h g B Q d A j l 4 D d l / T q L Q k X m 3 k Q h a J D a d D I R w 1 f 9 N y Y h t / M c + d a V H g I C 6 Y m p h x Z G w 8 T r 4 J A 8 E Q K Y n P z m 4 D p M 2 K z J r B T n x y l Q s S g 8 y z 2 U E W F A H f h O f r Q H 9 Q H A P L a t / K F h s 2 N H o n 4 r C Z G 9 V k V C Q l p E Z i j 5 0 2 8 c L i w 4 s n S j J U A Z q B 9 l R D M h U P H x a B f 3 + 3 I E z q n z y T d f 2 K V M h p o k F B O W C d s 7 + H Q D / i 5 Z o L E h + t 1 d A q U H s L 5 z 6 6 H u S z T m Z 0 d p U M 0 Z q P I N i T Q / V Q P T y L 5 W S Q B 7 u i f T Q v 7 V p 4 e p A 5 F O o h H z R K P R a Z y n M / k 9 U B p M c 7 k i X X e x J k b N G 9 d + v w 4 6 A h P r I 4 E b Z k b i Y / a x l o u 0 Y V y E A m V 3 R i k Q o e 3 x a C R Q V a z d 6 T q w N h F 5 o a k Q E q T p 2 l u M A A j y T M 9 5 T B u o U 1 v 6 2 q h 2 W 2 J 4 B 9 K j 3 p Y O O B 0 M T 5 A 0 T M 0 5 h M W m O t y H Z r O p 1 7 V a r f t E W M p L f e j j a N b B 4 H F W B J q J 8 8 V s 8 V 2 P 1 E / 5 8 6 S F Z d J t J P b r 3 3 5 t n 5 + u V f a y 1 b t P r a W E c B c A M P W g 3 2 L f 4 0 e R F 4 P B L h x D c t 9 f w p l k Z P u v j 0 s e Q k U 1 0 3 i R k N 6 E W j / u q 2 H 0 H W n 3 a q i m 0 j 2 M M d B B S G x A k C e X x j p P W n Q a D e 3 M m l 1 3 k r m Z k F S u 5 / C X s M 9 5 F s b D 1 L z C g X 7 j K i B N o 9 b g v j y R X y w L s 7 H 3 + v s + X j S d C o n b S G l S T 8 A J k Q Y m W 7 4 d M F G 5 z i 0 I H B g 3 z t K A y D O a T J u I K k Z / h P r w m 3 t f i P G / O g v t + q 6 E t m B p C b 4 j U 7 E A K F E 6 2 h C h Q 5 t F g R G Z n 3 L k i e I 7 s P W F d B g w J + C B 8 J h I 4 1 9 c D G R 6 V 2 w m d J T E E L V 0 K D 8 s s R 8 + S u 1 5 P / V o 3 9 f n 0 m I D m Z + X q z C b R Q 3 D A k h M 9 u / 9 w C 6 N y 6 A d j E w 7 A h A a P m o p G A n b l w O f C y l X q Y S l C z A 2 J h w B A 6 R 5 N O c g 0 o L J X C J n 5 w E v k i o C h I g b 4 y T u 2 / C A C F 8 G b Y H 5 w U E e V 5 J b 6 Z E G 0 U D u D 2 W / e Q + M S R 1 c 8 u o c p h B m G T M q i M r x u 0 i c A Z y k y c E t 7 p h n t 1 I P f C H S j k 4 7 M x T m 8 2 k W B A n n M Z c Q A l s U 4 R t E P t S F O v D d / Z 7 s 2 t s Q d V s u 5 i 5 A 8 G / Q F N E / I n 3 q S P r k S f v k K Y K H Y 7 V a 2 W Q 6 t Z m E 0 H A 4 8 m M 8 H l u y n P p i z 1 o l c Y 1 / I B u 5 v B 5 Z u 7 y Q O T m X 0 F p 6 X 7 + W b z C 8 v N C 9 Y 1 v O B g L j S q 6 C G k j 6 6 X t v 8 u U J h / 8 H M u O i / 8 I 4 A s y E k 0 p H 0 A n / / m u B Q A y L 1 M N U T K R e G F A k W g h j w + Q Q H V g k J B S 8 R o c i 6 v G f 5 O O 6 d o j M S 8 S P 9 U l M M y r a 8 D A s a W C y Q D D v N z I J m d E c Q Q v T 4 6 P A S D B Q p O l 0 L A n e u P J 5 b i O 0 K 0 x O m a h / 1 I L 8 p n 6 e t v I b X J z b 3 v 6 B X 0 M g c W 8 E 5 q 7 E M 9 Q Z Q L o 2 v s e z m 2 g 2 m 6 k t S r 7 w E G G Y B z d d M 1 u k 0 k x 8 u 9 Y + i 8 X C x + 9 g f H 4 z x j a T 5 G q J I W g v t H F N n Y R A Y g U 1 f u k a s y J Z 2 6 u z g Q 9 V M I N / K Q Q P R 1 N L y 0 i j u s 2 T m p W S h S 1 m Y x s r v a P 9 z o c F K B o f 0 6 4 k x 5 P O B V Q w v 0 + U z L T W / / 8 l A G N 5 d G A A Q t R I b A D A 8 z A W w I w d m Q c Y j M r 4 F Y 6 r + 0 4 w T 4 7 p Y W L s d 5 4 l I l b k L c r h I N M F w E W Z f v U 6 5 B 2 d Y P L D Z A R g l C t S 9 C 8 w i z Y R j O 3 L R v T d A a X y U X / S 4 d q 1 x r s u 1 3 B w a b 0 9 Z f 4 O h M a n n N Q H k L o W K V b 8 H g Q g 0 C x o E C h q n Q i c C B 5 M Q 8 5 R Y 0 A D U P h k j R f t R K U p R m c v + J 4 e 1 N l Q s J U a i / Q Z 3 W M h 4 s X l w D q d l j R 3 W y 6 B z i q d y X h k X x + f 2 q P D v Q 8 L U B A M 9 N k h Q A q g o m 3 h M h i Z 9 v y 1 G P j X r 0 s u p W E E T A V A R 6 Q Q c 4 5 7 u B a b H s n L e M W h H H 6 U A 6 D Y R 8 P g P C E p c 3 1 E h B H A E W F E 2 + U J h 5 b 5 Y A Q k 0 E K Y M z D 5 L 4 6 D j 4 d T D H G N A A p l w E + I N J M J U x G 3 b g M U W o 2 B X 0 x X N D T p U G c 0 x j Y G H w 2 H 1 u l 2 N z L a X Y T 2 Y D C b + j L + h L b F / 4 C 8 3 d W W d 2 m r O M 6 W i G k D c N a u Z S 7 O z 1 x D L W T + L R a s H V v 5 9 b o q 1 2 g 0 x e z S 1 O p Y g M M R t V A E D g Q Q F l N p O z U G Y I u E t t 4 W Q K E 8 H J 6 G D t w E t C + B j L H M m v O p T O 4 P D V A Q Q O n U A 6 D Q F G g C h B k a B I D 8 5 q T k z A 3 R u B 8 f 6 F 6 B B A f 7 T 5 8 H Z g A A 9 D f M e T y Q v 7 E K 6 6 2 I 9 O 0 T W a j q I m D N E Y E A N h g B n E X C 1 K M P A Q k a A 4 l O x I / J n J 8 d h Q g d R G f R i Q A O R z w y 5 W B w E Z i J 0 d 0 C U U 5 A T x j 9 h s + W I 7 Q W a Z N e T B P J W 2 9 g R l 4 z 3 H 2 I 9 I j 8 E d x B q 9 K G U c u H m S h B W O X 9 G 2 a B r N c s W 1 n Z X I C Z z 4 P G Q f O 4 p l D h a w J O u 9 W 2 V q t 1 p X l Y N 1 U E T f z c R O R J I I J W x 9 T z c z o I L s Q h F Q i e Y N A a P m A W e l 4 I 0 G a M N c I r u A n w x A c J K I i 2 Z h n D s 3 7 q D E 7 j / P J V S f 5 K 6 p G j L 8 7 M 5 / s x 6 y C G g O n 8 P / 9 B C F g Q X k Z C x f E q t M Z z N b j 6 3 s e a N g 1 a A h T C y A C 4 S A Q q C F i g j W A + 0 u Y + n 8 G h T 8 K 8 k Q A U + W O y A R L y X y 6 X N p 2 M b Q 8 T r c B I 1 I 2 8 3 d z K z u U J w J E f e T F g G c u H B m A Z R 1 O M e x t F T Z K n K M 0 B w U r o X 0 j g V M s q S M r v t R 1 f y J c R c A j P 4 6 M Q V A F M J M V g M k C B 0 Z v S N t G 3 A T g M b P u M B p A p u g 0 0 d x G A Q r u 1 c l u 4 A S A E J q n S b l + c h 7 5 h 6 Q b C N w 8 o K A o / n l F V P 1 x A Q T T O Q T t 1 y Y N Z 4 u N A I 7 M / e q a L u o a J 9 P l Z y V e 4 Y k t j R w M + B k P x o x q 1 M G L P f W s x O S b U g c B Y r d + / k + k 8 G B r + Q P v 4 B E 1 9 9 2 k + k u h M o c k T H U 9 5 Y X 5 M w 1 S M y k C v M 5 7 M v j y j M a k T b Y y Z S M d D R R C Q n i + u k 5 n K p F E / J 2 a b T k b W 7 f V v A C R 8 8 j t o l e v f H A I K I H I f J k T U O O L z H I A h m G N l g a X h Z U 6 S l c z R m u 9 P y P W o a e I R C Z O M s q K d 7 y L a F N M 2 7 2 v m i X K x f w Y T j y N A 8 0 T 7 / v Y 0 p I O V w J j T X T 3 7 w Q O q 2 0 x d m d R k 5 O N X o Q k Y 4 6 A j Y F R m T v z N S z H 7 W C p o d i Y G q E q L V F y 7 w f 1 s a 9 a R c 8 U E z r I 6 u d O A A a 6 l J w c T T K + Y I j s X O y a e R + v U B V D y x U z K B y G Y F e D m U q E 3 G Y j G n G K H I o h x I 8 y j s p g 1 m D E 8 E P a X q A o o + A 1 5 x u Z a + C T P x C N k A I o 9 F p C 2 g G M 8 G o r J 4 + B u u D + C J 5 4 j n 2 i O U V d + Y 4 L h z x E 9 C z 5 M m N E R 2 y J / Q J S b r 5 t M 1 j y R L b 4 o l k G x P Y q E z + Y D 5 1 L a c U p X n q j D A p N C h G k b y x I J I G G e q j m v t B Y a i b Z B 6 L n f H W 6 9 o g 8 a U F B s Q 2 z k H z 9 O v a M A E t o C B 5 6 5 g L 8 9 T e 3 0 f G T j 0 9 9 a W U z W 3 z + U e V d 2 7 Q R D A S Y S I i 0 a H F u 6 L h 8 K j R b S v 2 5 2 s W L 8 k v 3 H t d R 9 C s L r M D / P I Y H p c D o Z 3 c h d n I e Z n R H V w W u B G V O t 3 + Q 3 + Z F / K s 2 w d g 1 A R O s 6 Z w g g e F E 9 D X Z H i q Y p 2 u b G t a s n y a + c g e L a 0 Q / p o 0 X C / c U D y n / f R m g b 6 o z J W i u v r C n G 3 q Q t 8 k Q 5 o d u S 5 h Y C R L + R h g F M C C i f W S 6 8 5 o G V E B 2 c z W V V o N m 3 q D I R P h K g o q z w B u n g A h T L 8 M E D K h I g e t T F 3 E n s c Z c g A w v b g h O P l P v F i 6 k N X v 9 W Y r F q e 0 c / s B 8 d 1 e z 5 g R j U + z 4 0 o U s 8 N f j J i N 1 t G Q 8 J 5 l A 4 u B 6 Y 1 n / z T O 4 a Q B n P U 2 c w g F r i / F o d 7 c 6 2 C i E K p t T C J T 9 I w B R E C r N h I 7 O x 4 c P A w B l j o w 3 i d 5 2 O D H 5 1 r A U I 1 b t E C C 6 j e C 1 + j 7 T p 3 P s g 2 g t m p R G q 6 d S 3 R W Z W / f s g B B v T y m h f C I 3 D k E b U / p F W c m x X 6 6 X V W 5 t N P w h T E 8 2 E f 4 u v i 0 + 1 q S k e A J U R b c P k y 1 Z y Y o 8 P + / b R U V M O O g 5 w y Q d i / + q L i Q 1 f / d K q / c + s 2 t i z R + 2 y / d E T a R L 8 j V z D Y g o w 3 g M Q i x E 1 w L O J O A 0 w 8 G H Q k G g n g F V K J A q t K s e c f c b p U M Z a W K f U l N Y q O 9 D J A 5 8 n + k a R Y J 5 M c W 4 H g Q D p s u D 9 8 O 9 b E X V X U f 1 z P h 1 b Q 6 a q d J V r F R 8 Q 1 k X M L q K f 2 3 y h 2 w i L I X 7 S J s i O N 0 w / d R o B n Y Y A d R u Y A d Q r 9 R E B K C K 6 + e G T S J v h + A E S 7 Y 7 R h A T 6 4 s s v 7 S 9 + / r n 9 4 s s L O x 0 s L F W P M t U F g j m r 0 g Y e + d v Q e t y G O b A p P M 2 z m w 7 8 C m Y 0 d 2 W 6 9 X R 4 X j q P S f d q 7 I b j G 8 9 w D / f y H N / j e W Z 2 D O c l d X p 4 n n N b i f L r f v w 2 g h + Y j 9 8 m w d C R w S G A E o c G m K 1 C 5 J J F i u x k R D A A X y m u i k X g I G T u S w g V D g a V 6 Z M i m C D a q F Z p e I D i N k J 5 k Q b + M x b N p p Z 9 0 F A F + t n T t U 1 k A n z + c m C L 0 a k 6 Q 7 p A Z t 5 a p l Z S l j m y 9 6 n t d Z r 2 p J f a p 1 L 7 b X z o Q s s i b T n g 5 d v 4 O R J j Y P / 2 h d l P n x A k C e e Y W z c Z T w X a q u 1 3 a y 7 F q y p L 0 F D B z 4 A J Y V L C / H k N h V C A W e l 0 l h V s L Y L u Q Z K c i F m Z Q I w W Q P L y T C Y / 3 p n w D W F i G J E h g / g b J i d v p D z f u T a a z F w g Y P Y h X N B I 1 A + w e 5 3 0 n Y F v f J d Y X + q J O c a 9 + b m W 9 y b y H 1 1 a Z 3 / P A X Y b A Z h t d z w A K k f 4 T B / 3 U 2 f s w S y x F 2 d M o g x j M e t S 1 a b r h i W l m g 8 K w y B / u F + y A w G r q K n o e C b U 0 t l x O X g k b + y s x f P 9 F p d X O K O J C N m y 1 3 l D D 0 + W N X s p y f 2 0 t 7 Z e b e 6 R s G j r R + D m i W d Z 3 g C D E W 7 P 5 3 + D C E q o M D O l g b m J N g B U 0 Y 1 A c 5 H G L k J h E 1 H / X 7 4 K w o E x H O q H K b d t J s J 0 v p b Z P b N 2 u y X A X D c q p t Z r l Y 9 B V 4 Q E g C L A w I b 9 1 J 9 Z K s / w a b L 7 3 4 q U z l I F X Z f X 1 l T + u 1 A M 4 b O S t 0 K d d O 6 6 1 A / k D O C h U L X M v n y k P / m k b v / g x 1 3 7 h 3 / U t 3 / 0 0 4 7 9 v U + q 7 q 9 g g h G 0 w A z B q c 7 w c U U w o a + j 0 i e z x 2 E I 9 m X A + c a / 8 p c I 6 D v S F 4 Z A + j o w s u c h 0 u A 6 E p 2 R e M p 2 P m W l 8 U 2 2 K T I m H Y w f x w r h O y U 2 K / K U X l P M 4 H s C q s z w M U C i T O Q b y 7 Y r e f 4 6 Y L a / f R 3 M O B q I 8 s N 4 s X 0 3 0 T I t 2 5 x I S y F D y o Q G Y g E n / q U H B 9 R + C D X q y X n S v 0 8 5 n b i f Q + n x W W 3 U b C n H L f V X u 3 D D d q K O D F s w A 8 W 3 L l D + 0 F 1 N / k E R H c J + E 4 A A o t 9 R / 2 g N T K D H e 0 x L S a 0 r D d V S Z 8 K A 2 2 x p l 6 T q f B i S z T 2 I N s F k A A R t 4 E f W G U x t g Y n z R K S P M T I G n N l o B k 3 n a 7 b K 0 i i S 5 I x V b W I g H H l W j j I + h T a 4 l S / o f Q 7 l D Z N z k C a g p 3 w A A E I Q w E B 5 / y c S p w A R h H C 5 U J 0 A E f 4 P W h f J j W a i 7 g g S w L C J y J e 3 V 4 R x q u x k j h B Q g J 5 t w N h k k r 0 d e M s G Q G N / C y w C y r i V K C j X O W h r j v h b + X L Q 1 8 y H Z N p T N I c p 1 y a w I r R 4 F E 1 J G J 2 + 5 J 4 H Q B U I x x y H f h P R s O x C S 8 c x n Z / G 3 B S Y i I R / g B S F Q W E q Q r Z o O D S H d 1 D W W f g D d B B g u 9 F x 4 m C S 5 3 4 2 Z m w 3 C I h U B a i F O n H l w M / f z r O U D X A i A J h G t N X c i 8 S c Q z E T z / I c 9 Q e M z K z w y F q m E b h 2 o 2 w Z A T J m l x D 5 Q j g w X x H i 2 R 8 + D j M M E A b U H Y B v A g s E 4 G h L d j X K v y Q h E v V B Q F E f 2 o N 0 + E 0 5 E T p o M V 8 0 m d 0 f Q K O b l K 5 / k i Q X 8 3 W g L N 7 A O u m H / g m h y 9 V c t + m 3 n q U o C A h 8 v E g k w X n K A d C Z r Y K 2 o u 1 J 7 j 1 T v s T f T Y K h N h G S u N t I g 3 R C m n L f l n s h G B C G I + o H g 0 E 4 5 G g 2 p C v L 5 V l n B c i Y T Y 4 P 5 w Q z q A M T Z c h A / h T p p 3 N l c Q A z q l u N s l V L S 4 H q 5 v b E M B k g x q e A 8 d y 8 y q 5 t J W c q p S P N 5 l J e 5 Y V J 3 G T V N W d k l R 2 N G / 2 7 P M F A L j R U T j R U X P Z C f Z l k S h C B 8 v g S c l 3 b l A b M S T 3 Q i P i M z C j f R G + A U W X F a q 2 q E r L Q f T u 1 R P V g E R q L j c / V P i z w d H B Q U D R u / u B c I U 3 e m F h K y g 4 q r q l p X H D S b 5 F 4 B C H I O c p E P R F 4 n C P J 9 0 r F O n 8 X y T e S z B H S G Q k F c y G V Y B A Y o 0 y D w v x 0 I o x 9 8 z F n E h x w G D I y E s / D c D A h 5 + g Q A I b 0 d o 2 X S d Z U z y F Y z 6 S 1 F h n T 2 E J m y V K w k o 1 f S Z c e H C k y K O n G N 1 v s S g x O A 9 g m Z d F z + Q 3 7 I Q c W 9 + h v q U o x G y M S 1 x g o R T h 4 B E 6 A j h G 4 m A S / o 2 b Z R C z E L A k E V V W 4 m t R 8 5 o K 3 J 2 3 B J w c Y Q 0 v Q 1 n z n k x f L 4 V O q P I x 1 z 1 W s Y 2 n L i f r v X N d T X e I 8 g 9 e 7 M i Z m H 3 P 7 l u u V n m c 6 l d p D z 9 c K z y N g W M 6 D M K B + P h i v e 7 Z U 8 e 0 J h / 2 7 T L D K K H v r Y S Q a D O 1 B E O J v X o U x H l 6 P U x N D m x r S B 0 a z T s b f i M + C S 6 R 2 3 j + i 0 f P S D o o M e M V E m B + c 4 1 6 l z Q L R q j S j k R / X d H 4 l e 6 + x X l s 5 l 3 Y k Q L y N e Y t E W c f S g C O V u 6 R 8 r s q S o + l i b f / m / / r K / u v / + f + z f / 6 / / n v 7 + d f i 2 h x R J w Q C 5 m E u O H e D t n K F 8 m f Y Y M 3 a s Z q 4 p 0 7 b 6 3 t s C 6 S K f l 5 p F d q a T 9 r d 2 1 + H z m E u N p Q / s 4 f w I d m X D z N 7 1 3 b I E 9 u z V V m R u 1 C H k x d p 0 L / 5 g z K p a P i F R C C j p f A W 2 X 2 / y R k M M 0 v g i I r K t Z E + M W t 6 6 s A f 7 K U + 4 d L 9 J z i F T 3 U m k n 6 l B p 6 o H 0 g D q Y z 0 R r u R L m u l c N T z 9 v g V u f R V Y l k H k i z M z R i T r w C G s r y a 3 Z a 1 9 9 o 2 n Y 9 s y f w a 5 e c M e E + i e m g m s t y T h g E Q m 4 i y X 0 6 W 9 j d f D + 3 n L 4 Z 2 M V 7 6 s 0 W i e P c h g g l L l R 0 Q Y g 4 S w K B + Z a E g B W C U B 8 B w P r Y z B 9 / z R 0 b 4 M m h K L A A K W N T e t 1 G Y A h a O d b K W C b z w 9 V g O b v K k L E o v T D U T i T 9 q a r t D a X S 0 M k I F i p c f K E e M m / z 6 J O x 9 H s O h t O u h A P J n H 8 n v Y c w D C V n o M M 7 1 B I C 6 W p W 3 Y L j j q n u q M L v S 7 O h 7 R d L N 7 X z S R d L x X R r R C S 2 E B C 5 Q 7 K x r k i / V a F q n 3 7 P Z e i y X Q Z y J 6 U M + S m I j t 2 8 g / D N c h b K Y g i z e y C Y j N u v / 9 H H b n h 8 0 7 b B X E 9 B 1 5 4 5 5 b C P a F Q W A B q 6 R f y 7 z s L v R J q m z A 6 l c w r t b E 3 n / M p K D R h 3 D p F g m E a 9 W K 5 9 x z t S j 0 f D S h p e X v m S F v i u 5 r Z g j / S R t 7 y P K r P 5 G a N Z 0 7 1 L t i I B 4 G N j d Q P g y f / g o L D S 8 m q + l R s N x r 0 i S 3 k W A b + 5 a g z e 8 s 0 R A 7 S / z g 4 Y m G o b 9 j Y + D Q x 1 M P B 2 F v o N Y O s G y g v y y d j q a 4 A g 8 j e k I 4 7 G y t t 3 a U z J K i E R J l / Q o + G 0 i E 0 B D e g x t f J t E R 0 O 9 k E P X b l T k o z X V L m 8 v i 6 k D L x L x A V G 1 Q 5 F 4 d Q / b o n V 7 8 v b v S Q D 1 5 8 d h r 8 N 9 m e X M 1 c c n j u u 2 w h H 8 Q I D F b 1 / x K 1 s x v i 5 I C s o m s o F n 6 d y O + m w B k C U u I m i D L 1 0 k n q F O D x p q A / l 4 i v w k G O y q 7 W h I G H 9 X U s u u 1 V m 4 A K 8 F R H D D c E d H 5 g g r e l 3 4 c Y A V P k W 6 3 c P H A A Z M F A l T E Z s d s 9 H H P 3 W O 5 e m s O J 3 N x / J D Z I p l 4 V / 3 y A E M h 9 K 7 0 l 5 5 o v d 1 n 2 u L C K 4 t 1 G / X 7 E 8 + 6 d l n 0 l T v A i b q u F Y 9 i J B W r u X E D W I 9 V 1 i e v i s F w K B t l r I h e 5 W p T Q T I w Y h t w R a 2 l N B B 8 H A E A N F m M p s 7 X Q c t i x o 5 F 6 c c 0 U w + U 1 9 f 5 l I 7 + S D M J j B B B K j q R D G z 3 w + U I w I Q T W k W H N p c W w Z E i G A + 9 o D Y Z F J A 9 A s R I C J u P i V F 3 w E D 4 1 H 4 Z p 5 m x u A M y h O 0 c B A L L L 5 Z v w A T f L j r z G F 6 5 u 6 x 4 J F 7 8 2 B n w x J m S b N I D 2 2 1 h G M j s K C Y H 2 Y h C I 9 E 7 0 v k I n X J + 0 Z d 3 4 G u k o n 5 6 s B X I / 9 E R Y M p Y b 5 r a X W T Y G w u w f y R o n b B T A N s b E r D e 4 i p r 7 + P m C X 0 A g x T i V m B 3 a 4 z k 6 W i 6 t b U P t K o 7 Y 4 D i O X 8 4 U V y r O X a X A B 8 1 1 a 9 I u F X 8 7 w A 6 i 6 E x U C T P l C O a O J u d W a d 6 t x m k k 6 z h S Q f T E F L Z e 1 P N 9 P G a J N t o M L R h u n h C e a x E V Y l + k Y U E O a F G O 8 C O K T v y 9 9 1 j p F / z E E 0 E B v V x y 6 H 6 S F C 7 B y k l S d e z M Y L r y H 8 A y f K D K i 4 l 4 N B F W y 7 7 L K T N B S 3 U S 6 m 8 7 w r k T y C w 3 1 P g i x k p / p 5 p F P 5 I 8 l 9 W 7 s I 9 i 3 E M n 6 2 C 8 P s H Q 0 H N h 4 O Z Y a N f L s 0 6 o c G q U r y + a p g 9 p z I D u Y 5 1 h s t + Z U t m W w N t X E w 4 + 5 F u p 0 Z G y x 2 r M s + 5 y U F e X D f R g + A K h D N x v 7 m X 1 8 k 9 q v j u b 0 8 H b j T y j t e U 3 d 6 x M x i B q J 3 M P + 2 M D G d A h M x K E u g C o 3 l 8 9 H 0 L D 4 E i o L g B 9 K a k D M h X v Y s Y I y L q J H f l z E j B I D Y 8 J K B Y O 4 r 5 g v T Y C q x k t Z X E B e J U / E Z q s G R A Q j J y h j S p s f u Q y T J d m W X 0 q K y Q J W n z i h P N L R H R P k E 2 D v k A z g w 0 R g T Q r u 0 O j r a Y a c j A j L M u P f 9 K A C S Q B W W 2 K v u t I P S x 7 r A K m C W Q 3 7 Y Y m e i v C o + + 1 1 4 E I N O 2 4 F 4 7 I E K l J Q a 9 u y g Z Z 8 9 6 c o p b d t o M r W z s 3 M 7 H S G p A j 9 g F t B x 2 3 g D B l q K e c 7 E Y C M x F 2 s F y 7 O S 9 f V E R 8 e Z T L t g W u h e G E D 3 + s A x D C d C o z W F I l 5 R 6 X l m 1 / z Y 0 m t I U c x E G G s j 5 Q s L m D B h h X b S R i s S j H k b g t e Y Z Q G Q S q r v k Y R C S w C N o W b A f z U L Z E e C k X k Y 3 + Z q y T 1 H B p r b t A 6 X m H 1 C + B z N z 7 Q g h N O 9 i O Q l 9 c g v B D T u B h Q W y 5 a u + b A J x o b B f B + C Z t 3 2 + / t W Z 6 u p p c z A 3 c x p J z Q N b w + v K Z 2 V v q c t d U o j s a U 6 Z y h T k o 4 q H i H y F A 6 W a L B K l 2 2 4 M P n u 4 g n u x Y 8 I G 6 V s I S 6 R E I c P F H N S F M / d R h u u R 0 u o o q p 1 1 H D s O M b x r t o O H 2 d X 3 2 U T A S p m f C C Y i u / h 3 Y m 8 / H p I g o e y 3 G X y q d t c G z 4 A q k C 0 I 1 o D P 4 V O 8 S k m O l q y 1 5 j u 0 y o I / + A o 6 9 g i w J r V V A C V L z a b 2 0 S i c i p t t 1 6 N r G 1 D W 0 w H P v b h x 0 j f 8 R e y A 9 + B t U G 8 B e L l 5 d o H h R n D v Y 2 Q p r 4 v t z s w W 4 g K Y m + i n U i P W / n E 3 2 E j d n g 4 z z t 8 p 2 6 c j 2 N d H J z X w S A 2 w w m Y t K 6 F S J v 7 S O 9 t T K 2 M 0 E C s i d r V d y k S f U c / O p B 0 8 P s + J N f S 1 u p r q l q r N h z c t 5 W F p f p u s T y M Q 7 1 J r L H 5 j z 8 J i w g j 8 c K A 4 1 e X 9 q j X t q o c H M Y 2 w u b z 0 j j 6 z s r a r h 6 Q p 6 V z a n y d c 3 7 S Z y q t w e b z F T k Q N Z w I m X J V o X S z Z R a 6 I / b d U C B c L l b W k N h f p V X 3 t b b x B h E w B i j x K / A v S C t u a X Z F E R z F v L m N P C N Y Y i Z 8 B y T e F v r B 9 Y y 4 R M S R K h E P u c G 0 3 A d Q N 4 w z 7 U p h 5 9 q m j x P d l 1 g 2 w 5 Q g / F R Z 7 j 6 m e B + i / X 2 8 T 9 8 5 J p O h + 3 G 3 7 c j E M 9 u v f q A E U z C F B b P v J p U s l e 0 2 l 5 q Y T 6 U 5 d P B u o N i I y V J a a D q V d t F 5 3 b N E o o n B 2 c y x 1 e 1 Y f 7 9 n 3 b 2 2 N d o N A b U q b S c / Q J K 8 J G a N P k E 4 C O e G j R 4 5 e m 0 5 5 d K O b G J J k c h P G L 0 C H J q R 3 1 A w F Z k w W 7 b 5 b C Y m G P t e f T e I R O I B q O L B b y r i 3 / U D D Y a Y 5 g J R l R i G x 7 X h 0 H 0 O J G n y N 8 A E k R b n s r K 9 L R F h u y 8 B J t 4 Z z I s Z m L 0 A x f b a l a g P l o n c N o + t q G c o T H Z 1 M / H M g 4 Y q E G q b F 1 y z d J w G o i O 8 g f S f + N M a z D G r I u J 1 r 0 e W G P k Q / w k 8 d D 6 O a U u a C j C 8 w W S R P E E R v M I B o 8 L I W w j N 8 / r s 0 h q d Q w 8 c 4 M d F 7 U m 4 m z L T + Y 2 y 8 p 9 O l L z M T H E C Z a c M R M m u i L y j h v q 2 x W n E w q a 6 q X A U J Z j M t F 3 0 I 7 M Q t Y 6 F h E G v t + f j R r s S w o X 1 W Q x J + K p j + T U s r 2 C L 6 x j w u T e p v Z a y a 9 l q 7 E Z b F o n 2 f g D U T S L y 9 m c y 9 w h P Q 4 w T s X C u p 8 4 g d C 0 L J I S A t 1 B k 4 p 2 I l u f A 5 0 A M A p I N z 4 7 c 7 J t b v b X n w Q l f j J d d i x u W E C L G L K 2 X E 4 E r l d 1 f u Z r C c + O V N J 6 f j m 8 R U N H X 8 J 1 q 5 V y s K w E w A M c F D 3 + 6 h f u I 4 p V V A f f / E E 4 6 H y N 4 D K o i m H j p 2 6 7 k 1 c u A z I J N 3 q + F E P L V v W p f g g e A 7 V 4 R T d 1 P X U b j S + v 1 9 7 O T O S J T 8 p R W f w B U g Z D 0 f / 8 P r v f 3 x q Q a S O J 1 1 B l E 6 3 Y G y 3 2 I H l A + T g U p C o M R s t / b 6 z r z c R t M A V E U N 0 n 0 y X 2 M t y C h 3 V Q R W G B i 3 s r R b M r U b E o S R P J Z 7 b q x k N d 2 C g D w b / r C A T B c o 8 g M w m c k E O L z 4 3 S w S S d j Y Z W K w K L S l V P 5 j P W q l W r X p m 1 I T E f u 9 9 X 5 j E h 3 N p l a p 5 d J t 3 t S B A 8 A 8 9 k o O h A 8 j J V 9 c i R Q q U 8 L W W 4 m y i k h N J 4 N r R 1 f 7 + M d E Q 7 q z O y U 2 V x m + Q O g b h J h 1 n / 4 a e p h c 7 W T m w z M y O 4 K Y M 1 3 c L D v J D q H K B s z z n O 0 E C e c X 1 z a 0 8 e H 2 Z n 7 E a D i x W k E N X z f c P J B Q 6 E N t 2 g o / C 8 0 W w j h M 7 a V y K w M Y z L B l B U I 9 B m 0 i 8 7 p N x t v n o z l u 0 n b M j M E z X n F q 0 h v j l v y 3 E S J N O z o c m S 9 z v 7 1 3 M d 3 0 K p M T G a W C v t l 8 N Y S + p g B b Q b c t 1 L s D r X Z Y s k O W L y A r 6 n q r A X M q c 2 X M 2 8 P J j E 3 J b Q e A F U g Z i r 8 f Q G K w V N s 8 B d n Z n v V k m z 5 1 D v h W y U 0 B w G A j B N h 5 v O L g b W F 5 G Y r p 2 H u S Q Q m J u O h z J U D D 4 I 4 k 8 D c V x w f C A E y W 4 Z d V D v i M l 5 c d h + K A R L a D i F + R e Q H o C D y v Y u 4 H 8 m / Y A n 7 x J m 1 y l w l j z b q Y t S s 3 A c V 6 n G D s n u 8 b u p P z D 5 O Y T a P 9 J v o n 5 e V k / G T w 4 M y 2 c n s 3 E x l G Y z O J Z g a E i Q 1 L x c v Z c h r 1 n f A + / e P a B b 2 K 4 8 z E X B i 9 8 R T e 5 3 f A Z g g z D A Y T x / 0 5 X w h U y q V 9 M s Y G 7 M F R o B p 7 0 N o E U Q 8 W m f N L F W e j 0 e O G A Y 4 k Q g / n 6 Q + m A y g I c L H m / I s n s P M x N y 8 A S a I 3 7 Q p 9 6 M h i x T P U 3 c O N K g + S w 2 Z j T I V C Q g 4 E A F T / r 7 8 w X n S i Q e / i f C R V h Z N b a k c J Q E l 0 W 9 W 2 Z c B D c 9 i G f g Y X P Z b H 5 5 X X Z 8 M f m M 1 M K N E d W D 6 0 9 7 + o f z S P Q d W 0 U x 9 A F S O Z M V 4 y B x C 2 u L U E l G j j e m j b 5 3 o m 6 y T F z L + L 0 d z 4 U A S U H / w N u V h N j p j P 0 U 6 H y / t 3 3 4 + s L / Q c X z J r j 3 X h J n W l R 9 C O H 6 5 W v i c x E T p r + Y h 1 M + E U 8 D m 7 6 6 t z O 2 g u V K O K w c M f s e X 5 y H v P D n g s 5 D 0 T g S n U T 9 n 8 O z g + c j 0 a J 8 I F u 7 D D N M z D D v I 9 t S P 8 P s K m N w T 0 + S y p 5 F 9 j w c X u Y 6 g Q v M j l w S Q l c C C M T B S B a c 6 v d L 1 J C 6 n z / L 1 5 / K k c 3 U 5 0 b 7 p q X y 7 b c S j D 5 Q R f c e m j 5 F g 3 L U 6 G n D 9 T h B F b 9 D 5 y m 8 + W X k 4 v M 2 6 d P h C B 1 8 p 4 y b 6 z a u x / f f / + y / t f / g / / t b + 7 1 + e X W m X S I C K 9 8 4 y 4 X Q 6 H 8 v 8 m b h p l 8 y D n 7 R c p T Z Y V M V s P a v K 1 y L A w K A o c / R Y u c y c O G + H S C o P A u h e 5 P f r Q Y q W T 4 s 2 j 8 y M Q M u Z o w g T / v f 6 8 J V 7 u U 5 a 3 l 4 6 e C 6 e y 9 9 D m v F 8 j j D 7 / L 2 / O s / + g b 5 c R s A u N N l N U r o k z R K Q 2 / Z A L 2 T 1 Y R N O K k E J C G Y m t N q W 5 K I D 3 j B j v i 2 K z J A u j K X n T S J j f i E w w r Y d Y T H R / v K r g R + v 0 V A b m I M 1 U 8 w 6 k D H n 7 0 N q d F r W a n R 8 g W K n 0 7 F u t y 0 p X B V w x d V 6 n j Q x d d n v n H m N + S Q p U 3 4 m y U 7 E Q y w h i S C I x y 1 c 6 D P n 1 f i E 3 G 8 l 0 o j H D k Q b P l J b s u 0 Z U U B m V e A z 3 w W q u 2 j H 7 L / / R F v x f i i 3 M P S d C Z V I a N 5 s u O u A I J 2 B y f V X X w 3 t x f l M t v 9 t v X M L q Q w 1 O S M r e d H M / 4 v L D + A t I l K b t F S / X b X / 9 K e H 9 p / 8 + M C e 7 7 c 2 9 n 0 c 0 0 H K u k N d k w + Q 3 U m a M B f A A c i 0 A g K F Z e p I c + Y 2 v j l 7 5 J 7 E 8 8 y + 4 H P H t M L U K d 5 1 f B / 7 8 m 5 y j a / 6 U S 9 / G b U 6 7 8 X Z w o 6 l s n j 5 G + / r w o c d T 6 Y + 4 8 Q X M k 5 G t p x w L a 9 e b 9 J D l C 8 j m J U B X U b V I c A B H k o C F n P u P G x 7 B 1 3 K b v i v / s f / 1 + b y 4 m H u / + 6 / + J F 9 c v h 2 0 T n e W T S X y B w s V z L B 2 m L q 2 z m Q Q d 0 5 g y 4 i A I E g u J P o e X w j i p i 7 H f N q P B r Y u t K z 4 2 H Z G Q 6 w 0 U b v T D j / O P z 3 S I s X W s P E + Z d L v w t R P z Q e I F 3 O 5 z 7 x F X + x R j R R G n y 1 k D C U 2 p J 4 t a 6 0 u G 8 P 7 U + W b D w c W a J r 7 V 5 Y / V u s x w Z Z 9 2 E S / I f U A k h o B C J b C O q K T u 5 q 7 h F I G M / W O t R B 6 q G d m H o b q R O J y H W l q Q 7 a d 6 f D L A M 2 U O H Y O V 9 u Q 1 A A r A I x U E t b M F P k b S K L W w m T 7 2 2 U z T 3 z B z Q c A J E Z I 7 z J h B n 8 F 2 c n d n 7 6 W s A Y + H 3 t b s 8 O j h 7 Z 0 a N H t t f r W V s g 2 e s f 2 O H h k R 0 d 7 v v Y U l j I G B Y z 9 g / 2 L a n W 7 e x i K q D L / / R U r u k B U B n x w m o Y 5 1 z O N 5 E 0 v n v k C K 4 q 8 C e n f P R d o M s z G i H U P / t s z / 7 8 s 7 7 9 6 F l H / t e O t u I G Y j n 6 + Z T B w 7 L v w / C t E X U r u C c e C t Y / z C H e i I + v s c l v 2 0 a 0 z 1 Z y C 0 6 J E 2 b b k T B V O T w w k a M r w L i 2 W f l 4 W 9 h v Y u I m 2 u D y 3 I a D C z f Z e B K N 0 j 8 4 s s N H T / R 5 6 N s G M O d x E 9 E G x Z A 4 x I B 2 Z 6 8 n H 7 R u c 0 m b o i X 6 Y P K J M G U + O U j t p 0 8 F E I E E Q L G x z 2 N Z G L 7 E o t D m g M m j Q v p O o I A l 8 X n C / O K o y T H Z 0 C d 3 E t E 0 I o y s k 2 o 3 O 9 a p y N g n r A u R 3 l u k u Z W w E m F u x l p y 6 T J l q d v d c 0 a + D 6 H Z c e 6 R J b f O Q J j r I K K 3 Q 1 1 c w 8 j s I 6 j C T H o H l p 7 D C m B C s s 8 R T M O r v e P K X l b 8 U v Y 3 l q + 8 B y J 7 X s o 3 H 8 + s 0 2 5 Z v c W + F e H a + 8 / t O 0 Y 0 B L u W x s m S g I P R c x o m p d c 2 t B B B C q Q 3 f k U R T B D m V 1 0 i / T Y w 0 S k A s y B 0 / T e 7 z h L K R U t O d M y Z O O v j U x z c F O 5 9 r 5 R L M 2 j d L F R 9 D + J u y s 7 r e S j / r Y R Z W t C M 2 w i t w N x B d j b C 7 0 E T A T J y Z D M X g i x 7 e / s + C d h 3 N n L N A 5 N / O + x N v z Z Z U d C o y 7 y f C + z B P I Y + e E B h y j z L t l a O 0 b M 6 0 R / 5 m 6 6 d b g H F f Q n N A 8 P x H l k G S / n M 4 g h X B D M j 4 b m X s D S r T o f 6 v R S o 1 g 4 s 3 Q S w 3 g f B B M w O I E i Q 4 w S A 7 q / t u S t U v Y G Y K e F R Q b X f r U S e s R 6 U I x 4 b y D U N W k d + j G 8 H 1 u 3 6 J 8 C J m u h 3 T Q Q q e p 2 6 D 7 M Q p I j 0 w Q M K p m U z D 8 y T y K Y I T 8 6 H l U 5 3 k / O C / g M M t z 2 B x n l x C Z B K f i / M h 7 m Z J 9 K J W h P t R z n Y m 4 J J u m g r N z 8 J P 9 6 f 1 9 8 k C s t B m i L K B O A 9 C K G T m F T 3 I a r C T B M m n D J l a y f C 3 M Q P I f r H d + q 4 g Z i A u 8 m n + X 0 R J c E S q a m T m F 3 v f a K y f 9 C A g p k P 2 m F m + Q 1 S 2 7 A 3 u Z t Z B c L H Y g k A r B b Z j Z k x j F l 9 c R q Y c R v 5 w K z 8 M t 7 j y / u E e G d S 0 d m H Z x g L A u Q I 3 m B e B E Z l V H + s 9 H n V j T P e L X n d R u C E 6 J 3 P o K n I D 1 E e T B T l r R W / P g m z I v q 8 w 8 V 3 p 7 w / 7 c z 3 + e k + / q l D b b m e h R n h 7 J B 7 Z U p J Q 3 m y 8 c T v m W h D D h Y / r p O F z a e S R B I K H 7 y G A l R v 9 D 8 n a J k N j I H T f S p T 7 Z U 0 D a + / p F F h f E D J m / p u m 9 / G f f 5 C M t 2 3 S T t B m J 3 4 c 3 m g c R t O P u Y f o O I l 0 8 6 E g F 5 A c A n P 9 x 0 I w P / m p G S / e i W N N w 0 F 4 H / W B j G 1 C a 3 I l t P M o e M t F O + b E O Q U 3 4 m M 8 w d 1 V r 1 o Y / g z 7 5 8 S j E B j 5 n f T / X 0 R Y O c F 2 i / k K 4 4 X Z Q m 8 j k 2 n M 9 W L R S w f M A G G O A H 2 B t F n H P g s B a K T n 2 d T c W C O O I s B I j 1 W 9 / I Z D / 2 7 Q e w M t A l I d x G B E I I l b H b p 0 f i M + X y a E u m 5 y a T P L c A i a s i B u V 9 X q T 7 t S Q h I O 7 s P p f M A + U B 1 + v T I 7 K n y Y X B 4 v e V N g m 9 L + I b H Y k S E T r F d r k j F a U g 4 f U z 5 9 B m 1 H R r q a n n 8 7 4 H o a 7 b C f h W G r 7 w f e O c x 7 T l b l q 1 c r d o s m T 9 o K L T G R g a n 3 z a c h x m Y M I q G g c H x c S L x H i c 0 E C B D i r E P u T P P e + I B i g O w Y v D k S q p T B s L e f I 9 L E M g z O w h w + E a U A r u U k D 3 r y C / T 4 a / k w e z i G R F 1 i v M W c f T f t z Y g N d q G f e H z g u g N U j 1 8 3 V Y O z 1 4 e 2 d u 7 b D j 5 v o n 2 Y 8 O X K N T w t 5 1 v d L T V X l y f V 9 q + k Q 5 d I G K 7 q X B A u z r j 3 w d y k y / w 0 0 3 y 3 t c F z K l c c / B + o F / J z z i R u U d D 5 g l G j 5 N X a X x W r b o 2 2 Z T + t 0 E A i + h Z t g R k q b K O B S R e s 8 L L w e o q L 2 U u I f k p F w Q H b N D E B A D e R p P e R p i y b C 2 Q F 0 I b i X w B e g 5 0 v 8 + A B A E h h I 1 P v w J E S C V I b V m T 0 O H F E o 9 6 A D 4 0 p 4 g x h 3 A 4 q F R 2 Q P U h A I v 1 P t j s N 4 i + c 3 N K 9 a c J c h 3 b V W N 2 6 y X f 3 n e b l K X R Y + R w 2 4 u / v j W i R y m 3 G I B g A 9 g C P L w I D o D L M n G w 3 + T P G z + c Y O D 3 b V 3 R D k w 6 Z m Y 3 Q Z F b y T m T C v g v p 6 t B 3 d 8 h w R u U G / 8 V A e M K c p V a O t e x 4 B 2 8 q T V a D C i L Z V r N C K h r i s A K c H q z o b 9 v R M R u P F n a Y h F e W x L s d O Z o B a Z 0 q Q 9 w s o 5 F U j 3 f R y L l T K 8 C 0 W o 0 / l b t 9 2 0 T e e q I 4 2 k s w S g B J P 3 2 t y n m B Q H 8 W e B R f B 3 C 5 2 t E b o 7 w w f A 5 3 x B A O x L t Q f A D r R 2 X y W w l 6 u B j V e E n V J E D y u 5 D 9 0 H 6 7 n c G A r D x o A i 8 p q q l V O q q d D r T w R a x S p Q x 4 1 J V W r x R 9 u 9 Q r 9 t 6 m H r E l l s / O l r Y 4 4 6 Q J Q Y K g 5 k 0 i Z p T / + h A N q T k v a + 8 z D g 0 V h g T I R K W S i b x 2 h l e Q o Z m S i S M 4 r K P l r + A W X e H p O 5 N w + G l z 7 B m M 5 T 3 Q h Q e f k D C s p A R R l D 9 U o E n l Y m F I G E K z 8 v L x B c c 9 s p D e / r s m T 8 K I a k R Q I C h G O 6 / l a J A Q l D r k 9 A / Z p O 3 J u k g u D Y 1 E M / h 3 2 U b 1 z B L g j e h M K h 7 l w m I U G B / P i w F D 2 4 o 7 x B i 1 C e P Y o n F f D n F Z 5 5 0 e S 0 t t F q k V m E p / l U Z 1 f e U u X h / R t 8 K o N B t 3 x X t h s b 5 8 W P G h d i D n H I X S e c Y c P S F c f o u B o T p p p J U w 1 l q 1 V J i F 5 P E j l o r M R n n U 7 u U F K c j 6 + W 1 m y l M g c m n 6 w D T f 2 G u G e B U D 2 W d l a f 5 d O o z n X 1 P i A L d L K m + 8 w / N K g Q H 5 z 1 8 x r R v p A y o s h B k S c A v y y a s q C H Y H 4 / 7 T y c l t U t Z 2 m x o R 0 e P s o c C R Q G x l X T 9 i g A R g Q X O U Q U O s q U 8 p M F 5 v 6 4 f m Z l 6 g 3 h e A I 7 b O V M n Z o x 3 f C u v D N G k w Z E v k 7 4 T 8 e e F 2 O z Q W 1 H a a O h o j 3 F r s l T 7 z N U + r m X U B 4 z m c 4 H y C X h r x i b 0 u 9 K 6 1 k C 7 0 O 9 M Q 2 F r Y k r + X S S m y v x H z 9 N r Z z N P t A 6 A Y t A x 1 7 B I a 5 x V T K O 4 O y k D t W i n b y 7 C Z N t k M Q x T / 9 m r + A 2 i P b K v N y i c h H n C p / + v Q 5 3 O 1 6 s m B I j Z 1 + u T T u F 8 y Q a X T H D t h U H R 3 M O U n V X c 8 C l y w s / H K K H I Z 9 L o 1 E Q a k r 0 o 7 p z a E 4 G D w x a K H Q q O j R f b L W S 9 m X i W P L k P U M X s S E v l j J N o a Z P L s z P b 6 x z o l g x 9 a B r x V d S u K z m 2 y / V M d V j Z f v / Q U u V / 2 9 t I U u W d T G X m C 2 C e C f + U d L k L k M i U f w L k r V L k m v 5 O m H y / b 7 A R v f l 7 H 8 v E 0 e c b R O s Q 7 a P j N l h e u B k E N m I 4 G z 5 y s 6 g i b T U d O a D C x v 2 / e 7 q 8 O H d A M F E 0 E u B n B g I C + a P 9 8 G k z S W k Y v 1 C / Y H J 2 f N H d F d E e 2 Q E w H S s A i o Q w I / N 0 n y 7 l 0 T j 5 F y L K x z m 1 J Q w N W A D u Y H T h e 8 X T H y v 5 v K y u Z V d d X o e 6 k p N X S Z l p X r e G O r W / 3 7 9 Z 9 q 1 E X s r 7 P u U V R S s A 4 n M 2 m / 3 d 8 a F + n 2 Y i Y w t / 8 t E W D Q X R Q n G J w 4 6 0 l K R k J 6 F W a 5 u G + v Z p c H H h 5 h H L H i I R 7 v / 5 N 6 G 1 / 1 j u E X v V w a t P Z K K y M 2 5 e G W F e M b X G N 8 i E q D 4 M r y P V f a c C Z 4 x o b r B K d y b X x h l z M v a V y P l n w i n n e b t J K t O Z x Z b M 3 G C z S f x c 3 2 R T m d f k 0 L G U v 1 F p W G U t s 5 U g Q Y 2 J v W x D P X W B s o 1 I X 7 m 5 y b s L h f K E c s X v g J p y U x b e r v i d C E r k w f a + g Y c m / / T Q 7 E f y o / C n N l I E V M H s u 4 0 u J 2 u X W E d 7 9 f c X V L g n X c r k Y / O V m L 9 4 w A H 1 i + O S r + f q S U D w P l w 0 6 5 / I V d q X Y K k K + 9 F C 8 j d + 6 B m 2 c n Z C G C P J p Y m w 0 p g x j 5 Z i E 5 f 8 N K E 8 w X h k z C e M h 2 l G 9 H C 1 D I w Y G J P 9 B 2 F U z L W F 3 9 M o t 4 O f t 5 Y v 1 + L 1 P z X X N u y F F 7 U O z y 7 X c y u t Z A D y L t 3 o C 4 l g d l 5 m z f 5 5 R X I Y C Z y Y c Y C 0 l n s d P V n y x g 6 m Y U X Q c F B W + I B n v U 4 i 1 l 4 V 9 + b 7 T g D q X Q g A g r + i S c k v K k 6 U 7 4 + e E g q / Z q Q 8 0 c C Q h G S g X S w I 0 f l 4 7 V s a P + 6 H N 7 T / P o j V q o C B p d s Q 4 e 7 X A 7 M v B I R L m X l o J s x t Z r P / 6 R O Z v r J M e a G 0 C w 3 V e z F Z O M N 2 2 p m U p x 2 D 0 + V R t N f D s C E m m 9 u 0 a w I E Q I E B M 6 m N m c Y + d h z x v b 9 o h E U y 1 b W l a 6 N u o + / 9 M F 0 O 5 Y K x U H D p + 6 A / 3 f s D e U l 1 K 8 8 r V u l u 1 y A E E J K F N E R N m q l 6 3 Y H k P x o O b a + f e 1 F C R g F Q M g + 9 s t f E M 5 P 5 2 r 4 5 W 9 h H / V B P w A u A O N B C L I m / j b 7 3 g L q L 6 t X U / v Q j d r 5 h k x O J b + 8 T O K p s C 0 m + y 2 n V m u q o f R 0 V a S j M / G r G H L f 5 q d O 5 7 H v Z 9 p 1 2 0 y X Z t 0 q x B 9 E g U J Y d K 3 7 j C 5 4 h h A N T o Z h Z / t u T k s 8 7 R A s w A P 0 j a Z m P O w w P 6 E b U k u q 2 U h 0 u x i e e R p T S S H Q A M 5 P j O J H W X k i D t K X p O v J 5 k N S E + a k v g o y F g V k o x d O b r U c 2 W 6 m N y w K A N A l a 6 W n 3 U w m 1 h s p 0 b s P 5 m d J X A X U z 5 w 4 a T 6 2 + b F u 5 c 9 M s A B A x X b Z r B l T l 1 s 1 7 K O s Y D Z U z + T x o k S y s X g m g Y N + M J R u 1 s G B R 9 W N t F S / O Y w I x 5 j 9 5 8 K b 5 u 4 I y t C t d g H J 8 A J Q Y i A g f O / u c j L 9 w i U y H 4 S R M 5 y 0 7 G + 1 b r 7 m w x 5 W a T e t T g Y n g h W w j G T 0 1 n a P j 5 6 u p N 7 p k q a Q e U 0 9 1 N d v f A P / j X o A C F P B K x o d 3 E p o T + 8 v v 5 7 + s O 5 X l e D p y J m H L M C R s m J s n o a C 6 / e K 4 b N 9 c 8 D 1 o 6 Z a O z / p r e y z B U t J 1 m K l c L 9 m X r / 5 W V l 7 w Y V x K E 1 o X f 5 F U Y i 0 x b k n t U b N O p e f n M D F p i 1 A c p Z J J H d p 0 v p r 4 w V A C G m m + n t o T A a p R a U t 4 T e x 8 + t L P x X o c N j + y V t K 3 c p M 8 Q z q A Y i 0 t V i u p T m i n m c r U V D 4 5 7 Q R R V n w o N A r l 4 T f A G c o v 9 J n r 0 p r s F 1 + t V G V B 8 C 6 t o I G 8 7 B s k J e 2 U W Z N v E N v F f X N Z 8 l c g V f 7 J P / 2 X / y o 7 / 8 E R I / a f H q U + c 7 g s z p w s B 5 K 4 U z V u I m C w e 5 C k u x y r x a p q y 1 n D X k 2 k / t X Y h 7 2 q T J u J D W Y n k q x n 6 u z U Z m K Q Z r 3 n n R X 6 A 7 M C S a x O w k n h X H a 4 h M 1 9 + j k B a T 0 Q 0 + r n m i k t n A a H 2 f X 8 4 f c s 5 X + I m W D 8 8 / V L S 8 p i M j Q R k T Z 1 8 H q 6 d k B 1 9 j p u Y o U 3 L k p Y S M O w g + y j L h r C D W K b S t P I j 7 d W W Q K j d u H + C j 7 J 3 M T 0 J W a F q j 1 0 Q 1 k H 2 1 u w k h l N V q l K q t c T 2 + 8 c q i 1 b n g 8 L 7 q q 6 C a a 8 4 V v o D x O r U W 1 L i L W s W q p J W 4 3 8 u U q p 6 p p r q t + 0 P c 8 R K O g 2 9 l W d Y J Z F 3 0 h Y M h v p E 8 0 E C A B b A U w Q a a B 1 X r 9 6 J S 0 k j U o E T u e 6 r P Z t t R x M b P Q P m B B 4 H N v A x P o w B o m Z c V J 0 C 4 b T 1 E 4 v 5 y 6 s 5 m t p 5 g 9 Z Q / E S r j / 9 K H W z j 0 a 4 n L 0 W S F 5 7 5 9 P x / d Z T / z 4 i D j 5 s 2 K U a / W l f n S 3 G u 5 y 9 c m k b S c a B Q P k j + 2 g / L I Q j + s N B p 9 F R 2 w h z A b d k d S m m 7 S O J d V K / k b w A q i Q t 4 Y W D S F j A 8 0 F J O U Q V S e a V 2 P 5 i + s o 1 4 2 F b t m t G S O + T r 0 + s d 9 A R 2 M f y j 4 5 0 V g n o + Z R I g s A 0 k 3 Y 7 m 5 b s Y m b 2 4 7 3 E q m L m Z T q z i i R N o 9 e 2 l 9 O / t a V M p D x J P C g V p S P G a 6 q N a g J H t 7 5 v o 8 l Q j H d u / V 7 f T a q 6 r v l 9 t 9 B r W Q S J N B + D t F f m t u p K b y C Y n v V + 4 p E 7 6 k I 7 J F M q L y D j U 9 2 e t B P t T z g d r f k u R B 8 x v o i v W Q Q U v u S X r 9 f W U T 0 e t w T K 7 P w H R w g i N F S Z 1 2 g K G G s 5 q Q 1 J S w j + X a x n Y s S R p C e S E g Y p 2 w 8 O y j 6 d C I k q g Z R J s 9 D C 5 V J T Y A y v 4 Y T Q T t A m i R e J I M F X J 9 J u 0 k z l t u 6 N v a F H m B H u U 4 T m S m s u A I m Z A F k y A Q x c L 0 k i T u x 0 8 r X K d 2 A 9 H X l C o u N X s C i v U e 3 p 3 r k A N L V F S Q n K Y q 3 s l 6 3 W X 9 i z R 0 v 7 4 + d r a x 1 J E K g M s 9 r I x s 1 z W 1 f U H r X A i B i z V Z N 2 s b Z 1 S n 3 r l 4 6 s b 0 f W q x 4 5 U B e r m Z t w R M u C n y I B F B s i I z Q P 5 j R t j S Z K 0 p W D i b b c q x + p X f c E z A P l e Q 3 E B D D r K + 9 k I p T O 9 K 8 K r 5 L c 3 q Q 3 C G D 6 + N U 7 E i D q F b U T 1 Z N A a u r L D y V k n z 9 W + 6 g N P 1 h A 0 d + T 5 V q O s D p Y z L D K w r W h t 7 w r d E h 6 S r v U i P S o N R k U 9 c i V m I E 9 D g L P i N n K D T F C 1 X 7 y h K l G n I u A y p i q w F y R u B W X u S K z h f G T P O E z l H C 0 S 5 L O m F l M g c H s k o O O z 4 D Z B e h h d r Q B 5 m m R 0 I 5 L M f e U F w M s Z P Y t Z t I E 7 B w U o n C T x a V N 0 6 G l 0 t A r C Z S 5 z q 1 l 6 i 1 X c 7 X N p Q O A 9 L s C U a 9 0 o M 8 9 g Y o Z 1 T C O y q Z q M b 9 O X p o d t J 5 I o w t k A k d H G u t q a l B G + E Z n 0 6 / l p 3 7 p B + Y 1 W o g g A Z I E M N X K 8 m m k a W l z S L V E I e n Z t S 1 R 4 w Q r O b E j R u j P N 2 Z J 6 F k E 1 a 5 p Q H Q f w s 9 7 U f 8 x q w I h t x b I A V W t T f + F f G 7 W + g O j y 0 l q L + W Y 1 8 o 9 M W V D t n 9 D n 9 e D m G i t q G n k V v h s 6 4 V s f S J S b q q o + e a L v t j r U I C c 6 / y p D W W r s 7 B w g l a R a b V e L m w p R i a k X C T c g r 2 W 8 s e s 2 0 A o N 0 w d 9 x / 4 J x A 5 C v 2 a f A S f 6 K b 8 X W O + m T 6 + m + 9 h 3 g h h c 4 i B U v e n Z A r V x c D 1 W t P T w p d Y y s c Z z f u 2 W v B 5 b h e j m r 7 3 X T s R c K F R E D R e M N K S T z a e n N t i O t F 9 c 4 + a 4 d d s o q A t C G 7 w 5 v z E h c G + T G r A 5 1 p L Q m 2 o 9 l u s p l Z K V O 6 k H T Q 0 m k n + 0 m q u 2 r J T q 7 4 n + E 8 6 7 i L 8 M A c l / i b P + W x x P S t A A A Z v M h 0 q l v f 3 1 Z E n / V 7 p m e k I v 1 R p A K T F 2 l 8 F h M w o 8 9 K p H I o + a E A t 1 1 U 7 H r Q F A h x f 9 g N v u A n T q q E 3 g g Z Y e t S J / d 9 K k t y c Z X b 5 I n S W G K t U W r j p B b M Q p D i f v F K a M 5 / j h 5 S e i g l e n o u B B L Q i + e T M H E j u Q z j B k 3 n Z R t N g l m 3 i Y 3 e 0 V Y Z W s + V l j Y S z P p 8 v J D w 6 8 o N i V E 4 a V 2 p v L f B U U 6 J 3 Y n 5 x 2 1 j g W s i v E g v p l / 5 K 8 t 2 k s U k P 8 D C L G 4 A k 0 l T J G o C / S W j 0 p c z C C D b a r l q q u 0 b C k B z P z 3 S c u 7 b D x K 0 v e d m B y r R S 4 6 j N m Y s o r 0 p u n 5 6 v q r l 0 G l D g W x W J Y Y B g K q t s D M Y r v Q U b V H A r T a B n w 5 I L + W Q C F W N Y f v B d B 8 E c N 6 / j o X N o I a L B A I i 8 S 3 q e O Y K b 6 I M G F D R b V e 3 1 q C L w h N / V t G 6 d a l + d T i R v o f N E / d Q 5 6 g z m r G F a 9 Z q P 3 O a H W e v y O U q l k Y d y n c p j 6 7 Z e W q M + d n N j K T v l m 3 F T D J V l k B G S D s n o Q Y d r X t + Z Y F K 4 o y d H G N o U + O A c k 0 Q 9 y p g R S 0 7 q d W Y d I L 1 T O x 1 / Z Z e L Y 3 1 L f E X t Y W t p 7 U b V T a + 9 1 s x 6 3 b F J Z N j E R j Y t 6 b s E i C 6 q z G E G v e 7 0 d B 1 g Y u a o 0 f M U x 3 / g a t e G a t t W 2 r P 1 U B p t W r L G v G M t a c b W c s / b Y l m R B i 1 P L K 2 r g V r S J N W F 2 l M C T 0 4 v E T 1 / + b X M 3 k Q a w 4 G F 9 p F v m Y x 1 r 6 w O N + m U j g / 2 6 t 5 1 W Y J L J l m c l g T X Y 6 I x L O B m N J 9 Z u q s y 9 V M 5 Y z 4 6 a s q r 0 V a 5 m Y m h 3 x X V n + E I Z 4 o C f f C A Y g b F q Q A 1 Z w K s O h w m p M M J 8 a p r B K i F w M I s A J l m z j s V M V 7 X w 7 5 c d y Z R K 3 K / m l s g Y 1 B S 5 k 8 6 c P O G C b c E P 6 b r r K n 1 y F q d P x y n N s d P K t r 4 O 1 J F + T / q 7 t t h Y d A z E l p j z V s k s p e D o a 0 A E S Z g u 9 O x d r s t J 5 + 6 9 P x A O P C y u U Z N P l Z J Z p e K x f F 8 7 y M 7 7 H 5 k B x 0 d 3 Y + t 3 3 m q d g g D x f n X 9 Q A U t B r + W Z 4 Q R s v Z y t q l f T u q f G I H 6 X N r L w + 8 T S / t 2 C 5 K x z a t D W 1 R n Y r x l x 4 M S a s C h 6 6 P 1 u d 2 t n g h E E + E Y d d Z W a r K j 6 C L Q O b m n / I A L P i Z Z f d n A n A 4 A F V e o F w R 9 Q M 0 S s c P 7 t d v Z p W U a w J u 9 p t j E 0 p i m m G W + j V t 7 o 0 P j H h z O a P j 7 E d e q c o p J g i B n n c K o J E A t 7 2 u 2 Q v m r + n S + V j m n M y h e q V t R + 1 P 7 J G O n s x F I o W P O n x / 5 K Y N 7 3 n 6 4 4 / M 2 l W B U v 4 L U p V 9 3 B q 9 m a 7 J r J K f 9 j a E I K g z K F k A J I y I 9 h I r C E B 1 M T P g K N l e f 8 + n 4 T A G 4 y a e m 3 k y B 2 t 7 r o k J S g A g t C p j Q + 1 6 3 9 N A u B D 0 Y O y o J q 1 V R X C o X q T J / X k C T J i T N 0 h N V 5 4 p L 7 U X P m q z 2 7 b u w b 7 8 t a k D Z p l O f c r R S l p o K T D X V O a + 2 g 5 h h R 8 3 W 4 8 l j E Z K e 3 F t 4 u k D g 0 B F s w p B G g H I X T y 4 m Y N y F c q 2 K / G m + 5 1 I + R A s w l z M g + o B U C L s Y 7 R I x c 0 m a S U 5 y f g o j E X h V w E M z H / 2 x E M w w U i r p G q T 2 V P 5 I E 8 9 I P F q 9 L l N V 0 P 6 2 s d 9 W J O D + U N g o i F Q N W o N W 7 H 1 q x J K m 0 Q X X 9 v F 7 I U t E 9 n 3 W y j 4 H N e d l a f j Q c n 9 t D y h l Y j O T Z c j L 2 S V i Z t 3 z C P E 1 J s u h g G I c t 5 9 f E v P t G X S w p P H o 9 / 6 t T x x X n p Z A A t c i 4 9 T q d Z c u v s 7 c X P E k v F F d W K X z W M 7 X 3 9 t r y d f 2 O n k S 1 s J E f 3 m E 7 8 H X x N f j n E t o n 2 A v F Y O W h B Q r + R Y U S e f L E s Q Q c 0 I m H b h 3 j h g G / 2 3 9 0 m u J Z t K O 4 s a L t T X D 4 A S l Q l N X 7 U E J h u d i b k n M 0 R m D N I S n u r I f D v o c D 9 z v c r 6 z q 6 h I 4 H j 1 J k u j r M Q B R y M z 2 w 6 G g d n V y Z e e V W T J K 7 a U v Y 6 / h k m G w e z C j Y R 6 Q 0 l o f / 6 6 z P 7 d 1 8 M 7 C + / H A p A 1 9 r M 9 9 R W P + b 5 h K 9 s q o / W 8 z L r 4 l 0 S F 2 F x 2 P l Y o B r 4 1 B y A K O U n E 1 i + o / 6 C x i t o H d 0 z k 6 8 J q A B T o 9 2 z R q c n Q K m B d G s a Y 8 w 6 M P f S W m J t m Z W Y w K t U H p n a i D Y b z k 8 c M C H q N 9 U x d w G D B u y 3 H r t 2 x L x G O 6 7 W S w c 7 y a I Z 9 N h O 5 L 6 d 2 m G T b / c u R L s L P 2 6 y h + / M l C B 0 8 k D B 5 B M v 0 V k Q Z k 2 j 0 h U j 0 T z q R L U Y s 6 p Z O x S s j p I d d a v 2 y U H V O o 2 O N F l H r n n d 6 m u Z R e u m 1 V Y t q 6 z q H h 3 D s f a x o 2 7 Z z l Z l O 5 / K t E o r t t d 8 J K f / s Y C K 7 / F m Z 6 P 1 B r O R / U / / 5 6 / s n / 0 v f 2 H / 4 l / / O / v r r y 6 z q 6 x B Y q Y 2 D L 9 0 h o T c 4 R d A A Q J m H B p z l 4 F N t B Q v s V 6 p D W r N v v u H A 2 l Q B m i Z 9 V C c l U 0 T M B + w W p f 2 r s l E V r 6 c J J z M i 8 z G 4 6 G A J B N N / g 0 T Y d N S I i F z I c D M P N i B 6 Y f Q o l 3 5 g / C / S M S 1 u 0 B F J L V e a 7 v p i a X A d J K E b a b C 7 T s T G o r 2 L f p 2 7 0 o E s d j q g J c 9 r F S P m d D V w l / L r n / Q h K R H 2 s T O Y h q R I G O L 5 W M x V F e S E i e V 8 Q z G r j D 3 0 A R y + q U N k J 7 t k j o 9 k Z M v o C A 4 V 0 n J B o u 6 D W U K J N n M b Y i X u v X Y D E U d L H b U U b H F X I x H A T L C / 5 l n 8 9 o w e 5 j x P h Q I O W b y I y J h W S 2 S s V 1 K y s O A M K Y v / e a 7 N A o S H w 3 g M 8 f v I L R E o 9 Q R O B L 5 X Q g Y g c t n f Y e o J t f z B O / X Z e L V m 2 0 X P i g w j 1 p S V Z Z O N Q i 4 i 4 G l H B O Z t w C J 2 R z 7 M v H w z 2 h o N G O l H K K J E O X H p w O c M x / 0 r d h + 4 7 E 0 2 5 5 r t 3 q j r f p J e N D 4 9 y Q H L o V 7 j 0 T 7 i y V U a t U x C 3 z w t s s H Q G V U f K 2 M D D 9 J t Q N b r p h F L U e 9 V b K W p D 0 T S d l K 6 4 r H 9 B z a K J E k n l V H t q h M b W I L u 1 j K J E o w H a + Z s S N t 1 U D S C h j L u f w 0 A Z J J m g y q Q m i a s U y v 0 e x M Q J p J M j f s H / 2 4 a f / l P z i 0 / / z P u / a o d 5 O x i Z R h q v k 8 O D E M U h 1 s Y j I R t e v I H 8 k v f 9 9 G F c a e k r o t K y w o F B S U D u n B 1 H G p A 5 z j A 6 I y X 2 e j x E o C e D I W k g R 4 h A v A b b Q b Q a P U p L F l k + L n N G o t a e P H P q O c g A 1 m H E s 0 A G 2 t G g a V I 2 E S A j i u A a I w + 0 P i D Y 1 W a q q N 1 X b y y b w s W w C y 6 X Q + j / d F j B z E C C 7 b t b H B D 7 k 8 A E p E J 7 w 4 K 8 m h D 7 8 Z U 2 L v 8 k + P S t I q R L M k e c Q c r J F J h T w 3 / R J J J A Z C C T R U x I T l 6 4 H b s s D V r C / V 6 E o 4 p 3 3 c n 5 G D n K z F j N h X Y t 4 Q C K E M g A m z S H 6 b G I t 5 c c x 0 / 8 d / 3 r D / 9 h 9 / b P / N f 9 a z J / v X / h A M h Q b D o e c Z d + z F y F 0 x N G F w / J G V z u 8 i m T H V p q u B m 1 v T 0 c h K k 4 o 1 1 z 2 f R l S X + b o W g P A D c b 7 L V W k z C Z c p U c J G 2 d b V p Q 3 W r y 2 p r n 3 t E D S c n d v J + C s 3 8 w A l Q E J L D e V b A n T K y s F M j f 3 m U 7 X r v t + H 6 Y m G B U j R 9 6 M t 8 E 1 r 4 t p 6 W 3 6 o h B D m 2 3 S 2 O Z g z m i d 2 z p i U m 5 C B w g D 3 + w d V J N V G 5 U T H P g D q i l j B + j c v 5 c 9 E C S 2 T h d 1 C 6 Q d 2 f 8 X S q P f K 9 k x m 2 2 S S 2 o V M v 7 k + P z 8 v 2 + W 6 p n s P B K D A U L X K 0 h 7 1 B 9 I 8 8 i c m 8 m M y H w l g 0 r m V 6 H e I I r v j 7 x D 5 Y i X p Q k w F I c n 3 J f V 7 8 p f 2 2 3 L U m 9 c T Y D E b m Q 4 E g 4 Z 1 T k j J q j M j W o V A w p z Z C R v 8 s z w R i p 4 N g 2 Z t r N s + s D m u n a k c q T X n X W d s t t L y M R 6 W S t S l M X T M 5 E P N x U h o V 2 Z R L J O Z A H Q m U E 5 c y 1 C X i 9 k r P w A 8 U 7 o I M F D j a n n P h p N P b D z b l x D o W k d m n Y / 7 q R p o W c B 3 M T 1 W m z P 1 K y y r Y V Z 9 y i v 5 1 W y 0 Y Y t 3 / B Q I 4 T F f S k s z F J E D E P e z 7 P 5 9 B y Y i k R W y k 4 W X H / R 6 q C L x 1 j 4 Y / f F e z S U m x D j P + T h s X t m V 1 q p J Y 6 0 E p A 7 z 1 s p q w G Z q e 2 L 2 T l 3 M K B s f 5 o F o Z N Y G z R d T a a N U j D q 3 i S Q 2 4 1 a D e d 0 m 6 6 b t d c I U H g h I 4 K i z L o h Z B f g W M S 0 k d J j 1 f u i / n f Q c z I 4 2 C o 7 + 9 X w 9 K A Q q l P Z a I B O A 8 d W i B s n T c i D G L 3 3 j Q Z W y Q L K q B U 0 7 L 4 + t 0 o B x B Q L E L s U M R X X C y n t 5 O Z c 5 l 1 h P 5 U K z h N A 2 2 x Z 3 p K G 7 q u / A 5 z 5 S R 0 z B s K y j p b b q y g K o 2 n 6 r 4 o C j z o A I r V y W U D p o P Q 0 T l t U O 7 V r f I 4 N o 7 2 a 5 K 6 3 M w C s a L l e Y j D y f B i H / M E 6 W J 8 B E + J z j f R F p s s 5 q M B j Y 5 J z Z M u s H Q B X p Y s L 7 c c P W Y r F P c D 4 Z 9 2 F q D u F q g n 8 w V L N b t n Z T D M t o O k R A w c 2 s I A n 5 Z M Y 3 c 9 T O h y e W l J Z K s 2 K r p S S m T B f f L z v r Y B z 0 a 7 N H 5 q I v h Q j L G w i D A 5 6 O m D J S Z B i e K Y I J A p y M 7 c x l G v l C O p h J k r p I i Y Q D e 9 8 R S U s a z K 7 X s 9 I m a G p M X 6 R + Q y A o 0 m I 9 s N P x U A U 4 k Y Z R u V Q c g i N s v t I S Y J o 1 + U x 6 D i 3 L Q k I + K R N r z i 5 m x w J X T W W q 2 H h 5 G Q R I q e b g A Z x o O O 5 l Y J d 2 g V E Z D C e K y t v X G f + 5 D 9 F W L I d n f w i 0 1 X 0 J 4 M S D o Q X W W I 2 k 1 W d z B u d r v s y + 3 W y H Q f P s m Q f K C J e H j S p n 2 e i 3 M 1 Q t t Z 8 + Y 5 s x B n 0 T + Q f M 9 G a y Z k X 3 6 3 v A j 5 h o z 1 p V m U k 6 j y k G I X n X 1 Z l + S + r j y M u E 6 b V 0 N D D r Q h 6 R 8 C s 6 t X 2 f a Y E 0 x 5 E H Y I T C + 4 0 w C J o n I o I x G r e J A u j k a 6 n T W Y W 7 i X y 8 q 3 l i s x o m a t V N M P d r p P l U e Y 8 U v j m b I x W j C + R K n + A N Y A I E L H B s V r r 6 G R g e Q K N V M f U w R d G 0 g I f r g O 9 s + t L B 5 u N 3 E k R E N j 3 S p z / S w / d i n w k i i T z v / u D N J t u Z 7 q O Z y A f g s N 8 9 4 O E A k I N L m Z 4 y 6 1 h W v 3 9 4 a L 2 + 6 s b W Y b S D h K r k z w O g N t F k I d C M V m K k J F v + L C C p s Q Z T F s m V 1 M m 6 q Z S a X A l n J t 4 k Q V / T s A z a M u L P G q l I d F C r 0 7 L 9 z i N j e b u b Q i W Z R y U c 5 5 s c g i a C e X D U O 4 3 9 o K 3 E U F f L S j I i T Y 8 I i u G K a e Q J q b q V 9 F g I E q g S + k c + l B 8 h w B E C A 8 x U y I O W v B j 8 x a 8 b C e 7 s F T E O l 3 S e / S j y x U H T 1 Q Q M t B 1 7 R h D F Z y Y E Q R P M O g d J R j 4 8 k Q k i a J G G I Q C 0 9 F 7 j k d W b L V + t T G T 1 v h S E S z C f w 0 T d a w q z 7 2 W S T y Z u w n E 4 k K T d A R Z a D S 1 0 e H T o q 3 / 5 z V z n O T M k M v I B X p X t A V A b i A D E y S i R T 7 W 0 1 8 O S v R y U 7 V y m 0 X h R 8 j e 3 o 8 X Q T D j 0 a J 5 a Z k W w X o p 9 G t x E u c G E d G j Z D n p P r C 6 z Z q 5 0 Z / M w g J n j p x s E o 4 c d g C T 9 y w U w 6 Q 9 m J G Q e f L 3 A L J u I b b 1 u I z Q C g 8 w E B d h s B o 1 B Q I D Q N V E / A I 0 f F I k Z A Z M l E k X 1 a R 9 K e I S 1 U 8 x 8 o L y Y l Y C M 3 w Q T 6 v i F 8 q 1 Y z M h 1 2 o H f 7 M F x T S X P H 3 M 4 j 0 a P M g q M f k 4 N J V y 5 C v C F f f c k g i d j l W G g c o 0 n A 9 / A Z T w a u e Y B Q F H w A H C 0 G c D p 7 f V 8 D w p M 5 g j I S L i j b Z e o G f n X B 0 B t p H V S k V Z q 2 C + O K / I T w o 6 y v W Y q R / t S U j m 1 5 w c A R M 0 n X m W A D 7 8 K + v K M r c f C + q S i m Q R j f n 0 x t e O x T L m G z B + h b z o b v 3 F f n s r y K / q N x / J J b m 7 W i J k G 4 + N n 4 O z f S l s A C z G T Y W z n Y q I w G 4 S g w k x A Q u O Q R z D d U p 0 L v 6 H h P P F N P G t l X v I S B o G 5 D r O 6 O a e G 4 S k 0 H N o T j R C 0 g v w x / X E / A 9 A 3 i Y F X t D 8 D 0 9 e C C F O x 1 z x y j c 0 k W Y I 6 p Y Y Y X 0 U p z v L e R N Q J D Q N 4 C M q M B h J i Y / m 1 8 u 3 Q M v n N M z H j m I G P C V f c v H I T c R V h m t e w P r c v + / 5 A B V o m Z b u Y B G d + 5 C Z e y b q S V P 0 W 9 j 3 j U + G + S L R / R 6 B 7 P W Q y 7 a a Q L l N w j u X P v B A K l 9 Z t 9 9 3 E G E 0 v / F q R X F K m L K + X m S N N i O 0 e p S h a C R O I A V P M t N t o m + / A m N J i t r B J + c K Z G A Z x H n I T j a 2 N r w M R D D I 7 Y M T I D B c s J X A 8 s q g j D M Y y n h R m Q T D 3 k Q m 6 I f p Y 8 8 1 s u C c S 3 8 O I z U 0 C s A C K a F 4 E L 9 B k r A 1 t H T S H t J j M U J Z o r A X q P O X B c 3 Z 2 Z s c v X 9 r p 6 a m f A z R o n C d H H 9 m j g 6 f W b L R d 6 w C c u B N t B B D p 4 D t x b K N 8 6 W 8 A 7 w F Q d 1 D W V o O Z O l C + k 0 s 2 i a V W L W x h z J g u 5 l + U U n W 1 5 n p d d g Y L p t h N K p X m Y j L M n b F M E K U j q T g c i q E 3 m G W A x w E 3 G N l w M P S D n V B Z u o 6 p C T M T A b u L w j u s b j I w + F 2 J I c f l U 1 s Z s y t C F J H b A J d r F W k b n i O C 2 K h 3 Z F 7 O 7 f O z q f z I k s A M m E L w 4 K D 5 z A 5 a H x n z G S U x S F 2 a Z O j + U k + A Z x k L 7 e H w E P O F N r w W A t Q j N j T 1 4 X r Q c X k q W Z y C R B k B H N H E w e W l b x N 2 f H x s Z w I P I E D z H B w c O E g O D 0 P Q w I M y + g 2 I 2 J Y 6 D w L a G X / p / P z c X i m t 1 6 9 f O w g x A 2 O / F o n 3 7 W 5 8 n 7 f 6 / 4 P f 6 P I 2 w p z j 3 V H x J c X s L h u 7 Y j W V N r r U + X Y p v M 1 Q F 2 h I p H i l n M g 0 O v E l 8 U U C a G i A M N O 8 b o P J q Z U W T X v + 5 A 9 u a B M c Z e x 7 G K d I M A f m y a Z x p S J 9 8 + q F l V t z X 9 q P O c c 4 T 3 s l M 1 H 4 O V 9 / 4 + Y d I W t 8 H 8 b R g u 9 2 U 4 t U B Y j l c t + + O p N P 0 a j a T 5 4 i V F T h 8 M + J j T 1 n 0 g 4 w 4 z A 5 s X K V D U H x s T r u U / k M C G k b z D e 0 F h q v n s 3 0 Y A s B t k E j t Z r A x l 4 T A W h o 5 r B H O e k 6 g w N K f J q l y t A R W B j L 2 E B o K o Q J Y K I m e Z A C l p H 8 J w g A Y u 7 F D T E h 8 q H t f R H m B g 3 P p H + m H s E f e U L r P w D q D v r s U W o / f J x Y S Y 1 c U y v 6 4 j 2 0 j x p v o j 4 5 m Q t Q + w x c J t I 8 h I N L k s o s / W D m w L n N 5 Z f k T R 4 I w 4 D N S Z g q B H O x L K G Z H L k T H M 0 P 5 s f R q T B S k b j u d j / v d N 3 Q 4 X k 6 O Z H J 1 V A Z B J J E z k c 1 l d 9 V 2 r e G G I i 3 G B J Q Q G D H 6 N c m q U z k L 0 3 3 7 f h y z / r N h j 3 p r f 2 + S j m 1 e q 0 u K Z / 6 5 N 2 5 O I 2 3 j l T S E z v s d H 1 M a 5 K O r F 3 Z c / P V p w P p u Q V a U H 8 1 2 l H Z z U o z A a n t 4 3 X j + a X n t 9 9 6 4 v c i 9 W H s p M Q L 7 U L 4 H H D 4 Z i s E h d g Z a g M t l g s 7 u Z C J j d k g 8 1 2 e k u o Z T E f A g + a 6 j f C 5 2 D 6 A v H c l u v n 2 3 n g g A U I m w W o h R g 9 L v O k Q F i D O 0 4 l P i m T Z O F F B J t C W S 4 l H + p z h Z b o c S N L i S + R D w Y F S B y a + E 8 z R r L e s s 9 e y 8 4 v X N p 1 N P A + d D s c G i k y P u Y I m C 7 7 V m 0 C A M K 8 Y 1 8 L n Y l y r L P + H 8 o 1 W Z + r 8 s h 2 1 n + v a Y 9 c k N z 0 A M i / b b N E R W L r S x m 2 B p e K b r V w M Z Q 7 N J z a W 3 f t S Z u C l n P 3 q c m j d y s T N 1 4 X M Q o I u q 4 X A t W D V s A x L C Q a W w L D U Y T C t i t k r d j m V C T t b W 2 P d t X 7 7 0 J 4 e f W y P j u S L d a S F O m W Z b o d W b 1 V k W l + 6 t h 9 I 6 8 e g h c / Q V 9 t v J o G N N l q V B e a + H f W f e l r 7 + / t u D t 4 F J o g w O C a k + 7 7 u 4 2 5 o X 5 0 C 1 G g m g i S s f X u Y K X E H M d Z Q r 6 6 l U d j t K M x J g 6 n w M Z J U J o c a t d M S K / r o v S S h r D D M A S d E v w i z q h h 4 I G Q O m G B i l q P P 1 2 P f C m U 6 k X 8 l E 4 z p Q m 5 + i U F h D k B w T W J M 3 T 1 P w l 7 h b L 0 l 3 e D g 4 Z k 8 Y d 6 0 2 1 0 B i S F Y y t s Q Q 7 F K M v h H 7 s 8 o a S J o z K P D D 6 q W G U S V f z d t 2 e u L A 5 t M Z X 5 J a v S r M 9 v T 0 b S Z t O p M / K w 8 x e C N s p j c o 4 J q K / a F W M p X V C P A 0 8 7 3 m K i d n r W 7 X W n G l o 2 T h l U b T a t J c + 4 1 e t Z g b i M O v c w v T O K w j m v t I G c m x V q m K B E / N D 1 C A J P Z p i o 2 e 5 r f a J d I O q d 8 8 Q t 5 P 9 T m e 2 4 n h N R 0 M f L 9 N R g C w Q T F D K a / H E A 0 F d j 2 S i p 9 u l f n H w B 1 B 7 H I c L a s y i e i U 9 b y C / C B m D Z T s 8 l S z K u G x J 1 Y i B E Z p w J M c V y K j f S 5 D 2 2 E C V g k O g j m Y J Y A o C A x X i 4 2 n 4 c N L D H r 4 q t w g h Y K h P k z L 4 0 E K M a y 9 K y O p Y D F P D d M o j y 5 X 7 N Y 2 n w m A T D X s + r / l Z g 1 Y V H l d C G z d e T X M Y t K 0 l 6 Y b 2 F G N w P a f Z / f d 9 B Y 2 0 f d h f X 1 W Z e Z C H + 6 K J A g w A x m r 3 Q O I q I N q W 1 m d 3 S k B f B 1 e P N H U y D y z U 9 0 D 9 q a F 3 o f d K o q h / w c N C Y A 0 D n G h A E 2 b c W Y F Y P C l b S q g z l 4 a g d G h Z U 5 m p a 9 O Z i 0 e x u x Q Q 1 t + D Z E 3 u P Z h c 2 S g f t + T M 0 i v f K C z o U X R P r K O j n 2 f G e m B J v G 3 F 6 i B 3 J i 0 u z L i 7 K c c n W k Q I I P x U T O P X V o p 6 c m l G R i 6 z d e Y i 0 L 4 I r c 6 l g z n e j A p W R R U s Y Q M j M E g h O u D l J y S X V h p + N v l O f n k p D S M J 3 2 j W d 5 B q b V n f 6 L I z j + b 4 Z 6 Y d b a u m 6 t e t s a H T n f 3 a a 0 R B h 3 4 W C J S V V p t x r y F a p K q y K w V W S e i T U O m m X 7 8 Z H A J B + x 3 5 Z + a 9 a t K Q Y l O t l u t / R 8 Q 2 a v h A u a R W C 6 8 u d y b U B I k f 3 6 8 s s p e G M + w 7 / 1 R H X W I / P y 1 I b L U 5 + t z v Q j E g g D w k N n X V Y + I z z Q U k T 6 v C l u N u V G A h T b C M G x U L 9 t I z R 9 p 9 m 3 w 9 Z z W S c H O H o C k / z b u l p U h + / e y 9 K e i C 8 O 1 S V r g Q e 6 k 9 R g S 5 k 9 z I K I x L p A A m 0 V m X w N I Y m X X 4 f B v n C d K B D a a j g X + B r P B Z y b U T n M Q D q u V W X n 2 m u 7 H l C x e n Y s H 4 N d X g F T f v f X j a R M 4 z I O i O 2 1 1 k O V d 5 R Y V f 7 I v D q y q g B C O q 4 5 A I a 0 y N 7 B I y u 3 K z Z L Z d 7 I L 0 T T M C e x W e 7 Y 0 0 5 i 3 X o i j b C d M T c R U 7 Z u Y k q / c m W L V F 1 X B c i 2 t H B d e e N j z Z V X 0 0 1 e N n B h l e 9 K Q m c p + w r N 2 6 h 0 J A C k c W Q N F G T T R r o t Y H M y T u 2 V 2 m c b 0 e Z Y D 6 w O 4 K V v 9 H + t w 6 J J 5 U 2 y W f 5 Y D t G n h R 4 A t S M B l J 8 9 F 3 P L b 4 C w 8 Z P M Q U b l s x J 3 L T M p H 8 W l 0 + n T 6 U L / p X v 2 u E N o / C a o J O d 8 3 l 5 P U j C v h X C K W 5 2 6 n Q 9 f y 4 f h X b 2 Y U G E 8 h Y 1 d G H g t + k v K x M 2 1 5 U j O 9 F L m U l v X B f L T x Z c 2 W L y 2 o T Q A u u 2 K l B 9 z 8 t h z H O 2 A R G d 1 b M X Y n 5 z x t C A 8 r k u 1 G 2 H 6 3 X x G u R Y A F f c v T 3 D 8 s 1 1 G u S V E R M W 0 M v M A 0 W Q 9 k C 5 D 8 F z P 8 2 M + n + + X d w e h h T Y R b V C t T O x x Y Q X 0 F e m x E n t 9 T B O b n I Q l N L 5 V W b 6 5 s 6 Q B b b 7 f 8 r c 8 0 B 2 k b n b u g v E A V F h d G 0 B V 7 c p / m P G i a t 2 i e / I M 9 H y f v f h K M s n Q V E d X j A F h 4 m C q s f c d y x c 8 g 0 j 6 S s T r m / P f h H c 9 y a n v 9 r r y T 7 q 2 1 + T N F 0 + s L k 0 S n / F 9 L i b y r 1 Z j O 1 t P b L Q E 9 C y N Z 6 o H Z U A L L D 2 E T t n D I C 6 T g C U m 1 k E S j B c T e z 0 a i r P D w O 1 9 i L A 8 A 8 V p + a b k 9 5 Z Q e 1 x H z C C J E g a T d f D O L b Q r Z V q s 5 j 5 E s a Q h s Z / 9 O f 2 W A + g m s s C U z g U w h E V G 1 y 1 9 k z B F i 0 C G q F d f A q q B C U F x i O Y L x + y L s R q o D j p 8 q T 1 + E W 9 1 J C 8 1 R W h H i o R p z 3 u B a b s Q N I r 0 E J S 4 B 1 V k 6 6 / S r w U I n H N 1 i M w 0 J K e T G r w q K b Y a q 4 H 9 V F j Q 5 p d 0 j c F h d j / F X y J C G P 0 d g E k a L J v A n C H a h w T N s 0 m 9 U b X J e C I G w D x i 2 + h x N p e v 6 W u k P A S v + 2 q J / C I B L K n J n J F J s 5 Z D X 0 3 F i C o 3 a e L H k O 9 0 O b D B / M x 3 V R r M Z j a d t Q U k + U R 1 l p k o J W m H j n x E f K t d C S + O L Z u X + p + X w b E f x g 3 J L e b 2 6 + u w 8 x H X K v W G 1 W R 6 l q V 1 4 z g Y T 1 S U d 6 0 k E 1 e M O k 3 w q W g 7 + X 3 + v h 0 9 J x M 1 q g K G L N g M C W w U S x v N M d Z d B b N T J z n 0 T E l C x E P d A q d H 7 O R P U d x K R / 4 g b 0 O R h k Y z Q r 7 t s o g 2 p K 9 o + 4 U E 1 m w + U V o E n u J r Q 8 3 + A x s 8 r 2 8 2 5 i 6 A A A A A A E l F T k S u Q m C C < / 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 N a m e = " A r e a s "   G u i d = " 3 e 7 d 8 4 d d - 4 8 a 9 - 4 f 2 7 - b 8 7 0 - 9 f 7 1 9 5 3 c 5 d 9 e "   R e v = " 8 "   R e v G u i d = " 5 4 6 2 b 6 2 9 - 6 c 4 3 - 4 1 6 5 - a 7 8 f - d 6 c b 7 7 2 9 2 1 b 7 "   V i s i b l e = " t r u e "   I n s t O n l y = " f a l s e "   G e o D a t a G u i d = " 6 a 9 2 4 f 1 c - 2 8 a 3 - 4 8 6 0 - 9 e 1 c - 4 e 8 4 a d a 0 a 3 7 2 " & g t ; & l t ; G e o V i s   V i s i b l e = " t r u e "   L a y e r C o l o r S e t = " f a l s e "   R e g i o n S h a d i n g M o d e S e t = " f a l s e "   R e g i o n S h a d i n g M o d e = " G l o b a l "   V i s u a l T y p e = " P o i n t M a r k e r C h a r t "   N u l l s = " f a l s e "   Z e r o s = " t r u e "   N e g a t i v e s = " t r u e " 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 A c c u m u l a t e = " f a l s e "   D e c a y = " N o n e "   D e c a y T i m e I s N u l l = " t r u e "   D e c a y T i m e T i c k s = " 0 "   V M T i m e A c c u m u l a t e = " f a l s e "   V M T i m e P e r s i s t = " f a l s e "   U s e r N o t M a p B y = " t r u e "   S e l T i m e S t g = " N o n e "   C h o o s i n g G e o F i e l d s = " t r u e " & g t ; & l t ; G e o E n t i t y   N a m e = " G e o E n t i t y "   V i s i b l e = " f a l s e " & g t ; & l t ; G e o C o l u m n s & g t ; & l t ; G e o C o l u m n   N a m e = " W a s h i n g t o n "   V i s i b l e = " t r u e "   D a t a T y p e = " S t r i n g "   M o d e l Q u e r y N a m e = " ' R a n g e ' [ W a s h i n g t o n ] " & g t ; & l t ; T a b l e   M o d e l N a m e = " R a n g e "   N a m e I n S o u r c e = " R a n g e "   V i s i b l e = " t r u e "   L a s t R e f r e s h = " 0 0 0 1 - 0 1 - 0 1 T 0 0 : 0 0 : 0 0 "   / & g t ; & l t ; / G e o C o l u m n & g t ; & l t ; / G e o C o l u m n s & g t ; & l t ; A d m i n D i s t r i c t   N a m e = " W a s h i n g t o n "   V i s i b l e = " t r u e "   D a t a T y p e = " S t r i n g "   M o d e l Q u e r y N a m e = " ' R a n g e ' [ W a s h i n g t o n ] " & g t ; & l t ; T a b l e   M o d e l N a m e = " R a n g e "   N a m e I n S o u r c e = " R a n g e "   V i s i b l e = " t r u e "   L a s t R e f r e s h = " 0 0 0 1 - 0 1 - 0 1 T 0 0 : 0 0 : 0 0 "   / & g t ; & l t ; / A d m i n D i s t r i c t & g t ; & l t ; / G e o E n t i t y & g t ; & l t ; M e a s u r e s   / & g t ; & l t ; M e a s u r e A F s   / & g t ; & l t ; C o l o r A F & g t ; N o n e & l t ; / C o l o r A F & g t ; & l t ; C h o s e n F i e l d s   / & g t ; & l t ; C h u n k B y & g t ; N o n e & l t ; / C h u n k B y & g t ; & l t ; C h o s e n G e o M a p p i n g s & g t ; & l t ; G e o M a p p i n g T y p e & g t ; S t a t e & l t ; / G e o M a p p i n g T y p e & g t ; & l t ; / C h o s e n G e o M a p p i n g s & 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1 & 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Props1.xml><?xml version="1.0" encoding="utf-8"?>
<ds:datastoreItem xmlns:ds="http://schemas.openxmlformats.org/officeDocument/2006/customXml" ds:itemID="{C86DD62C-05C4-4497-BBE2-859ADE86C3AE}">
  <ds:schemaRefs>
    <ds:schemaRef ds:uri="http://www.w3.org/2001/XMLSchema"/>
    <ds:schemaRef ds:uri="http://microsoft.data.visualization.Client.Excel.LState/1.0"/>
  </ds:schemaRefs>
</ds:datastoreItem>
</file>

<file path=customXml/itemProps2.xml><?xml version="1.0" encoding="utf-8"?>
<ds:datastoreItem xmlns:ds="http://schemas.openxmlformats.org/officeDocument/2006/customXml" ds:itemID="{7DCED80D-14BF-4C09-AFDF-8872F77B7C07}">
  <ds:schemaRefs>
    <ds:schemaRef ds:uri="http://www.w3.org/2001/XMLSchema"/>
    <ds:schemaRef ds:uri="http://microsoft.data.visualization.Client.Excel/1.0"/>
  </ds:schemaRefs>
</ds:datastoreItem>
</file>

<file path=customXml/itemProps3.xml><?xml version="1.0" encoding="utf-8"?>
<ds:datastoreItem xmlns:ds="http://schemas.openxmlformats.org/officeDocument/2006/customXml" ds:itemID="{F9F58CA3-EB4E-46A6-A5B0-C1856DB5BDCA}">
  <ds:schemaRefs>
    <ds:schemaRef ds:uri="http://www.w3.org/2001/XMLSchema"/>
    <ds:schemaRef ds:uri="http://microsoft.data.visualization.engine.tours/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1A_ByArea</vt:lpstr>
      <vt:lpstr>1B_Direct</vt:lpstr>
      <vt:lpstr>2_SpeciesType</vt:lpstr>
      <vt:lpstr>3_FCRPS</vt:lpstr>
      <vt:lpstr>4_ESASpecies</vt:lpstr>
      <vt:lpstr>5_Fund</vt:lpstr>
      <vt:lpstr>6A_Category</vt:lpstr>
      <vt:lpstr>6B_ArtProd</vt:lpstr>
      <vt:lpstr>6C_RME</vt:lpstr>
      <vt:lpstr>7A_Province</vt:lpstr>
      <vt:lpstr>7B_Subbasin</vt:lpstr>
      <vt:lpstr>8_Location</vt:lpstr>
      <vt:lpstr>9_Contractor</vt:lpstr>
      <vt:lpstr>10_LandPurchases</vt:lpstr>
      <vt:lpstr>NA_Cumulative</vt:lpstr>
      <vt:lpstr>BPA Costs Table</vt:lpstr>
      <vt:lpstr>lkp</vt:lpstr>
      <vt:lpstr>subtitle</vt:lpstr>
    </vt:vector>
  </TitlesOfParts>
  <Company>Bonneville Power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Valerie Lefler</dc:creator>
  <cp:lastModifiedBy>Eric Schrepel</cp:lastModifiedBy>
  <cp:lastPrinted>2019-02-19T17:43:32Z</cp:lastPrinted>
  <dcterms:created xsi:type="dcterms:W3CDTF">2004-12-27T17:27:22Z</dcterms:created>
  <dcterms:modified xsi:type="dcterms:W3CDTF">2022-05-18T21:24:40Z</dcterms:modified>
</cp:coreProperties>
</file>