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theme/themeOverride5.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omments1.xml" ContentType="application/vnd.openxmlformats-officedocument.spreadsheetml.comments+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C:\t\2024governor\"/>
    </mc:Choice>
  </mc:AlternateContent>
  <xr:revisionPtr revIDLastSave="0" documentId="13_ncr:1_{60D07B01-9AB5-4F7B-B3F4-2D5481C43CCC}" xr6:coauthVersionLast="47" xr6:coauthVersionMax="47" xr10:uidLastSave="{00000000-0000-0000-0000-000000000000}"/>
  <bookViews>
    <workbookView xWindow="-110" yWindow="-110" windowWidth="25820" windowHeight="15500" tabRatio="850" xr2:uid="{00000000-000D-0000-FFFF-FFFF00000000}"/>
  </bookViews>
  <sheets>
    <sheet name="1A_ByArea" sheetId="36" r:id="rId1"/>
    <sheet name="1B_Direct" sheetId="43" r:id="rId2"/>
    <sheet name="2 F&amp;W Program Costs" sheetId="50" r:id="rId3"/>
    <sheet name="3_SpeciesType" sheetId="15" r:id="rId4"/>
    <sheet name="4_FCRPS_CRS" sheetId="49" r:id="rId5"/>
    <sheet name="5_ESASpecies" sheetId="17" r:id="rId6"/>
    <sheet name="6A_Emphasis" sheetId="24" r:id="rId7"/>
    <sheet name="6B_ArtProd" sheetId="34" r:id="rId8"/>
    <sheet name="6C_RME" sheetId="41" r:id="rId9"/>
    <sheet name="7A_Province" sheetId="19" r:id="rId10"/>
    <sheet name="7B_Subbasin" sheetId="39" r:id="rId11"/>
    <sheet name="8_State" sheetId="27" r:id="rId12"/>
    <sheet name="9_Contractor" sheetId="42" r:id="rId13"/>
    <sheet name="10_LandPurchases" sheetId="20" r:id="rId14"/>
    <sheet name="NA_Cumulative" sheetId="21" state="hidden" r:id="rId15"/>
    <sheet name="BPA Costs Table" sheetId="44" r:id="rId16"/>
  </sheets>
  <externalReferences>
    <externalReference r:id="rId17"/>
    <externalReference r:id="rId18"/>
    <externalReference r:id="rId19"/>
  </externalReferences>
  <definedNames>
    <definedName name="_xlnm._FilterDatabase" localSheetId="10" hidden="1">'7B_Subbasin'!$A$2:$F$68</definedName>
    <definedName name="_xlnm._FilterDatabase" localSheetId="12" hidden="1">'9_Contractor'!$A$2:$I$2</definedName>
    <definedName name="_xlcn.WorksheetConnection_4_CostsByLocationA3E91" hidden="1">'8_State'!$A$3:$L$9</definedName>
    <definedName name="lkp">'7B_Subbasin'!$J$52:$L$106</definedName>
    <definedName name="subtitle" localSheetId="2">'[1]2_SpeciesType'!$D$40</definedName>
    <definedName name="subtitle" localSheetId="4">'[2]2_SpeciesType'!$D$40</definedName>
    <definedName name="subtitle">'3_SpeciesType'!$D$26</definedName>
  </definedNames>
  <calcPr calcId="191029"/>
  <extLs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20" l="1"/>
  <c r="P22" i="20"/>
  <c r="G12" i="36"/>
  <c r="G8" i="36" l="1"/>
  <c r="G7" i="36"/>
  <c r="G9" i="36"/>
  <c r="G6" i="36"/>
  <c r="G5" i="36"/>
  <c r="D13" i="36"/>
  <c r="C16" i="36"/>
  <c r="C15" i="36"/>
  <c r="C12" i="36"/>
  <c r="C11" i="36"/>
  <c r="C10" i="36"/>
  <c r="C9" i="36"/>
  <c r="D18" i="36"/>
  <c r="D7" i="36"/>
  <c r="D6" i="36"/>
  <c r="D17" i="36" l="1"/>
  <c r="D20" i="36" l="1"/>
  <c r="Q8" i="50"/>
  <c r="P7" i="34"/>
  <c r="Q7" i="34"/>
  <c r="R7" i="34"/>
  <c r="O9" i="41"/>
  <c r="S15" i="19"/>
  <c r="R15" i="19"/>
  <c r="Q114" i="42" l="1"/>
  <c r="Q113" i="42"/>
  <c r="Q87" i="42"/>
  <c r="Q84" i="42"/>
  <c r="Q85" i="42"/>
  <c r="Q83" i="42"/>
  <c r="Q81" i="42"/>
  <c r="Q80" i="42"/>
  <c r="Q82" i="42"/>
  <c r="Q79" i="42"/>
  <c r="Q78" i="42"/>
  <c r="T11" i="42" l="1"/>
  <c r="W7" i="42"/>
  <c r="W6" i="42"/>
  <c r="Q112" i="42" l="1"/>
  <c r="Q111" i="42"/>
  <c r="Q110" i="42"/>
  <c r="Q109" i="42"/>
  <c r="Q108" i="42"/>
  <c r="Q107" i="42"/>
  <c r="Q106" i="42"/>
  <c r="Q105" i="42"/>
  <c r="Q104" i="42"/>
  <c r="Q103" i="42"/>
  <c r="Q102" i="42"/>
  <c r="Q101" i="42"/>
  <c r="Q100" i="42"/>
  <c r="Q99" i="42"/>
  <c r="Q98" i="42"/>
  <c r="Q97" i="42"/>
  <c r="Q96" i="42"/>
  <c r="Q95" i="42"/>
  <c r="Q94" i="42"/>
  <c r="Q93" i="42"/>
  <c r="Q92" i="42"/>
  <c r="Q90" i="42"/>
  <c r="Q91" i="42"/>
  <c r="Q89" i="42"/>
  <c r="Q88" i="42"/>
  <c r="O10" i="27" l="1"/>
  <c r="H68" i="39"/>
  <c r="P9" i="27" l="1"/>
  <c r="P8" i="27"/>
  <c r="P7" i="27"/>
  <c r="P6" i="27"/>
  <c r="P5" i="27"/>
  <c r="P4" i="27"/>
  <c r="P3" i="27"/>
  <c r="S12" i="24" l="1"/>
  <c r="O22" i="20"/>
  <c r="N22" i="20"/>
  <c r="T65" i="42"/>
  <c r="W8" i="42" s="1"/>
  <c r="T52" i="42"/>
  <c r="W5" i="42" s="1"/>
  <c r="T21" i="42" l="1"/>
  <c r="T16" i="42"/>
  <c r="T29" i="42"/>
  <c r="T25" i="42"/>
  <c r="Q86" i="42" s="1"/>
  <c r="W3" i="42"/>
  <c r="S65" i="42"/>
  <c r="S52" i="42"/>
  <c r="S29" i="42"/>
  <c r="S25" i="42"/>
  <c r="S21" i="42"/>
  <c r="S16" i="42"/>
  <c r="S11" i="42"/>
  <c r="N10" i="27"/>
  <c r="G68" i="39"/>
  <c r="T30" i="42" l="1"/>
  <c r="W4" i="42" s="1"/>
  <c r="S30" i="42"/>
  <c r="S67" i="42" s="1"/>
  <c r="J15" i="19"/>
  <c r="K15" i="19"/>
  <c r="L15" i="19"/>
  <c r="M15" i="19"/>
  <c r="N15" i="19"/>
  <c r="O15" i="19"/>
  <c r="P15" i="19"/>
  <c r="Q15" i="19"/>
  <c r="T67" i="42" l="1"/>
  <c r="T11" i="24"/>
  <c r="S11" i="15"/>
  <c r="T11" i="15"/>
  <c r="T21" i="15"/>
  <c r="T20" i="15"/>
  <c r="T19" i="15"/>
  <c r="N9" i="41"/>
  <c r="T10" i="24"/>
  <c r="R12" i="24"/>
  <c r="B8" i="50" l="1"/>
  <c r="C8" i="50"/>
  <c r="D8" i="50"/>
  <c r="E8" i="50"/>
  <c r="F8" i="50"/>
  <c r="G8" i="50"/>
  <c r="H17" i="50"/>
  <c r="H18" i="50"/>
  <c r="H19" i="50"/>
  <c r="H20" i="50"/>
  <c r="H21" i="50"/>
  <c r="T6" i="49"/>
  <c r="S6" i="49"/>
  <c r="T22" i="15" l="1"/>
  <c r="U21" i="15"/>
  <c r="T23" i="15"/>
  <c r="AC54" i="44" l="1"/>
  <c r="AB54" i="44"/>
  <c r="AA54" i="44"/>
  <c r="Z54" i="44"/>
  <c r="Y54" i="44"/>
  <c r="X54" i="44"/>
  <c r="W54" i="44"/>
  <c r="V54" i="44"/>
  <c r="U54" i="44"/>
  <c r="T54" i="44"/>
  <c r="S54" i="44"/>
  <c r="R54" i="44"/>
  <c r="Q54" i="44"/>
  <c r="P54" i="44"/>
  <c r="O54" i="44"/>
  <c r="N54" i="44"/>
  <c r="M54" i="44"/>
  <c r="L54" i="44"/>
  <c r="K54" i="44"/>
  <c r="J54" i="44"/>
  <c r="I54" i="44"/>
  <c r="H54" i="44"/>
  <c r="G54" i="44"/>
  <c r="F54" i="44"/>
  <c r="E54" i="44"/>
  <c r="D54" i="44"/>
  <c r="C54" i="44"/>
  <c r="B54" i="44"/>
  <c r="B55" i="44" s="1"/>
  <c r="AC53" i="44"/>
  <c r="AB53" i="44"/>
  <c r="AA53" i="44"/>
  <c r="Z53" i="44"/>
  <c r="Y53" i="44"/>
  <c r="X53" i="44"/>
  <c r="W53" i="44"/>
  <c r="V53" i="44"/>
  <c r="U53" i="44"/>
  <c r="T53" i="44"/>
  <c r="S53" i="44"/>
  <c r="R53" i="44"/>
  <c r="Q53" i="44"/>
  <c r="P53" i="44"/>
  <c r="O53" i="44"/>
  <c r="N53" i="44"/>
  <c r="M53" i="44"/>
  <c r="L53" i="44"/>
  <c r="K53" i="44"/>
  <c r="J53" i="44"/>
  <c r="I53" i="44"/>
  <c r="H53" i="44"/>
  <c r="G53" i="44"/>
  <c r="F53" i="44"/>
  <c r="E53" i="44"/>
  <c r="D53" i="44"/>
  <c r="C53" i="44"/>
  <c r="B53" i="44"/>
  <c r="AI33" i="44"/>
  <c r="AG33" i="44"/>
  <c r="AF33" i="44"/>
  <c r="AE33" i="44"/>
  <c r="AD33" i="44"/>
  <c r="AC33" i="44"/>
  <c r="AC60" i="44" s="1"/>
  <c r="AB33" i="44"/>
  <c r="AB60" i="44" s="1"/>
  <c r="AA33" i="44"/>
  <c r="AA60" i="44" s="1"/>
  <c r="Z33" i="44"/>
  <c r="Z60" i="44" s="1"/>
  <c r="Y33" i="44"/>
  <c r="Y60" i="44" s="1"/>
  <c r="X33" i="44"/>
  <c r="X60" i="44" s="1"/>
  <c r="W33" i="44"/>
  <c r="W60" i="44" s="1"/>
  <c r="V33" i="44"/>
  <c r="V60" i="44" s="1"/>
  <c r="U33" i="44"/>
  <c r="U60" i="44" s="1"/>
  <c r="T33" i="44"/>
  <c r="T60" i="44" s="1"/>
  <c r="S33" i="44"/>
  <c r="S60" i="44" s="1"/>
  <c r="R33" i="44"/>
  <c r="R60" i="44" s="1"/>
  <c r="Q33" i="44"/>
  <c r="Q60" i="44" s="1"/>
  <c r="P33" i="44"/>
  <c r="P60" i="44" s="1"/>
  <c r="O33" i="44"/>
  <c r="O60" i="44" s="1"/>
  <c r="N33" i="44"/>
  <c r="N60" i="44" s="1"/>
  <c r="M33" i="44"/>
  <c r="M60" i="44" s="1"/>
  <c r="L33" i="44"/>
  <c r="L60" i="44" s="1"/>
  <c r="K33" i="44"/>
  <c r="K60" i="44" s="1"/>
  <c r="J33" i="44"/>
  <c r="J60" i="44" s="1"/>
  <c r="I33" i="44"/>
  <c r="I60" i="44" s="1"/>
  <c r="H33" i="44"/>
  <c r="H60" i="44" s="1"/>
  <c r="G33" i="44"/>
  <c r="G60" i="44" s="1"/>
  <c r="F33" i="44"/>
  <c r="F60" i="44" s="1"/>
  <c r="E33" i="44"/>
  <c r="E60" i="44" s="1"/>
  <c r="D33" i="44"/>
  <c r="D60" i="44" s="1"/>
  <c r="C33" i="44"/>
  <c r="C60" i="44" s="1"/>
  <c r="B33" i="44"/>
  <c r="B60" i="44" s="1"/>
  <c r="B61" i="44" s="1"/>
  <c r="AT31" i="44"/>
  <c r="AT33" i="44" s="1"/>
  <c r="AS31" i="44"/>
  <c r="AS33" i="44" s="1"/>
  <c r="AR31" i="44"/>
  <c r="AR33" i="44" s="1"/>
  <c r="AQ31" i="44"/>
  <c r="AQ33" i="44" s="1"/>
  <c r="AP31" i="44"/>
  <c r="AP33" i="44" s="1"/>
  <c r="AM31" i="44"/>
  <c r="AM33" i="44" s="1"/>
  <c r="AL31" i="44"/>
  <c r="AL33" i="44" s="1"/>
  <c r="AK31" i="44"/>
  <c r="AK33" i="44" s="1"/>
  <c r="AJ31" i="44"/>
  <c r="AJ33" i="44" s="1"/>
  <c r="AI31" i="44"/>
  <c r="AH31" i="44"/>
  <c r="AH33" i="44" s="1"/>
  <c r="AT28" i="44"/>
  <c r="AS28" i="44"/>
  <c r="AR28" i="44"/>
  <c r="AQ28" i="44"/>
  <c r="AP28" i="44"/>
  <c r="AM28" i="44"/>
  <c r="AL28" i="44"/>
  <c r="AK28" i="44"/>
  <c r="AJ28" i="44"/>
  <c r="AI28" i="44"/>
  <c r="AH28" i="44"/>
  <c r="AG28" i="44"/>
  <c r="AF28" i="44"/>
  <c r="AE28" i="44"/>
  <c r="AD28" i="44"/>
  <c r="AC28" i="44"/>
  <c r="AC58" i="44" s="1"/>
  <c r="AB28" i="44"/>
  <c r="AB58" i="44" s="1"/>
  <c r="AA28" i="44"/>
  <c r="AA58" i="44" s="1"/>
  <c r="Z28" i="44"/>
  <c r="Z58" i="44" s="1"/>
  <c r="Y28" i="44"/>
  <c r="Y58" i="44" s="1"/>
  <c r="X28" i="44"/>
  <c r="X58" i="44" s="1"/>
  <c r="W28" i="44"/>
  <c r="W58" i="44" s="1"/>
  <c r="V28" i="44"/>
  <c r="V58" i="44" s="1"/>
  <c r="U28" i="44"/>
  <c r="U58" i="44" s="1"/>
  <c r="T28" i="44"/>
  <c r="T58" i="44" s="1"/>
  <c r="S28" i="44"/>
  <c r="S58" i="44" s="1"/>
  <c r="R28" i="44"/>
  <c r="R58" i="44" s="1"/>
  <c r="Q28" i="44"/>
  <c r="Q58" i="44" s="1"/>
  <c r="P28" i="44"/>
  <c r="P58" i="44" s="1"/>
  <c r="O28" i="44"/>
  <c r="O58" i="44" s="1"/>
  <c r="N28" i="44"/>
  <c r="N58" i="44" s="1"/>
  <c r="M28" i="44"/>
  <c r="M58" i="44" s="1"/>
  <c r="L28" i="44"/>
  <c r="K28" i="44"/>
  <c r="K58" i="44" s="1"/>
  <c r="J28" i="44"/>
  <c r="J58" i="44" s="1"/>
  <c r="I28" i="44"/>
  <c r="I58" i="44" s="1"/>
  <c r="H28" i="44"/>
  <c r="H58" i="44" s="1"/>
  <c r="G28" i="44"/>
  <c r="G58" i="44" s="1"/>
  <c r="F28" i="44"/>
  <c r="F58" i="44" s="1"/>
  <c r="E28" i="44"/>
  <c r="E58" i="44" s="1"/>
  <c r="D28" i="44"/>
  <c r="D58" i="44" s="1"/>
  <c r="C28" i="44"/>
  <c r="C58" i="44" s="1"/>
  <c r="B28" i="44"/>
  <c r="B58" i="44" s="1"/>
  <c r="B59" i="44" s="1"/>
  <c r="C59" i="44" s="1"/>
  <c r="AT23" i="44"/>
  <c r="AS23" i="44"/>
  <c r="AR23" i="44"/>
  <c r="AQ23" i="44"/>
  <c r="AP23" i="44"/>
  <c r="AM23" i="44"/>
  <c r="AL23" i="44"/>
  <c r="AK23" i="44"/>
  <c r="AJ23" i="44"/>
  <c r="AI23" i="44"/>
  <c r="AH23" i="44"/>
  <c r="AG23" i="44"/>
  <c r="AF23" i="44"/>
  <c r="AE23" i="44"/>
  <c r="AD23" i="44"/>
  <c r="AC23" i="44"/>
  <c r="AB23" i="44"/>
  <c r="AA23" i="44"/>
  <c r="Z23" i="44"/>
  <c r="Y23" i="44"/>
  <c r="X23" i="44"/>
  <c r="W23" i="44"/>
  <c r="V23" i="44"/>
  <c r="U23" i="44"/>
  <c r="T23" i="44"/>
  <c r="S23" i="44"/>
  <c r="R23" i="44"/>
  <c r="Q23" i="44"/>
  <c r="P23" i="44"/>
  <c r="O23" i="44"/>
  <c r="N23" i="44"/>
  <c r="M23" i="44"/>
  <c r="L23" i="44"/>
  <c r="K23" i="44"/>
  <c r="J23" i="44"/>
  <c r="I23" i="44"/>
  <c r="H23" i="44"/>
  <c r="G23" i="44"/>
  <c r="F23" i="44"/>
  <c r="E23" i="44"/>
  <c r="D23" i="44"/>
  <c r="C23" i="44"/>
  <c r="B23" i="44"/>
  <c r="P18" i="44"/>
  <c r="O18" i="44"/>
  <c r="O24" i="44" s="1"/>
  <c r="N18" i="44"/>
  <c r="N24" i="44" s="1"/>
  <c r="M18" i="44"/>
  <c r="M24" i="44" s="1"/>
  <c r="L18" i="44"/>
  <c r="L24" i="44" s="1"/>
  <c r="K18" i="44"/>
  <c r="K24" i="44" s="1"/>
  <c r="K29" i="44" s="1"/>
  <c r="K56" i="44" s="1"/>
  <c r="J18" i="44"/>
  <c r="I18" i="44"/>
  <c r="I24" i="44" s="1"/>
  <c r="H18" i="44"/>
  <c r="H24" i="44" s="1"/>
  <c r="G18" i="44"/>
  <c r="G24" i="44" s="1"/>
  <c r="G29" i="44" s="1"/>
  <c r="G56" i="44" s="1"/>
  <c r="F18" i="44"/>
  <c r="E18" i="44"/>
  <c r="D18" i="44"/>
  <c r="C18" i="44"/>
  <c r="B18" i="44"/>
  <c r="AT17" i="44"/>
  <c r="AT18" i="44" s="1"/>
  <c r="AS17" i="44"/>
  <c r="AS18" i="44" s="1"/>
  <c r="AR17" i="44"/>
  <c r="AR18" i="44" s="1"/>
  <c r="AQ17" i="44"/>
  <c r="AQ18" i="44" s="1"/>
  <c r="AP17" i="44"/>
  <c r="AP18" i="44" s="1"/>
  <c r="AM17" i="44"/>
  <c r="AM18" i="44" s="1"/>
  <c r="AL17" i="44"/>
  <c r="AL18" i="44" s="1"/>
  <c r="AL24" i="44" s="1"/>
  <c r="AL29" i="44" s="1"/>
  <c r="AK17" i="44"/>
  <c r="AK18" i="44" s="1"/>
  <c r="AK24" i="44" s="1"/>
  <c r="AK29" i="44" s="1"/>
  <c r="AJ17" i="44"/>
  <c r="AJ18" i="44" s="1"/>
  <c r="AJ24" i="44" s="1"/>
  <c r="AJ29" i="44" s="1"/>
  <c r="AI17" i="44"/>
  <c r="AI18" i="44" s="1"/>
  <c r="AH17" i="44"/>
  <c r="AH18" i="44" s="1"/>
  <c r="AG17" i="44"/>
  <c r="AG18" i="44" s="1"/>
  <c r="AG24" i="44" s="1"/>
  <c r="AG29" i="44" s="1"/>
  <c r="AF17" i="44"/>
  <c r="AF18" i="44" s="1"/>
  <c r="AE17" i="44"/>
  <c r="AE18" i="44" s="1"/>
  <c r="AE24" i="44" s="1"/>
  <c r="AC17" i="44"/>
  <c r="AC18" i="44" s="1"/>
  <c r="AC24" i="44" s="1"/>
  <c r="AB17" i="44"/>
  <c r="AB18" i="44" s="1"/>
  <c r="AA17" i="44"/>
  <c r="AA18" i="44" s="1"/>
  <c r="Z17" i="44"/>
  <c r="Z18" i="44" s="1"/>
  <c r="Y17" i="44"/>
  <c r="Y18" i="44" s="1"/>
  <c r="X17" i="44"/>
  <c r="X18" i="44" s="1"/>
  <c r="W17" i="44"/>
  <c r="W18" i="44" s="1"/>
  <c r="V17" i="44"/>
  <c r="V18" i="44" s="1"/>
  <c r="U17" i="44"/>
  <c r="U18" i="44" s="1"/>
  <c r="T17" i="44"/>
  <c r="T18" i="44" s="1"/>
  <c r="T24" i="44" s="1"/>
  <c r="T29" i="44" s="1"/>
  <c r="T56" i="44" s="1"/>
  <c r="S17" i="44"/>
  <c r="S18" i="44" s="1"/>
  <c r="S24" i="44" s="1"/>
  <c r="S29" i="44" s="1"/>
  <c r="S56" i="44" s="1"/>
  <c r="R17" i="44"/>
  <c r="R18" i="44" s="1"/>
  <c r="Q17" i="44"/>
  <c r="Q18" i="44" s="1"/>
  <c r="AD16" i="44"/>
  <c r="AD17" i="44" s="1"/>
  <c r="AD18" i="44" s="1"/>
  <c r="AD24" i="44" s="1"/>
  <c r="AT7" i="44"/>
  <c r="AS7" i="44"/>
  <c r="AR7" i="44"/>
  <c r="AQ7" i="44"/>
  <c r="AP7" i="44"/>
  <c r="AM7" i="44"/>
  <c r="AL7" i="44"/>
  <c r="AK7" i="44"/>
  <c r="AJ7" i="44"/>
  <c r="AI7" i="44"/>
  <c r="AH7" i="44"/>
  <c r="AG7" i="44"/>
  <c r="AF7" i="44"/>
  <c r="AE7" i="44"/>
  <c r="AD7" i="44"/>
  <c r="AC7" i="44"/>
  <c r="AB7" i="44"/>
  <c r="AA7" i="44"/>
  <c r="Z7" i="44"/>
  <c r="Y7" i="44"/>
  <c r="X7" i="44"/>
  <c r="W7" i="44"/>
  <c r="V7" i="44"/>
  <c r="U7" i="44"/>
  <c r="T7" i="44"/>
  <c r="S7" i="44"/>
  <c r="R7" i="44"/>
  <c r="Q7" i="44"/>
  <c r="P7" i="44"/>
  <c r="O7" i="44"/>
  <c r="N7" i="44"/>
  <c r="M7" i="44"/>
  <c r="L7" i="44"/>
  <c r="K7" i="44"/>
  <c r="J7" i="44"/>
  <c r="I7" i="44"/>
  <c r="H7" i="44"/>
  <c r="G7" i="44"/>
  <c r="F7" i="44"/>
  <c r="E7" i="44"/>
  <c r="D7" i="44"/>
  <c r="C7" i="44"/>
  <c r="B7" i="44"/>
  <c r="C55" i="44" l="1"/>
  <c r="D55" i="44" s="1"/>
  <c r="E55" i="44" s="1"/>
  <c r="F55" i="44" s="1"/>
  <c r="G55" i="44" s="1"/>
  <c r="H55" i="44" s="1"/>
  <c r="I55" i="44" s="1"/>
  <c r="J55" i="44" s="1"/>
  <c r="K55" i="44" s="1"/>
  <c r="L55" i="44" s="1"/>
  <c r="M55" i="44" s="1"/>
  <c r="N55" i="44" s="1"/>
  <c r="O55" i="44" s="1"/>
  <c r="P55" i="44" s="1"/>
  <c r="Q55" i="44" s="1"/>
  <c r="R55" i="44" s="1"/>
  <c r="S55" i="44" s="1"/>
  <c r="T55" i="44" s="1"/>
  <c r="U55" i="44" s="1"/>
  <c r="V55" i="44" s="1"/>
  <c r="W55" i="44" s="1"/>
  <c r="X55" i="44" s="1"/>
  <c r="Y55" i="44" s="1"/>
  <c r="Z55" i="44" s="1"/>
  <c r="AA55" i="44" s="1"/>
  <c r="AB55" i="44" s="1"/>
  <c r="AC55" i="44" s="1"/>
  <c r="H29" i="44"/>
  <c r="H56" i="44" s="1"/>
  <c r="W24" i="44"/>
  <c r="W29" i="44" s="1"/>
  <c r="W56" i="44" s="1"/>
  <c r="V24" i="44"/>
  <c r="V29" i="44" s="1"/>
  <c r="V56" i="44" s="1"/>
  <c r="N29" i="44"/>
  <c r="N56" i="44" s="1"/>
  <c r="X24" i="44"/>
  <c r="X29" i="44" s="1"/>
  <c r="X56" i="44" s="1"/>
  <c r="Y24" i="44"/>
  <c r="Y29" i="44" s="1"/>
  <c r="Y56" i="44" s="1"/>
  <c r="AR24" i="44"/>
  <c r="AR29" i="44" s="1"/>
  <c r="O29" i="44"/>
  <c r="O56" i="44" s="1"/>
  <c r="U24" i="44"/>
  <c r="U29" i="44" s="1"/>
  <c r="U56" i="44" s="1"/>
  <c r="AM24" i="44"/>
  <c r="AM29" i="44" s="1"/>
  <c r="Z24" i="44"/>
  <c r="Z29" i="44" s="1"/>
  <c r="Z56" i="44" s="1"/>
  <c r="AS24" i="44"/>
  <c r="AS29" i="44" s="1"/>
  <c r="I29" i="44"/>
  <c r="I56" i="44" s="1"/>
  <c r="AP24" i="44"/>
  <c r="AP29" i="44" s="1"/>
  <c r="AA24" i="44"/>
  <c r="AA29" i="44" s="1"/>
  <c r="AA56" i="44" s="1"/>
  <c r="AT24" i="44"/>
  <c r="AT29" i="44" s="1"/>
  <c r="D59" i="44"/>
  <c r="E59" i="44" s="1"/>
  <c r="AQ24" i="44"/>
  <c r="AQ29" i="44" s="1"/>
  <c r="AB24" i="44"/>
  <c r="AB29" i="44" s="1"/>
  <c r="AB56" i="44" s="1"/>
  <c r="AC29" i="44"/>
  <c r="AC56" i="44" s="1"/>
  <c r="M29" i="44"/>
  <c r="M56" i="44" s="1"/>
  <c r="AE29" i="44"/>
  <c r="B24" i="44"/>
  <c r="B29" i="44" s="1"/>
  <c r="B56" i="44" s="1"/>
  <c r="B57" i="44" s="1"/>
  <c r="C57" i="44" s="1"/>
  <c r="D57" i="44" s="1"/>
  <c r="C24" i="44"/>
  <c r="C29" i="44" s="1"/>
  <c r="C56" i="44" s="1"/>
  <c r="AD29" i="44"/>
  <c r="R24" i="44"/>
  <c r="R29" i="44" s="1"/>
  <c r="R56" i="44" s="1"/>
  <c r="Q24" i="44"/>
  <c r="Q29" i="44" s="1"/>
  <c r="Q56" i="44" s="1"/>
  <c r="F59" i="44"/>
  <c r="G59" i="44" s="1"/>
  <c r="H59" i="44" s="1"/>
  <c r="I59" i="44" s="1"/>
  <c r="J59" i="44" s="1"/>
  <c r="K59" i="44" s="1"/>
  <c r="J24" i="44"/>
  <c r="J29" i="44" s="1"/>
  <c r="J56" i="44" s="1"/>
  <c r="P24" i="44"/>
  <c r="P29" i="44" s="1"/>
  <c r="P56" i="44" s="1"/>
  <c r="D24" i="44"/>
  <c r="D29" i="44" s="1"/>
  <c r="D56" i="44" s="1"/>
  <c r="AF24" i="44"/>
  <c r="AF29" i="44" s="1"/>
  <c r="E24" i="44"/>
  <c r="E29" i="44" s="1"/>
  <c r="E56" i="44" s="1"/>
  <c r="L29" i="44"/>
  <c r="L56" i="44" s="1"/>
  <c r="F24" i="44"/>
  <c r="F29" i="44" s="1"/>
  <c r="F56" i="44" s="1"/>
  <c r="AH24" i="44"/>
  <c r="AH29" i="44" s="1"/>
  <c r="AI24" i="44"/>
  <c r="AI29" i="44" s="1"/>
  <c r="C61" i="44"/>
  <c r="D61" i="44" s="1"/>
  <c r="E61" i="44" s="1"/>
  <c r="F61" i="44" s="1"/>
  <c r="G61" i="44" s="1"/>
  <c r="H61" i="44" s="1"/>
  <c r="I61" i="44" s="1"/>
  <c r="J61" i="44" s="1"/>
  <c r="K61" i="44" s="1"/>
  <c r="L61" i="44" s="1"/>
  <c r="M61" i="44" s="1"/>
  <c r="N61" i="44" s="1"/>
  <c r="O61" i="44" s="1"/>
  <c r="P61" i="44" s="1"/>
  <c r="Q61" i="44" s="1"/>
  <c r="R61" i="44" s="1"/>
  <c r="S61" i="44" s="1"/>
  <c r="T61" i="44" s="1"/>
  <c r="U61" i="44" s="1"/>
  <c r="V61" i="44" s="1"/>
  <c r="W61" i="44" s="1"/>
  <c r="X61" i="44" s="1"/>
  <c r="Y61" i="44" s="1"/>
  <c r="Z61" i="44" s="1"/>
  <c r="AA61" i="44" s="1"/>
  <c r="AB61" i="44" s="1"/>
  <c r="AC61" i="44" s="1"/>
  <c r="L58" i="44"/>
  <c r="E57" i="44" l="1"/>
  <c r="F57" i="44" s="1"/>
  <c r="G57" i="44" s="1"/>
  <c r="H57" i="44" s="1"/>
  <c r="I57" i="44" s="1"/>
  <c r="J57" i="44" s="1"/>
  <c r="K57" i="44" s="1"/>
  <c r="L57" i="44" s="1"/>
  <c r="M57" i="44" s="1"/>
  <c r="N57" i="44" s="1"/>
  <c r="O57" i="44" s="1"/>
  <c r="P57" i="44" s="1"/>
  <c r="Q57" i="44" s="1"/>
  <c r="R57" i="44" s="1"/>
  <c r="S57" i="44" s="1"/>
  <c r="T57" i="44" s="1"/>
  <c r="U57" i="44" s="1"/>
  <c r="V57" i="44" s="1"/>
  <c r="W57" i="44" s="1"/>
  <c r="X57" i="44" s="1"/>
  <c r="Y57" i="44" s="1"/>
  <c r="Z57" i="44" s="1"/>
  <c r="AA57" i="44" s="1"/>
  <c r="AB57" i="44" s="1"/>
  <c r="AC57" i="44" s="1"/>
  <c r="L59" i="44"/>
  <c r="M59" i="44" s="1"/>
  <c r="N59" i="44" s="1"/>
  <c r="O59" i="44" s="1"/>
  <c r="P59" i="44" s="1"/>
  <c r="Q59" i="44" s="1"/>
  <c r="R59" i="44" s="1"/>
  <c r="S59" i="44" s="1"/>
  <c r="T59" i="44" s="1"/>
  <c r="U59" i="44" s="1"/>
  <c r="V59" i="44" s="1"/>
  <c r="W59" i="44" s="1"/>
  <c r="X59" i="44" s="1"/>
  <c r="Y59" i="44" s="1"/>
  <c r="Z59" i="44" s="1"/>
  <c r="AA59" i="44" s="1"/>
  <c r="AB59" i="44" s="1"/>
  <c r="AC59" i="44" s="1"/>
  <c r="R6" i="49" l="1"/>
  <c r="Q6" i="49"/>
  <c r="I8" i="49"/>
  <c r="H8" i="49"/>
  <c r="G8" i="49"/>
  <c r="F8" i="49"/>
  <c r="E8" i="49"/>
  <c r="D8" i="49"/>
  <c r="C8" i="49"/>
  <c r="B8" i="49"/>
  <c r="P6" i="49"/>
  <c r="O6" i="49"/>
  <c r="N6" i="49"/>
  <c r="M6" i="49"/>
  <c r="L6" i="49"/>
  <c r="K6" i="49"/>
  <c r="J6" i="49"/>
  <c r="I6" i="49"/>
  <c r="H6" i="49"/>
  <c r="G6" i="49"/>
  <c r="F6" i="49"/>
  <c r="E6" i="49"/>
  <c r="D6" i="49"/>
  <c r="C6" i="49"/>
  <c r="B6" i="49"/>
  <c r="T14" i="19" l="1"/>
  <c r="N21" i="19" s="1"/>
  <c r="T13" i="19"/>
  <c r="T12" i="19"/>
  <c r="T11" i="19"/>
  <c r="T10" i="19"/>
  <c r="T9" i="19"/>
  <c r="T8" i="19"/>
  <c r="T7" i="19"/>
  <c r="T6" i="19"/>
  <c r="T5" i="19"/>
  <c r="T4" i="19"/>
  <c r="T3" i="19"/>
  <c r="C19" i="17" l="1"/>
  <c r="B19" i="17"/>
  <c r="D19" i="17" l="1"/>
  <c r="M10" i="27" l="1"/>
  <c r="P8" i="41"/>
  <c r="P7" i="41"/>
  <c r="P6" i="41"/>
  <c r="P5" i="41"/>
  <c r="P4" i="41"/>
  <c r="P3" i="41"/>
  <c r="T6" i="34"/>
  <c r="T5" i="34"/>
  <c r="T4" i="34"/>
  <c r="T3" i="34"/>
  <c r="S7" i="34"/>
  <c r="T9" i="24"/>
  <c r="T7" i="24"/>
  <c r="T5" i="24"/>
  <c r="T4" i="24"/>
  <c r="T8" i="24"/>
  <c r="T3" i="24"/>
  <c r="T6" i="24"/>
  <c r="S19" i="15"/>
  <c r="I24" i="15" s="1"/>
  <c r="S20" i="15"/>
  <c r="I25" i="15" s="1"/>
  <c r="S21" i="15"/>
  <c r="I26" i="15" s="1"/>
  <c r="S22" i="15"/>
  <c r="I27" i="15" s="1"/>
  <c r="S23" i="15" l="1"/>
  <c r="R11" i="15" l="1"/>
  <c r="R23" i="15" s="1"/>
  <c r="R19" i="15"/>
  <c r="R20" i="15"/>
  <c r="R21" i="15"/>
  <c r="R22" i="15"/>
  <c r="M9" i="41" l="1"/>
  <c r="C68" i="39" l="1"/>
  <c r="D68" i="39"/>
  <c r="F68" i="39"/>
  <c r="R11" i="42" l="1"/>
  <c r="R65" i="42"/>
  <c r="R52" i="42"/>
  <c r="R29" i="42"/>
  <c r="R25" i="42"/>
  <c r="R21" i="42"/>
  <c r="R16" i="42"/>
  <c r="R30" i="42" l="1"/>
  <c r="R67" i="42" s="1"/>
  <c r="Q12" i="24" l="1"/>
  <c r="O12" i="24"/>
  <c r="M22" i="20" l="1"/>
  <c r="B19" i="24" l="1"/>
  <c r="K10" i="27" l="1"/>
  <c r="F61" i="42" l="1"/>
  <c r="F58" i="42"/>
  <c r="F65" i="42" l="1"/>
  <c r="E65" i="42"/>
  <c r="D65" i="42"/>
  <c r="C65" i="42"/>
  <c r="F52" i="42"/>
  <c r="E52" i="42"/>
  <c r="D52" i="42"/>
  <c r="C52" i="42"/>
  <c r="F29" i="42"/>
  <c r="E29" i="42"/>
  <c r="D29" i="42"/>
  <c r="C29" i="42"/>
  <c r="F25" i="42"/>
  <c r="E25" i="42"/>
  <c r="D25" i="42"/>
  <c r="C25" i="42"/>
  <c r="F21" i="42"/>
  <c r="E21" i="42"/>
  <c r="D21" i="42"/>
  <c r="C21" i="42"/>
  <c r="F16" i="42"/>
  <c r="E16" i="42"/>
  <c r="D16" i="42"/>
  <c r="C16" i="42"/>
  <c r="F11" i="42"/>
  <c r="E11" i="42"/>
  <c r="D11" i="42"/>
  <c r="C11" i="42"/>
  <c r="E30" i="42" l="1"/>
  <c r="E67" i="42" s="1"/>
  <c r="F30" i="42"/>
  <c r="F67" i="42" s="1"/>
  <c r="C30" i="42"/>
  <c r="C67" i="42" s="1"/>
  <c r="D30" i="42"/>
  <c r="D67" i="42" s="1"/>
  <c r="J10" i="27"/>
  <c r="I10" i="27"/>
  <c r="H10" i="27"/>
  <c r="G10" i="27"/>
  <c r="F10" i="27"/>
  <c r="E10" i="27"/>
  <c r="D10" i="27"/>
  <c r="C10" i="27"/>
  <c r="B10" i="27"/>
  <c r="L10" i="27"/>
  <c r="E15" i="19" l="1"/>
  <c r="D15" i="19"/>
  <c r="C15" i="19"/>
  <c r="B15" i="19"/>
  <c r="E7" i="34" l="1"/>
  <c r="D7" i="34"/>
  <c r="C7" i="34"/>
  <c r="B7" i="34"/>
  <c r="E12" i="24" l="1"/>
  <c r="D12" i="24"/>
  <c r="C12" i="24"/>
  <c r="B12" i="24"/>
  <c r="F22" i="15" l="1"/>
  <c r="E22" i="15"/>
  <c r="D22" i="15"/>
  <c r="C22" i="15"/>
  <c r="B22" i="15"/>
  <c r="F21" i="15"/>
  <c r="E21" i="15"/>
  <c r="D21" i="15"/>
  <c r="C21" i="15"/>
  <c r="B21" i="15"/>
  <c r="F20" i="15"/>
  <c r="E20" i="15"/>
  <c r="D20" i="15"/>
  <c r="C20" i="15"/>
  <c r="B20" i="15"/>
  <c r="F19" i="15"/>
  <c r="E19" i="15"/>
  <c r="D19" i="15"/>
  <c r="C19" i="15"/>
  <c r="B19" i="15"/>
  <c r="F11" i="15"/>
  <c r="F23" i="15" s="1"/>
  <c r="E11" i="15"/>
  <c r="E23" i="15" s="1"/>
  <c r="D11" i="15"/>
  <c r="D23" i="15" s="1"/>
  <c r="C11" i="15"/>
  <c r="C23" i="15" s="1"/>
  <c r="B11" i="15"/>
  <c r="B23" i="15" s="1"/>
  <c r="P16" i="42" l="1"/>
  <c r="Q65" i="42"/>
  <c r="P65" i="42"/>
  <c r="O65" i="42"/>
  <c r="P52" i="42"/>
  <c r="O52" i="42"/>
  <c r="Q29" i="42"/>
  <c r="P29" i="42"/>
  <c r="O29" i="42"/>
  <c r="N29" i="42"/>
  <c r="Q25" i="42"/>
  <c r="P25" i="42"/>
  <c r="O25" i="42"/>
  <c r="Q21" i="42"/>
  <c r="P21" i="42"/>
  <c r="Q11" i="42"/>
  <c r="P11" i="42"/>
  <c r="O11" i="42"/>
  <c r="P30" i="42" l="1"/>
  <c r="P67" i="42" s="1"/>
  <c r="O30" i="42"/>
  <c r="O67" i="42" s="1"/>
  <c r="K22" i="20" l="1"/>
  <c r="J22" i="20"/>
  <c r="I22" i="20"/>
  <c r="H22" i="20"/>
  <c r="G22" i="20"/>
  <c r="F22" i="20"/>
  <c r="E22" i="20"/>
  <c r="D22" i="20"/>
  <c r="C22" i="20"/>
  <c r="B22" i="20"/>
  <c r="L22" i="20"/>
  <c r="K9" i="41" l="1"/>
  <c r="O7" i="34" l="1"/>
  <c r="P12" i="24" l="1"/>
  <c r="A26" i="17" l="1"/>
  <c r="P22" i="15" l="1"/>
  <c r="P21" i="15"/>
  <c r="P20" i="15"/>
  <c r="P19" i="15"/>
  <c r="P18" i="15"/>
  <c r="P11" i="15"/>
  <c r="P23" i="15" s="1"/>
  <c r="N65" i="42" l="1"/>
  <c r="M65" i="42"/>
  <c r="L65" i="42"/>
  <c r="K65" i="42"/>
  <c r="J65" i="42"/>
  <c r="I65" i="42"/>
  <c r="H65" i="42"/>
  <c r="G65" i="42"/>
  <c r="N52" i="42"/>
  <c r="M52" i="42"/>
  <c r="L52" i="42"/>
  <c r="K52" i="42"/>
  <c r="J52" i="42"/>
  <c r="I52" i="42"/>
  <c r="H52" i="42"/>
  <c r="G52" i="42"/>
  <c r="Q52" i="42"/>
  <c r="M29" i="42"/>
  <c r="L29" i="42"/>
  <c r="K29" i="42"/>
  <c r="J29" i="42"/>
  <c r="I29" i="42"/>
  <c r="H29" i="42"/>
  <c r="G29" i="42"/>
  <c r="N25" i="42"/>
  <c r="M25" i="42"/>
  <c r="L25" i="42"/>
  <c r="K25" i="42"/>
  <c r="J25" i="42"/>
  <c r="I25" i="42"/>
  <c r="H25" i="42"/>
  <c r="G25" i="42"/>
  <c r="N21" i="42"/>
  <c r="M21" i="42"/>
  <c r="L21" i="42"/>
  <c r="K21" i="42"/>
  <c r="J21" i="42"/>
  <c r="I21" i="42"/>
  <c r="H21" i="42"/>
  <c r="G21" i="42"/>
  <c r="N16" i="42"/>
  <c r="M16" i="42"/>
  <c r="L16" i="42"/>
  <c r="K16" i="42"/>
  <c r="J16" i="42"/>
  <c r="I16" i="42"/>
  <c r="H16" i="42"/>
  <c r="G16" i="42"/>
  <c r="N11" i="42"/>
  <c r="M11" i="42"/>
  <c r="L11" i="42"/>
  <c r="K11" i="42"/>
  <c r="J11" i="42"/>
  <c r="I11" i="42"/>
  <c r="H11" i="42"/>
  <c r="G11" i="42"/>
  <c r="N30" i="42" l="1"/>
  <c r="N67" i="42" s="1"/>
  <c r="K30" i="42"/>
  <c r="K67" i="42" s="1"/>
  <c r="H30" i="42"/>
  <c r="H67" i="42" s="1"/>
  <c r="M30" i="42"/>
  <c r="M67" i="42" s="1"/>
  <c r="Q16" i="42"/>
  <c r="Q30" i="42" s="1"/>
  <c r="Q67" i="42" s="1"/>
  <c r="G30" i="42"/>
  <c r="G67" i="42" s="1"/>
  <c r="I30" i="42"/>
  <c r="I67" i="42" s="1"/>
  <c r="L30" i="42"/>
  <c r="L67" i="42" s="1"/>
  <c r="J30" i="42"/>
  <c r="J67" i="42" s="1"/>
  <c r="J9" i="41" l="1"/>
  <c r="N7" i="34" l="1"/>
  <c r="N12" i="24" l="1"/>
  <c r="O22" i="15" l="1"/>
  <c r="O21" i="15"/>
  <c r="O20" i="15"/>
  <c r="O19" i="15"/>
  <c r="O18" i="15"/>
  <c r="O11" i="15"/>
  <c r="O23" i="15" s="1"/>
  <c r="L9" i="41" l="1"/>
  <c r="I9" i="41"/>
  <c r="H9" i="41"/>
  <c r="G9" i="41"/>
  <c r="F9" i="41"/>
  <c r="E9" i="41"/>
  <c r="D9" i="41"/>
  <c r="C9" i="41"/>
  <c r="B9" i="41"/>
  <c r="M7" i="34" l="1"/>
  <c r="M12" i="24" l="1"/>
  <c r="N22" i="15" l="1"/>
  <c r="N21" i="15"/>
  <c r="N20" i="15"/>
  <c r="N19" i="15"/>
  <c r="N18" i="15"/>
  <c r="N11" i="15"/>
  <c r="N23" i="15" s="1"/>
  <c r="E68" i="39" l="1"/>
  <c r="B14" i="21" l="1"/>
  <c r="C14" i="21" s="1"/>
  <c r="D14" i="21" s="1"/>
  <c r="E14" i="21" s="1"/>
  <c r="F14" i="21" s="1"/>
  <c r="G14" i="21" s="1"/>
  <c r="H14" i="21" s="1"/>
  <c r="I14" i="21" s="1"/>
  <c r="J14" i="21" s="1"/>
  <c r="K14" i="21" s="1"/>
  <c r="L14" i="21" s="1"/>
  <c r="M14" i="21" s="1"/>
  <c r="N14" i="21" s="1"/>
  <c r="O14" i="21" s="1"/>
  <c r="P14" i="21" s="1"/>
  <c r="Q14" i="21" s="1"/>
  <c r="R14" i="21" s="1"/>
  <c r="S14" i="21" s="1"/>
  <c r="T14" i="21" s="1"/>
  <c r="U14" i="21" s="1"/>
  <c r="V14" i="21" s="1"/>
  <c r="W14" i="21" s="1"/>
  <c r="X14" i="21" s="1"/>
  <c r="Y14" i="21" s="1"/>
  <c r="Z14" i="21" s="1"/>
  <c r="AA14" i="21" s="1"/>
  <c r="AB14" i="21" s="1"/>
  <c r="AC14" i="21" s="1"/>
  <c r="AD14" i="21" s="1"/>
  <c r="AE14" i="21" s="1"/>
  <c r="AF14" i="21" s="1"/>
  <c r="AG14" i="21" s="1"/>
  <c r="AH14" i="21" s="1"/>
  <c r="AI14" i="21" s="1"/>
  <c r="AJ14" i="21" s="1"/>
  <c r="AK14" i="21" s="1"/>
  <c r="AL14" i="21" s="1"/>
  <c r="AM14" i="21" s="1"/>
  <c r="AN14" i="21" s="1"/>
  <c r="B15" i="21"/>
  <c r="C15" i="21" s="1"/>
  <c r="D15" i="21" s="1"/>
  <c r="E15" i="21" s="1"/>
  <c r="F15" i="21" s="1"/>
  <c r="G15" i="21" s="1"/>
  <c r="H15" i="21" s="1"/>
  <c r="I15" i="21" s="1"/>
  <c r="J15" i="21" s="1"/>
  <c r="K15" i="21" s="1"/>
  <c r="L15" i="21" s="1"/>
  <c r="M15" i="21" s="1"/>
  <c r="N15" i="21" s="1"/>
  <c r="O15" i="21" s="1"/>
  <c r="P15" i="21" s="1"/>
  <c r="Q15" i="21" s="1"/>
  <c r="R15" i="21" s="1"/>
  <c r="S15" i="21" s="1"/>
  <c r="T15" i="21" s="1"/>
  <c r="U15" i="21" s="1"/>
  <c r="V15" i="21" s="1"/>
  <c r="W15" i="21" s="1"/>
  <c r="X15" i="21" s="1"/>
  <c r="Y15" i="21" s="1"/>
  <c r="Z15" i="21" s="1"/>
  <c r="AA15" i="21" s="1"/>
  <c r="AB15" i="21" s="1"/>
  <c r="AC15" i="21" s="1"/>
  <c r="AD15" i="21" s="1"/>
  <c r="AE15" i="21" s="1"/>
  <c r="AF15" i="21" s="1"/>
  <c r="AG15" i="21" s="1"/>
  <c r="AH15" i="21" s="1"/>
  <c r="AI15" i="21" s="1"/>
  <c r="AJ15" i="21" s="1"/>
  <c r="AK15" i="21" s="1"/>
  <c r="AL15" i="21" s="1"/>
  <c r="AM15" i="21" s="1"/>
  <c r="AN15" i="21" s="1"/>
  <c r="I15" i="19" l="1"/>
  <c r="H15" i="19"/>
  <c r="G15" i="19"/>
  <c r="F15" i="19"/>
  <c r="L7" i="34" l="1"/>
  <c r="L12" i="24" l="1"/>
  <c r="K12" i="24"/>
  <c r="J12" i="24"/>
  <c r="I12" i="24"/>
  <c r="H12" i="24"/>
  <c r="G12" i="24"/>
  <c r="F12" i="24"/>
  <c r="M22" i="15" l="1"/>
  <c r="M21" i="15"/>
  <c r="M20" i="15"/>
  <c r="M19" i="15"/>
  <c r="M18" i="15"/>
  <c r="M11" i="15"/>
  <c r="M23" i="15" s="1"/>
  <c r="B10" i="21" l="1"/>
  <c r="C10" i="21" s="1"/>
  <c r="D10" i="21" s="1"/>
  <c r="E10" i="21" s="1"/>
  <c r="F10" i="21" s="1"/>
  <c r="G10" i="21" s="1"/>
  <c r="H10" i="21" s="1"/>
  <c r="I10" i="21" s="1"/>
  <c r="J10" i="21" s="1"/>
  <c r="K10" i="21" s="1"/>
  <c r="L10" i="21" s="1"/>
  <c r="M10" i="21" s="1"/>
  <c r="N10" i="21" s="1"/>
  <c r="O10" i="21" s="1"/>
  <c r="P10" i="21" s="1"/>
  <c r="Q10" i="21" s="1"/>
  <c r="R10" i="21" s="1"/>
  <c r="S10" i="21" s="1"/>
  <c r="T10" i="21" s="1"/>
  <c r="U10" i="21" s="1"/>
  <c r="V10" i="21" s="1"/>
  <c r="W10" i="21" s="1"/>
  <c r="X10" i="21" s="1"/>
  <c r="Y10" i="21" s="1"/>
  <c r="Z10" i="21" s="1"/>
  <c r="AA10" i="21" s="1"/>
  <c r="AB10" i="21" s="1"/>
  <c r="AC10" i="21" s="1"/>
  <c r="AD10" i="21" s="1"/>
  <c r="AE10" i="21" s="1"/>
  <c r="AF10" i="21" s="1"/>
  <c r="AG10" i="21" s="1"/>
  <c r="AH10" i="21" s="1"/>
  <c r="AI10" i="21" s="1"/>
  <c r="AJ10" i="21" s="1"/>
  <c r="AK10" i="21" s="1"/>
  <c r="AL10" i="21" s="1"/>
  <c r="AM10" i="21" s="1"/>
  <c r="AN10" i="21" s="1"/>
  <c r="B9" i="21"/>
  <c r="C9" i="21" s="1"/>
  <c r="D9" i="21" s="1"/>
  <c r="E9" i="21" s="1"/>
  <c r="F9" i="21" s="1"/>
  <c r="G9" i="21" s="1"/>
  <c r="H9" i="21" s="1"/>
  <c r="I9" i="21" s="1"/>
  <c r="J9" i="21" s="1"/>
  <c r="K9" i="21" s="1"/>
  <c r="L9" i="21" s="1"/>
  <c r="M9" i="21" s="1"/>
  <c r="N9" i="21" s="1"/>
  <c r="O9" i="21" s="1"/>
  <c r="P9" i="21" s="1"/>
  <c r="Q9" i="21" s="1"/>
  <c r="R9" i="21" s="1"/>
  <c r="S9" i="21" s="1"/>
  <c r="T9" i="21" s="1"/>
  <c r="U9" i="21" s="1"/>
  <c r="V9" i="21" s="1"/>
  <c r="W9" i="21" s="1"/>
  <c r="X9" i="21" s="1"/>
  <c r="Y9" i="21" s="1"/>
  <c r="Z9" i="21" s="1"/>
  <c r="AA9" i="21" s="1"/>
  <c r="AB9" i="21" s="1"/>
  <c r="AC9" i="21" s="1"/>
  <c r="AD9" i="21" s="1"/>
  <c r="AE9" i="21" s="1"/>
  <c r="AF9" i="21" s="1"/>
  <c r="AG9" i="21" s="1"/>
  <c r="AH9" i="21" s="1"/>
  <c r="AI9" i="21" s="1"/>
  <c r="AJ9" i="21" s="1"/>
  <c r="AK9" i="21" s="1"/>
  <c r="AL9" i="21" s="1"/>
  <c r="AM9" i="21" s="1"/>
  <c r="AN9" i="21" s="1"/>
  <c r="B8" i="21"/>
  <c r="C8" i="21" s="1"/>
  <c r="D8" i="21" s="1"/>
  <c r="E8" i="21" s="1"/>
  <c r="F8" i="21" s="1"/>
  <c r="G8" i="21" s="1"/>
  <c r="H8" i="21" s="1"/>
  <c r="I8" i="21" s="1"/>
  <c r="J8" i="21" s="1"/>
  <c r="K8" i="21" s="1"/>
  <c r="L8" i="21" s="1"/>
  <c r="M8" i="21" s="1"/>
  <c r="N8" i="21" s="1"/>
  <c r="O8" i="21" s="1"/>
  <c r="P8" i="21" s="1"/>
  <c r="Q8" i="21" s="1"/>
  <c r="R8" i="21" s="1"/>
  <c r="S8" i="21" s="1"/>
  <c r="T8" i="21" s="1"/>
  <c r="U8" i="21" s="1"/>
  <c r="V8" i="21" s="1"/>
  <c r="W8" i="21" s="1"/>
  <c r="X8" i="21" s="1"/>
  <c r="Y8" i="21" s="1"/>
  <c r="Z8" i="21" s="1"/>
  <c r="AA8" i="21" s="1"/>
  <c r="AB8" i="21" s="1"/>
  <c r="AC8" i="21" s="1"/>
  <c r="AD8" i="21" s="1"/>
  <c r="AE8" i="21" s="1"/>
  <c r="AF8" i="21" s="1"/>
  <c r="AG8" i="21" s="1"/>
  <c r="AH8" i="21" s="1"/>
  <c r="AI8" i="21" s="1"/>
  <c r="AJ8" i="21" s="1"/>
  <c r="AK8" i="21" s="1"/>
  <c r="AL8" i="21" s="1"/>
  <c r="AM8" i="21" s="1"/>
  <c r="AN8" i="21" s="1"/>
  <c r="B7" i="21"/>
  <c r="C7" i="21" s="1"/>
  <c r="D7" i="21" s="1"/>
  <c r="E7" i="21" s="1"/>
  <c r="F7" i="21" s="1"/>
  <c r="G7" i="21" s="1"/>
  <c r="H7" i="21" s="1"/>
  <c r="I7" i="21" s="1"/>
  <c r="J7" i="21" s="1"/>
  <c r="K7" i="21" s="1"/>
  <c r="L7" i="21" s="1"/>
  <c r="M7" i="21" s="1"/>
  <c r="N7" i="21" s="1"/>
  <c r="O7" i="21" s="1"/>
  <c r="P7" i="21" s="1"/>
  <c r="Q7" i="21" s="1"/>
  <c r="R7" i="21" s="1"/>
  <c r="S7" i="21" s="1"/>
  <c r="T7" i="21" s="1"/>
  <c r="U7" i="21" s="1"/>
  <c r="V7" i="21" s="1"/>
  <c r="W7" i="21" s="1"/>
  <c r="X7" i="21" s="1"/>
  <c r="Y7" i="21" s="1"/>
  <c r="Z7" i="21" s="1"/>
  <c r="AA7" i="21" s="1"/>
  <c r="AB7" i="21" s="1"/>
  <c r="AC7" i="21" s="1"/>
  <c r="AD7" i="21" s="1"/>
  <c r="AE7" i="21" s="1"/>
  <c r="AF7" i="21" s="1"/>
  <c r="AG7" i="21" s="1"/>
  <c r="AH7" i="21" s="1"/>
  <c r="AI7" i="21" s="1"/>
  <c r="AJ7" i="21" s="1"/>
  <c r="AK7" i="21" s="1"/>
  <c r="AL7" i="21" s="1"/>
  <c r="AM7" i="21" s="1"/>
  <c r="AN7" i="21" s="1"/>
  <c r="B6" i="21"/>
  <c r="C6" i="21" s="1"/>
  <c r="D6" i="21" s="1"/>
  <c r="E6" i="21" s="1"/>
  <c r="F6" i="21" s="1"/>
  <c r="G6" i="21" s="1"/>
  <c r="H6" i="21" s="1"/>
  <c r="I6" i="21" s="1"/>
  <c r="J6" i="21" s="1"/>
  <c r="K6" i="21" s="1"/>
  <c r="L6" i="21" s="1"/>
  <c r="M6" i="21" s="1"/>
  <c r="N6" i="21" s="1"/>
  <c r="O6" i="21" s="1"/>
  <c r="P6" i="21" s="1"/>
  <c r="Q6" i="21" s="1"/>
  <c r="R6" i="21" s="1"/>
  <c r="S6" i="21" s="1"/>
  <c r="T6" i="21" s="1"/>
  <c r="U6" i="21" s="1"/>
  <c r="V6" i="21" s="1"/>
  <c r="W6" i="21" s="1"/>
  <c r="X6" i="21" s="1"/>
  <c r="Y6" i="21" s="1"/>
  <c r="Z6" i="21" s="1"/>
  <c r="AA6" i="21" s="1"/>
  <c r="AB6" i="21" s="1"/>
  <c r="AC6" i="21" s="1"/>
  <c r="AD6" i="21" s="1"/>
  <c r="AE6" i="21" s="1"/>
  <c r="AF6" i="21" s="1"/>
  <c r="AG6" i="21" s="1"/>
  <c r="AH6" i="21" s="1"/>
  <c r="AI6" i="21" s="1"/>
  <c r="AJ6" i="21" s="1"/>
  <c r="AK6" i="21" s="1"/>
  <c r="AL6" i="21" s="1"/>
  <c r="AM6" i="21" s="1"/>
  <c r="AN6" i="21" s="1"/>
  <c r="AN11" i="21" l="1"/>
  <c r="AG28" i="21" s="1"/>
  <c r="AM11" i="21" l="1"/>
  <c r="I6" i="34" l="1"/>
  <c r="H6" i="34"/>
  <c r="J7" i="34" l="1"/>
  <c r="I7" i="34"/>
  <c r="K7" i="34"/>
  <c r="H7" i="34"/>
  <c r="G7" i="34"/>
  <c r="F7" i="34"/>
  <c r="AL11" i="21" l="1"/>
  <c r="AK11" i="21"/>
  <c r="Q18" i="15" l="1"/>
  <c r="L18" i="15"/>
  <c r="K18" i="15"/>
  <c r="J18" i="15"/>
  <c r="I18" i="15"/>
  <c r="H18" i="15"/>
  <c r="G18" i="15"/>
  <c r="Q11" i="15"/>
  <c r="L11" i="15"/>
  <c r="K11" i="15"/>
  <c r="J11" i="15"/>
  <c r="I11" i="15"/>
  <c r="H11" i="15"/>
  <c r="G11" i="15"/>
  <c r="AI11" i="21" l="1"/>
  <c r="AJ11" i="21"/>
  <c r="Q23" i="15" l="1"/>
  <c r="L23" i="15"/>
  <c r="K23" i="15"/>
  <c r="J23" i="15"/>
  <c r="I23" i="15"/>
  <c r="H23" i="15"/>
  <c r="G23" i="15"/>
  <c r="Q22" i="15"/>
  <c r="L22" i="15"/>
  <c r="K22" i="15"/>
  <c r="J22" i="15"/>
  <c r="I22" i="15"/>
  <c r="H22" i="15"/>
  <c r="G22" i="15"/>
  <c r="Q21" i="15"/>
  <c r="L21" i="15"/>
  <c r="K21" i="15"/>
  <c r="J21" i="15"/>
  <c r="I21" i="15"/>
  <c r="H21" i="15"/>
  <c r="G21" i="15"/>
  <c r="Q20" i="15"/>
  <c r="L20" i="15"/>
  <c r="K20" i="15"/>
  <c r="J20" i="15"/>
  <c r="I20" i="15"/>
  <c r="H20" i="15"/>
  <c r="G20" i="15"/>
  <c r="Q19" i="15"/>
  <c r="L19" i="15"/>
  <c r="K19" i="15"/>
  <c r="J19" i="15"/>
  <c r="I19" i="15"/>
  <c r="H19" i="15"/>
  <c r="G19" i="15"/>
  <c r="B11" i="21" l="1"/>
  <c r="AH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Schrepel</author>
  </authors>
  <commentList>
    <comment ref="A76" authorId="0" shapeId="0" xr:uid="{00000000-0006-0000-0C00-000001000000}">
      <text>
        <r>
          <rPr>
            <b/>
            <sz val="9"/>
            <color indexed="81"/>
            <rFont val="Tahoma"/>
            <family val="2"/>
          </rPr>
          <t>Eric Schrepel:</t>
        </r>
        <r>
          <rPr>
            <sz val="9"/>
            <color indexed="81"/>
            <rFont val="Tahoma"/>
            <family val="2"/>
          </rPr>
          <t xml:space="preserve">
1) Insert column before last FY
2) Manually copy FY values, matching against column B
3) Update new FY column heading
4) Sort each section of above table on new FY (desc), copy column B and values to first table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dbt0117</author>
  </authors>
  <commentList>
    <comment ref="O2" authorId="0" shapeId="0" xr:uid="{C63A4BFC-9751-4DBF-B6F9-0D77CE7397D5}">
      <text>
        <r>
          <rPr>
            <sz val="8"/>
            <color indexed="81"/>
            <rFont val="Tahoma"/>
            <family val="2"/>
          </rPr>
          <t>updated to FY 95 Congressional actual to the budget document. 3/23/94</t>
        </r>
      </text>
    </comment>
    <comment ref="P2" authorId="0" shapeId="0" xr:uid="{6411FE65-0727-497A-99A6-B2E0136238D1}">
      <text>
        <r>
          <rPr>
            <sz val="8"/>
            <color indexed="81"/>
            <rFont val="Tahoma"/>
            <family val="2"/>
          </rPr>
          <t>Based on the FY 1995 Cong. Budget document for all Budget accounts.  PowPurch. are changed to reflect the 1994 NMFS BO.  Basis for $350 million number in the Cong. Testimony.  DOES NOT INCLUDE ANY $ FOR $40 MILLION ESA FUND.</t>
        </r>
      </text>
    </comment>
    <comment ref="Z9" authorId="1" shapeId="0" xr:uid="{9C242B9F-BF2B-4D71-964F-83C2FCFDB65C}">
      <text>
        <r>
          <rPr>
            <b/>
            <sz val="8"/>
            <color indexed="81"/>
            <rFont val="Tahoma"/>
            <family val="2"/>
          </rPr>
          <t>dbt0117:</t>
        </r>
        <r>
          <rPr>
            <sz val="8"/>
            <color indexed="81"/>
            <rFont val="Tahoma"/>
            <family val="2"/>
          </rPr>
          <t xml:space="preserve">
$5.1M in prior year capital adjustments was not attributed to the direct program in FY 04.  This resulted in a regionally reported program expense of $132.8M for FY 04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1"/>
        </x15:connection>
      </ext>
    </extLst>
  </connection>
</connections>
</file>

<file path=xl/sharedStrings.xml><?xml version="1.0" encoding="utf-8"?>
<sst xmlns="http://schemas.openxmlformats.org/spreadsheetml/2006/main" count="650" uniqueCount="473">
  <si>
    <t>Notes:</t>
  </si>
  <si>
    <t>TOTAL</t>
  </si>
  <si>
    <t>Program Support</t>
  </si>
  <si>
    <t>Wildlife</t>
  </si>
  <si>
    <t>Resident Fish</t>
  </si>
  <si>
    <t>Anadromous Fish</t>
  </si>
  <si>
    <t>Capital Expenditures</t>
  </si>
  <si>
    <t>Expense Expenditures</t>
  </si>
  <si>
    <t>Species type</t>
  </si>
  <si>
    <t>Capital</t>
  </si>
  <si>
    <t>Expense</t>
  </si>
  <si>
    <t>Category</t>
  </si>
  <si>
    <t>Predator Removal</t>
  </si>
  <si>
    <t>Law Enforcement</t>
  </si>
  <si>
    <t>Harvest Augmentation</t>
  </si>
  <si>
    <t>Data Management</t>
  </si>
  <si>
    <t>Programmatic</t>
  </si>
  <si>
    <t>Predation</t>
  </si>
  <si>
    <t>Hydrosystem</t>
  </si>
  <si>
    <t>Harvest</t>
  </si>
  <si>
    <t>Habitat</t>
  </si>
  <si>
    <t>Artificial Production</t>
  </si>
  <si>
    <t>2) Other includes "Undetermined" locations such as Ocean, Canada; and provinces not recognized by NPCC.</t>
  </si>
  <si>
    <t>Other</t>
  </si>
  <si>
    <t>Columbia Land Trust</t>
  </si>
  <si>
    <t>Colville Confederated Tribes</t>
  </si>
  <si>
    <t>Idaho Department of Fish and Game (IDFG)</t>
  </si>
  <si>
    <t>Idaho Office of Species Conservation</t>
  </si>
  <si>
    <t>Nature Conservancy</t>
  </si>
  <si>
    <t>Nez Perce Tribe</t>
  </si>
  <si>
    <t>Oregon Watershed Enhancement Board</t>
  </si>
  <si>
    <t>Salish and Kootenai Confederated Tribes</t>
  </si>
  <si>
    <t>Shoshone-Bannock Tribes</t>
  </si>
  <si>
    <t>Shoshone-Paiute Tribes</t>
  </si>
  <si>
    <t>Umatilla Confederated Tribes (CTUIR)</t>
  </si>
  <si>
    <t>Yakama Confederated Tribes</t>
  </si>
  <si>
    <t>Fixed Expenses</t>
  </si>
  <si>
    <t>Direct Program</t>
  </si>
  <si>
    <t>Reimbursable Expenses</t>
  </si>
  <si>
    <t>Forgone Revenues</t>
  </si>
  <si>
    <t>Power Purchases</t>
  </si>
  <si>
    <t>1978-80</t>
  </si>
  <si>
    <t>Figure subtitle:</t>
  </si>
  <si>
    <t>Research, Monitoring and Evaluation</t>
  </si>
  <si>
    <t>Production (Supplementation)</t>
  </si>
  <si>
    <t>for graph</t>
  </si>
  <si>
    <t>Ocean</t>
  </si>
  <si>
    <t>Montana</t>
  </si>
  <si>
    <t>Oregon</t>
  </si>
  <si>
    <t>Idaho</t>
  </si>
  <si>
    <t>Washington</t>
  </si>
  <si>
    <t>STATE</t>
  </si>
  <si>
    <t>OTHER TOTAL</t>
  </si>
  <si>
    <t>NATIONAL FISH &amp; WILDLIFE FOUNDATION</t>
  </si>
  <si>
    <t>UTILITY</t>
  </si>
  <si>
    <t>COLUMBIA BASIN FISH &amp; WILDLIFE AUTHORITY</t>
  </si>
  <si>
    <t>OTHER</t>
  </si>
  <si>
    <t>UNIVERSITY</t>
  </si>
  <si>
    <t>PACIFIC STATES MARINE FISHERIES COMMISSION (PSMFC)</t>
  </si>
  <si>
    <t>INTERSTATE COMPACT</t>
  </si>
  <si>
    <t>TRIBE TOTAL</t>
  </si>
  <si>
    <t>YAKAMA CONFEDERATED TRIBES</t>
  </si>
  <si>
    <t>UPPER SNAKE RIVER TRIBES FOUNDATION</t>
  </si>
  <si>
    <t>UPPER COLUMBIA UNITED TRIBES (UCUT)</t>
  </si>
  <si>
    <t>UMATILLA CONFEDERATED TRIBES</t>
  </si>
  <si>
    <t>SPOKANE TRIBE OF INDIANS</t>
  </si>
  <si>
    <t>SHOSHONE-PAUITE TRIBES</t>
  </si>
  <si>
    <t>SHOSHONE-BANNOCK TRIBES</t>
  </si>
  <si>
    <t>SALISH AND KOOTENAI TRIBES CONFEDERATED TRIBES</t>
  </si>
  <si>
    <t>NEZ PERCE TRIBE</t>
  </si>
  <si>
    <t>KOOTENAI TRIBE</t>
  </si>
  <si>
    <t>KALISPEL TRIBE OF INDIANS</t>
  </si>
  <si>
    <t>COWLITZ INDIAN TRIBE</t>
  </si>
  <si>
    <t>CONFEDERATED TRIBES OF WARM SPRINGS</t>
  </si>
  <si>
    <t>CONFEDERATED TRIBES OF SILETZ INDIANS</t>
  </si>
  <si>
    <t>CONFEDERATED TRIBES OF GRAND RONDE</t>
  </si>
  <si>
    <t>COLVILLE CONFEDERATED TRIBES</t>
  </si>
  <si>
    <t>COLUMBIA RIVER INTERTRIBAL FISH COMMISSION</t>
  </si>
  <si>
    <t>COEUR D'ALENE TRIBE OF IDAHO</t>
  </si>
  <si>
    <t>BURNS PAIUTE TRIBE</t>
  </si>
  <si>
    <t>TRIBE</t>
  </si>
  <si>
    <t>STATE TOTAL</t>
  </si>
  <si>
    <t>MONTANA Subtotal</t>
  </si>
  <si>
    <t>MONTANA FISH, WILDLIFE AND PARKS (MFWP)</t>
  </si>
  <si>
    <t>WASHINGTON Subtotal</t>
  </si>
  <si>
    <t>WASHINGTON DEPARTMENT OF ECOLOGY</t>
  </si>
  <si>
    <t>WASHINGTON DEPARTMENT OF FISH &amp; WILDLIFE</t>
  </si>
  <si>
    <t>IDAHO Subtotal</t>
  </si>
  <si>
    <t>IDAHO STATE OFFICE OF SPECIES CONSERVATION</t>
  </si>
  <si>
    <t>IDAHO SOIL &amp; WATER CONSERVATION COMMISSION</t>
  </si>
  <si>
    <t>IDAHO DEPARTMENT OF FISH &amp; WILDLIFE</t>
  </si>
  <si>
    <t>OREGON Subtotal</t>
  </si>
  <si>
    <t>OREGON WATERSHED ENHANCEMENT BOARD</t>
  </si>
  <si>
    <t>OREGON DEPARTMENT OF FISH &amp; WILDLIFE</t>
  </si>
  <si>
    <t>US GEOLOGICAL SURVEY (USGS)</t>
  </si>
  <si>
    <t>US FOREST SERVICE (USFS)</t>
  </si>
  <si>
    <t>US ARMY CORP OF ENGINEERS (COE)</t>
  </si>
  <si>
    <t>US BUREAU OF RECLAMATION (BOR)</t>
  </si>
  <si>
    <t>US FISH &amp; WILDLIFE SERVICE (USFWS)</t>
  </si>
  <si>
    <t>NATIONAL MARINE FISHERIES (NOAA)</t>
  </si>
  <si>
    <t>FEDERAL</t>
  </si>
  <si>
    <t>Contractor Type</t>
  </si>
  <si>
    <t>Federal</t>
  </si>
  <si>
    <t>State</t>
  </si>
  <si>
    <t>Tribe</t>
  </si>
  <si>
    <t>Montana Fish, Wildlife and Parks (MFWP)</t>
  </si>
  <si>
    <t>Oregon Department Of Fish and Wildlife (ODFW)</t>
  </si>
  <si>
    <t>Washington Department of Fish and Wildlife (WDFW)</t>
  </si>
  <si>
    <t>Notes</t>
  </si>
  <si>
    <t>Power Purchases for Fish Enhancement (est.)</t>
  </si>
  <si>
    <t>Coordination (Local/Regional)</t>
  </si>
  <si>
    <t>Habitat (Restoration/Protection)</t>
  </si>
  <si>
    <t>BLUE MOUNTAIN</t>
  </si>
  <si>
    <t>COLUMBIA CASCADE</t>
  </si>
  <si>
    <t>COLUMBIA GORGE</t>
  </si>
  <si>
    <t>COLUMBIA PLATEAU</t>
  </si>
  <si>
    <t>COLUMBIA ESTUARY</t>
  </si>
  <si>
    <t>INTERMOUNTAIN</t>
  </si>
  <si>
    <t>LOWER COLUMBIA</t>
  </si>
  <si>
    <t>MIDDLE SNAKE</t>
  </si>
  <si>
    <t>MOUNTAIN COLUMBIA</t>
  </si>
  <si>
    <t>MOUNTAIN SNAKE</t>
  </si>
  <si>
    <t>UPPER SNAKE</t>
  </si>
  <si>
    <t>Confederated Tribes of the Warm Springs</t>
  </si>
  <si>
    <t>Totals</t>
  </si>
  <si>
    <t>for graph (footnote marks removed)</t>
  </si>
  <si>
    <t>PACIFIC NW NATIONAL LABORATORY/DEPT. OF ENERGY</t>
  </si>
  <si>
    <t>FORT McDERMITT TRIBE</t>
  </si>
  <si>
    <t>UNIVERSITIES</t>
  </si>
  <si>
    <t>Note: Create legend for this chart in InDesign so that the top-to-bottom order matches (Excel reverses it)</t>
  </si>
  <si>
    <t>Power Purchases (row 27)</t>
  </si>
  <si>
    <t>Forgone Revenues (row 26)</t>
  </si>
  <si>
    <t>Reimbursable Expenses (row 17</t>
  </si>
  <si>
    <t>Direct Program (row 9)</t>
  </si>
  <si>
    <t>Fixed Expenses (row 23)</t>
  </si>
  <si>
    <t>Direct Program chart</t>
  </si>
  <si>
    <t>Subtitle (change this to point to current FY)</t>
  </si>
  <si>
    <t>axis titles with</t>
  </si>
  <si>
    <t>current FY data</t>
  </si>
  <si>
    <t>◄ also edit 2nd</t>
  </si>
  <si>
    <t>(graph uses these formulas)</t>
  </si>
  <si>
    <t>G&amp;A</t>
  </si>
  <si>
    <t>Kalispel Tribe</t>
  </si>
  <si>
    <t>Kootenai Tribe</t>
  </si>
  <si>
    <t>OREGON DEPARTMENT OF ENVIRONMENTAL QUALITY</t>
  </si>
  <si>
    <t>y</t>
  </si>
  <si>
    <t>match?</t>
  </si>
  <si>
    <t>(For subtitle calculations only:)</t>
  </si>
  <si>
    <t>Total Capital Investments (row 7)</t>
  </si>
  <si>
    <t>Total Credits (row 33)</t>
  </si>
  <si>
    <t>Snake Upper Closed Basin</t>
  </si>
  <si>
    <t>Upper Snake</t>
  </si>
  <si>
    <t>Snake Upper</t>
  </si>
  <si>
    <t>Snake Headwaters</t>
  </si>
  <si>
    <t>Salmon</t>
  </si>
  <si>
    <t>Mountain Snake</t>
  </si>
  <si>
    <t>Clearwater</t>
  </si>
  <si>
    <t>Kootenai</t>
  </si>
  <si>
    <t>Mountain Columbia</t>
  </si>
  <si>
    <t>Flathead</t>
  </si>
  <si>
    <t>Clark Fork</t>
  </si>
  <si>
    <t>Blackfoot</t>
  </si>
  <si>
    <t>Bitterroot</t>
  </si>
  <si>
    <t>Snake Lower Middle</t>
  </si>
  <si>
    <t>Middle Snake</t>
  </si>
  <si>
    <t>Powder</t>
  </si>
  <si>
    <t>Payette</t>
  </si>
  <si>
    <t>Owyhee</t>
  </si>
  <si>
    <t>Malheur</t>
  </si>
  <si>
    <t>Bruneau</t>
  </si>
  <si>
    <t>Boise</t>
  </si>
  <si>
    <t>Willamette</t>
  </si>
  <si>
    <t>Lower Columbia</t>
  </si>
  <si>
    <t>Washougal</t>
  </si>
  <si>
    <t>Sandy</t>
  </si>
  <si>
    <t>Lewis</t>
  </si>
  <si>
    <t>Kalama</t>
  </si>
  <si>
    <t>Columbia Lower</t>
  </si>
  <si>
    <t>Spokane</t>
  </si>
  <si>
    <t>Intermountain</t>
  </si>
  <si>
    <t>Sanpoil</t>
  </si>
  <si>
    <t>Pend Oreille</t>
  </si>
  <si>
    <t>Columbia Upper</t>
  </si>
  <si>
    <t>Coeur D'Alene</t>
  </si>
  <si>
    <t>Grays</t>
  </si>
  <si>
    <t>Columbia River Estuary</t>
  </si>
  <si>
    <t>Elochoman</t>
  </si>
  <si>
    <t>Cowlitz</t>
  </si>
  <si>
    <t>Columbia Estuary</t>
  </si>
  <si>
    <t>Yakima</t>
  </si>
  <si>
    <t>Columbia Plateau</t>
  </si>
  <si>
    <t>Walla Walla</t>
  </si>
  <si>
    <t>Umatilla</t>
  </si>
  <si>
    <t>Tucannon</t>
  </si>
  <si>
    <t>Snake Lower</t>
  </si>
  <si>
    <t>Palouse</t>
  </si>
  <si>
    <t>John Day</t>
  </si>
  <si>
    <t>Deschutes</t>
  </si>
  <si>
    <t>Crab</t>
  </si>
  <si>
    <t>Columbia Lower Middle</t>
  </si>
  <si>
    <t>Wind</t>
  </si>
  <si>
    <t>Columbia Gorge</t>
  </si>
  <si>
    <t>Little White Salmon</t>
  </si>
  <si>
    <t>Klickitat</t>
  </si>
  <si>
    <t>Hood</t>
  </si>
  <si>
    <t>Fifteenmile</t>
  </si>
  <si>
    <t>Big White Salmon</t>
  </si>
  <si>
    <t>Wenatchee</t>
  </si>
  <si>
    <t>Columbia Cascade</t>
  </si>
  <si>
    <t>Okanogan</t>
  </si>
  <si>
    <t>Methow</t>
  </si>
  <si>
    <t>Lake Chelan</t>
  </si>
  <si>
    <t>Entiat</t>
  </si>
  <si>
    <t>Columbia Upper Middle</t>
  </si>
  <si>
    <t>Snake Hells Canyon</t>
  </si>
  <si>
    <t>Blue Mountain</t>
  </si>
  <si>
    <t>Imnaha</t>
  </si>
  <si>
    <t>Grande Ronde</t>
  </si>
  <si>
    <t>Asotin</t>
  </si>
  <si>
    <t>CHIEF JOSEPH HATCHERY PUD COST SHARE</t>
  </si>
  <si>
    <t>As of FY 2019 report (Feb 2020), this chart is no longer included</t>
  </si>
  <si>
    <t>Formatted for chart:</t>
  </si>
  <si>
    <t>Subbasin</t>
  </si>
  <si>
    <t>Steps to update chart (see note)</t>
  </si>
  <si>
    <t>DEPARTMENT OF THE INTERIOR</t>
  </si>
  <si>
    <t>COST ELEMENT</t>
  </si>
  <si>
    <t xml:space="preserve"> 1978-1980</t>
  </si>
  <si>
    <t xml:space="preserve"> 1981</t>
  </si>
  <si>
    <t xml:space="preserve"> 1982</t>
  </si>
  <si>
    <t xml:space="preserve"> 1983</t>
  </si>
  <si>
    <t xml:space="preserve"> 1984</t>
  </si>
  <si>
    <t xml:space="preserve"> 1985</t>
  </si>
  <si>
    <t xml:space="preserve"> 1986</t>
  </si>
  <si>
    <t xml:space="preserve"> 1987</t>
  </si>
  <si>
    <t xml:space="preserve"> 1988</t>
  </si>
  <si>
    <t xml:space="preserve"> 1989</t>
  </si>
  <si>
    <t xml:space="preserve"> 1990</t>
  </si>
  <si>
    <t xml:space="preserve"> 1991</t>
  </si>
  <si>
    <t xml:space="preserve">         BPA  FISH AND WILDLIFE  </t>
  </si>
  <si>
    <t xml:space="preserve">         ASSOCIATED PROJECTS (FEDERAL HYDRO) </t>
  </si>
  <si>
    <t xml:space="preserve">     TOTAL  CAPITAL  INVESTMENTS</t>
  </si>
  <si>
    <t>PROGRAM EXPENSES</t>
  </si>
  <si>
    <t xml:space="preserve">BPA  DIRECT FISH AND WILDLIFE PROGRAM  </t>
  </si>
  <si>
    <t xml:space="preserve">        O &amp; M CORPS OF ENGINEERS</t>
  </si>
  <si>
    <t xml:space="preserve">        O &amp; M BUREAU OF RECLAMATION</t>
  </si>
  <si>
    <t xml:space="preserve">        NW POWER AND CONSERVATION COUNCIL ALLOCATED @ 50%</t>
  </si>
  <si>
    <t>SUBTOTAL (REIMB/DIRECT-FUNDED)</t>
  </si>
  <si>
    <t xml:space="preserve">      TOTAL OPERATING EXPENSES</t>
  </si>
  <si>
    <t xml:space="preserve">         INTEREST EXPENSE  </t>
  </si>
  <si>
    <t xml:space="preserve">        AMORTIZATION EXPENSE  </t>
  </si>
  <si>
    <t xml:space="preserve">        DEPRECIATION EXPENSE  </t>
  </si>
  <si>
    <t xml:space="preserve">    TOTAL FIXED EXPENSES</t>
  </si>
  <si>
    <t xml:space="preserve"> GRAND TOTAL PROGRAM  EXPENSES</t>
  </si>
  <si>
    <t xml:space="preserve">FORGONE REVENUES AND POWER PURCHASES </t>
  </si>
  <si>
    <t xml:space="preserve">BPA POWER PURCH. FOR FISH ENHANCEMENT  </t>
  </si>
  <si>
    <t>CREDITS</t>
  </si>
  <si>
    <t>4(h)(10)(C)</t>
  </si>
  <si>
    <t>TOTAL CREDITS</t>
  </si>
  <si>
    <t>See "BPA Cost Table" sheet for data</t>
  </si>
  <si>
    <t>Lower Columbia Estuary Partnership (LCEP)</t>
  </si>
  <si>
    <t>RM&amp;E</t>
  </si>
  <si>
    <t>Forgone Revenue (est.)</t>
  </si>
  <si>
    <t>1) Estimated spending is based at the project level.  Therefore if a project is assigned a purpose of Artificial Production, but also does Harvest, all expenditures for the project are included under Artificial Production.</t>
  </si>
  <si>
    <t>2) Other includes: Northern Oregon Coastal, Oregon Closed Basins, Puget Sound, SW Washington Coastal and “undetermined”, such as work in Canada for the Kootenai River white sturgeon</t>
  </si>
  <si>
    <t>Table/Figure 12: Cumulative expenses 1978-2018, by Major Spending Area</t>
  </si>
  <si>
    <t>Values to chart (skipping bottom 1% or so)</t>
  </si>
  <si>
    <t>MONTANA STATE LIBRARY</t>
  </si>
  <si>
    <t>Chinook - Lower Columbia River ESU (Threatened)</t>
  </si>
  <si>
    <t>Chinook - Snake River Fall ESU (Threatened)</t>
  </si>
  <si>
    <t>Chinook - Snake River Spring/Summer ESU (Threatened)</t>
  </si>
  <si>
    <t>Chinook - Upper Columbia River Spring ESU (Endangered)</t>
  </si>
  <si>
    <t>Chinook - Upper Willamette River ESU (Threatened)</t>
  </si>
  <si>
    <t>Chum - Columbia River ESU (Threatened)</t>
  </si>
  <si>
    <t>Coho - Lower Columbia River ESU (Threatened)</t>
  </si>
  <si>
    <t>Sockeye - Snake River ESU (Endangered)</t>
  </si>
  <si>
    <t>Steelhead - Lower Columbia River DPS (Threatened)</t>
  </si>
  <si>
    <t>Steelhead - Middle Columbia River DPS (Threatened)</t>
  </si>
  <si>
    <t>Steelhead - Snake River DPS (Threatened)</t>
  </si>
  <si>
    <t>Steelhead - Upper Columbia River DPS (Threatened)</t>
  </si>
  <si>
    <t>Steelhead - Upper Willamette River DPS (Threatened)</t>
  </si>
  <si>
    <t>Cutthroat Trout, Lahontan (Threatened)</t>
  </si>
  <si>
    <t>Sturgeon, White - Kootenai River DPS (Endangered)</t>
  </si>
  <si>
    <t>Trout, Bull (Threatened)</t>
  </si>
  <si>
    <t>RDC</t>
  </si>
  <si>
    <t>FEDERAL- PACIFIC NW NATIONAL LABORATORY/DEPT. OF ENERGY</t>
  </si>
  <si>
    <t>FEDERAL- US BUREAU OF RECLAMATION</t>
  </si>
  <si>
    <t>FEDERAL- NATIONAL MARINE FISHERIES</t>
  </si>
  <si>
    <t>FEDERAL- US GEOLOGICAL SURVEY</t>
  </si>
  <si>
    <t>FEDERAL- US FISH &amp; WILDLIFE SERVICE</t>
  </si>
  <si>
    <t xml:space="preserve">FEDERAL- US FOREST SERVICE </t>
  </si>
  <si>
    <t>STATE- OREGON DEPARTMENT OF FISH &amp; WILDLIFE</t>
  </si>
  <si>
    <t>STATE- IDAHO DEPARTMENT OF FISH &amp; WILDLIFE</t>
  </si>
  <si>
    <t>STATE- IDAHO STATE OFFICE OF SPECIES CONSERVATION</t>
  </si>
  <si>
    <t>STATE- WASHINGTON DEPARTMENT OF FISH &amp; WILDLIFE</t>
  </si>
  <si>
    <t>STATE- MONTANA FISH, WILDLIFE AND PARKS (MFWP)</t>
  </si>
  <si>
    <t>TRIBE- YAKAMA CONFEDERATED TRIBES</t>
  </si>
  <si>
    <t>TRIBE- COLVILLE CONFEDERATED TRIBES</t>
  </si>
  <si>
    <t>TRIBE- UMATILLA CONFEDERATED TRIBES</t>
  </si>
  <si>
    <t>TRIBE- NEZ PERCE TRIBE</t>
  </si>
  <si>
    <t>TRIBE- KOOTENAI TRIBE</t>
  </si>
  <si>
    <t>TRIBE- COLUMBIA RIVER INTERTRIBAL FISH COMMISSION</t>
  </si>
  <si>
    <t>TRIBE- SPOKANE TRIBE OF INDIANS</t>
  </si>
  <si>
    <t>TRIBE- COEUR D'ALENE TRIBE OF IDAHO</t>
  </si>
  <si>
    <t>TRIBE- KALISPEL TRIBE OF INDIANS</t>
  </si>
  <si>
    <t>TRIBE- SHOSHONE-BANNOCK TRIBES</t>
  </si>
  <si>
    <t>TRIBE- CONFEDERATED TRIBES OF WARM SPRINGS</t>
  </si>
  <si>
    <t>TRIBE- SHOSHONE-PAUITE TRIBES</t>
  </si>
  <si>
    <t>TRIBE- BURNS PAIUTE TRIBE</t>
  </si>
  <si>
    <t>TRIBE- SALISH AND KOOTENAI TRIBES CONFEDERATED TRIBES</t>
  </si>
  <si>
    <t>TRIBE- UPPER COLUMBIA UNITED TRIBES (UCUT)</t>
  </si>
  <si>
    <t>TRIBE- UPPER SNAKE RIVER TRIBES FOUNDATION</t>
  </si>
  <si>
    <t>TRIBE- COWLITZ INDIAN TRIBE</t>
  </si>
  <si>
    <t>TRIBE- CONFEDERATED TRIBES OF GRAND RONDE</t>
  </si>
  <si>
    <t>TRIBE- CONFEDERATED TRIBES OF SILETZ INDIANS</t>
  </si>
  <si>
    <t>INTERSTATE- PACIFIC STATES MARINE FISHERIES COMMISSION</t>
  </si>
  <si>
    <r>
      <t>OTHER- PRIVATE/NON-PROFIT/OTHER</t>
    </r>
    <r>
      <rPr>
        <vertAlign val="superscript"/>
        <sz val="11"/>
        <rFont val="Calibri Light"/>
        <family val="2"/>
      </rPr>
      <t>3</t>
    </r>
  </si>
  <si>
    <r>
      <t>OTHER- LAND ACQUISITIONS</t>
    </r>
    <r>
      <rPr>
        <vertAlign val="superscript"/>
        <sz val="11"/>
        <rFont val="Calibri Light"/>
        <family val="2"/>
      </rPr>
      <t>2</t>
    </r>
  </si>
  <si>
    <t>OTHER- NATIONAL FISH &amp; WILDLIFE FOUNDATION</t>
  </si>
  <si>
    <r>
      <t>OTHER- LOCAL/SEMI GOVERNMENT</t>
    </r>
    <r>
      <rPr>
        <vertAlign val="superscript"/>
        <sz val="11"/>
        <rFont val="Calibri Light"/>
        <family val="2"/>
      </rPr>
      <t>4</t>
    </r>
  </si>
  <si>
    <t>OTHER- UTILITY</t>
  </si>
  <si>
    <t xml:space="preserve">  </t>
  </si>
  <si>
    <t>Titles for graph</t>
  </si>
  <si>
    <t>FCRPS Expense</t>
  </si>
  <si>
    <t>FCRPS Capital</t>
  </si>
  <si>
    <t>CRS Expense</t>
  </si>
  <si>
    <t>CRS Capital</t>
  </si>
  <si>
    <t>FCRPS</t>
  </si>
  <si>
    <t>CRS</t>
  </si>
  <si>
    <t>1) Starting in 2008, spending by state is tracked in CB Fish based on where the contractor explicitly identified work location.</t>
  </si>
  <si>
    <t>2) Some work outside of Council subbasins include work with Kootenai Tribe in BC and Shoshone-Paiute Tribe in Nevada</t>
  </si>
  <si>
    <r>
      <t xml:space="preserve">                      </t>
    </r>
    <r>
      <rPr>
        <b/>
        <sz val="20"/>
        <rFont val="Arial"/>
        <family val="2"/>
      </rPr>
      <t>Total Cost of BPA Fish &amp; Wildlife Actions</t>
    </r>
  </si>
  <si>
    <t xml:space="preserve">         BPA  SOFTWARE DEVELOPMENT COSTS </t>
  </si>
  <si>
    <t>FISH &amp; WILDLIFE SOFTWARE EXPENSE COSTS</t>
  </si>
  <si>
    <t xml:space="preserve">        O &amp; M  LOWER SNAKE RIVER HATCHERIES</t>
  </si>
  <si>
    <t xml:space="preserve">FOREGONE REVENUES </t>
  </si>
  <si>
    <t>TOTAL FOREGONE REVENUES AND POWER PURCHASES</t>
  </si>
  <si>
    <t>TOTAL PROGRAM EXPENSES, FOREGONE REVENUES, &amp; POWER PURCHASES</t>
  </si>
  <si>
    <t>FISH COST CONTINGENCY FUND</t>
  </si>
  <si>
    <t xml:space="preserve"> ($millions)</t>
  </si>
  <si>
    <t>Net BPA F&amp;W Costs (adjusted for Fish Credits)</t>
  </si>
  <si>
    <t>Cumulative</t>
  </si>
  <si>
    <t>Total BPA F&amp;W Costs (not adjusted for Fish Credits</t>
  </si>
  <si>
    <t>Total BPA F&amp;W Ops Costs (not adjusted for Fish Credits</t>
  </si>
  <si>
    <t>BPA Fish and Wildlife Credits</t>
  </si>
  <si>
    <t>Selective Harvest</t>
  </si>
  <si>
    <t>Figure 6C: Research, Monitoring and Evaluation (RM&amp;E) Costs, FY2024</t>
  </si>
  <si>
    <t xml:space="preserve">Expense </t>
  </si>
  <si>
    <t>Contractor</t>
  </si>
  <si>
    <t>Northern Oregon Coastal</t>
  </si>
  <si>
    <t>SW Washington Coastal</t>
  </si>
  <si>
    <t>Oregon Closed Basins</t>
  </si>
  <si>
    <t>Puget Sound</t>
  </si>
  <si>
    <t>Snake Upper Middle</t>
  </si>
  <si>
    <t>Oregon Department of Fish and Wildlife</t>
  </si>
  <si>
    <t xml:space="preserve">Capital </t>
  </si>
  <si>
    <t xml:space="preserve">1) Starting in 2008, spending can be tracked back to a work element where the contractor explicitly identified the "Primary Focal Species" benefiting from the work. </t>
  </si>
  <si>
    <t>1) Starting in 2008, spending by subbasin is tracked in CB Fish based on where the contractor explicitly identified work location.</t>
  </si>
  <si>
    <t>2) "Other: Private/Non-Profit/Other" includes direct contracts with organizations such as, but not exclusive to, consulting and construction firms, non-profits, foundations, the NPCC, or non-governmental organizations, various consulting firms, hatchery construction firms, non-profits, NGO’s, and foundations.</t>
  </si>
  <si>
    <t>3) Land acquisitions may include wildlife settlements, fish restoration, and resident fish. Starting in FY 2013, land acquisition values may include stewardship expenses for long-term operations and maintenance (O&amp;M.)</t>
  </si>
  <si>
    <t>For graph</t>
  </si>
  <si>
    <t>Tribes</t>
  </si>
  <si>
    <t>Interstate Compact</t>
  </si>
  <si>
    <t>University</t>
  </si>
  <si>
    <t>Figure 2: Total Fish &amp; Wildlife Program Costs, FY2024</t>
  </si>
  <si>
    <t>Long Term Funding Agreements</t>
  </si>
  <si>
    <t>Figure 4: BiOp Project Costs, FY2024</t>
  </si>
  <si>
    <t>Figure 5: ESA-Listed Fish Costs, FY2024</t>
  </si>
  <si>
    <t>F&amp;W Program Implementation Support</t>
  </si>
  <si>
    <t>$27.8M</t>
  </si>
  <si>
    <t>1) The FCRPS BiOp was issued by NOAA in May 2008.</t>
  </si>
  <si>
    <t>1) Expenditures are reported for the project contractor under which the acquisition was funded (may/may not be the land manager)</t>
  </si>
  <si>
    <t>Account Type</t>
  </si>
  <si>
    <t>1) Estimated spending is based at the contract level.  Therefore if a contract supports an ESA listed focal species, all expenditures for the contracts are included in the total spending.  The total does not include Reserve Distribution Clause contracts, F&amp;W Program Implementation Support, or BPA G&amp;A costs. Values include accruals.</t>
  </si>
  <si>
    <t>2) This does not include contracts that only contain administrative work elements because no focal species is required to be identified. The total does not include Reserve Distribution Clause contracts, F&amp;W Program Implementation Support, or BPA G&amp;A costs. Values include accruals.</t>
  </si>
  <si>
    <t>3) Estimated spending is based at the project level.  Therefore, if a project partially supported the FCRPS BiOp (2008-2020) or the CRS BiOp (starting in 2021), all expenditures for the project are included.  The total does not include Reserve Distribution Clause contracts, F&amp;W Program Implementation Support, or BPA G&amp;A costs. Values include accruals.</t>
  </si>
  <si>
    <t>2) The total does not include Reserve Distribution Clause contracts, F&amp;W Program Implementation Support, or BPA G&amp;A costs. Values include accruals.</t>
  </si>
  <si>
    <t>3) This does not include contracts that have work elements not requiring location. The total does not include Reserve Distribution Clause contracts, F&amp;W Program Implementation Support, or BPA G&amp;A costs. Values include accruals.</t>
  </si>
  <si>
    <t>3) This does not include contracts that have work elements not requiring location.  The total does not include Reserve Distribution Clause contracts, F&amp;W Program Implementation Support, or BPA G&amp;A costs. Values include accruals.</t>
  </si>
  <si>
    <t>1) The total does not include Reserve Distribution Clause contracts, F&amp;W Program Implementation Support, or BPA G&amp;A costs. Values include accruals.</t>
  </si>
  <si>
    <t>2) Values above include bank fees, permits, etc. Starting in FY2013, land acquisition values may include stewardship expenses for long-term operations and maintenance (O&amp;M.) Stewardship expenses represent a one-time payment for O&amp;M in perpetuity. The total does not include Reserve Distribution Clause contracts, F&amp;W Program Implementation Support, or BPA G&amp;A costs.</t>
  </si>
  <si>
    <t xml:space="preserve">ESA Listed Focal Species </t>
  </si>
  <si>
    <t xml:space="preserve">Total Spending </t>
  </si>
  <si>
    <t xml:space="preserve">1) In CB Fish contractors identify the project's Purpose (general goal) and Emphasis (primary type of work, e.g., habitat restoration.) </t>
  </si>
  <si>
    <t>Figure 6B: Artificial Production Costs, FY2024</t>
  </si>
  <si>
    <t>Figure 6A: Project Emphasis Costs, FY2024</t>
  </si>
  <si>
    <t>4) Local/semi-government includes local soil &amp; water conservation districts, irrigation districts, cities and counties.</t>
  </si>
  <si>
    <t>Figure 1A: Major Area Costs, FY2024</t>
  </si>
  <si>
    <t>Figure 3: Species Type Costs, FY2024</t>
  </si>
  <si>
    <t>Figure 7A: Province Costs, FY2024</t>
  </si>
  <si>
    <t>Figure 7B: Subbasin Costs, FY2024</t>
  </si>
  <si>
    <t>Figure 8: Work Element Location Costs, FY2024</t>
  </si>
  <si>
    <t>Figure 9: Project Contractor Costs, FY2024</t>
  </si>
  <si>
    <t>Figure 10: Land Purchases Costs, FY2024</t>
  </si>
  <si>
    <t>Figure 1B: Combined Direct Program and Capital Costs, FY2024</t>
  </si>
  <si>
    <t xml:space="preserve">      Corps of Engineers O&amp;M (est.)</t>
  </si>
  <si>
    <t xml:space="preserve">      Lower Snake Comp Plan</t>
  </si>
  <si>
    <t xml:space="preserve">      Bureau of Reclamation O&amp;M (est.)</t>
  </si>
  <si>
    <t xml:space="preserve">      NW Power &amp; Conservation Council</t>
  </si>
  <si>
    <t xml:space="preserve">      Interest Expense (est.)</t>
  </si>
  <si>
    <t xml:space="preserve">      Amortization/Depreciation (est.)</t>
  </si>
  <si>
    <t>Direct F&amp;W Program Capital</t>
  </si>
  <si>
    <t>For Graph</t>
  </si>
  <si>
    <t>1) Starting in 2008, spending by province is tracked in CB Fish based on where the contractor explicitly identified work location.</t>
  </si>
  <si>
    <t>2024 EXP</t>
  </si>
  <si>
    <t>2024 CAP</t>
  </si>
  <si>
    <r>
      <t>Category</t>
    </r>
    <r>
      <rPr>
        <b/>
        <vertAlign val="superscript"/>
        <sz val="10"/>
        <color theme="0"/>
        <rFont val="Aptos Narrow"/>
        <family val="2"/>
      </rPr>
      <t>1</t>
    </r>
  </si>
  <si>
    <r>
      <t xml:space="preserve">TOTAL ARTIFICIAL PRODUCTION COSTS </t>
    </r>
    <r>
      <rPr>
        <b/>
        <vertAlign val="superscript"/>
        <sz val="10"/>
        <color theme="1"/>
        <rFont val="Aptos Narrow"/>
        <family val="2"/>
      </rPr>
      <t>2</t>
    </r>
  </si>
  <si>
    <r>
      <t>Long Term Funding Agreements</t>
    </r>
    <r>
      <rPr>
        <vertAlign val="superscript"/>
        <sz val="10"/>
        <rFont val="Aptos Narrow"/>
        <family val="2"/>
      </rPr>
      <t xml:space="preserve"> 1</t>
    </r>
  </si>
  <si>
    <r>
      <t>TOTAL PROGRAM</t>
    </r>
    <r>
      <rPr>
        <b/>
        <vertAlign val="superscript"/>
        <sz val="10"/>
        <color theme="1"/>
        <rFont val="Aptos Narrow"/>
        <family val="2"/>
      </rPr>
      <t xml:space="preserve"> </t>
    </r>
    <r>
      <rPr>
        <b/>
        <sz val="10"/>
        <color theme="1"/>
        <rFont val="Aptos Narrow"/>
        <family val="2"/>
      </rPr>
      <t>COSTS</t>
    </r>
  </si>
  <si>
    <r>
      <t>Species Type</t>
    </r>
    <r>
      <rPr>
        <b/>
        <vertAlign val="superscript"/>
        <sz val="9"/>
        <color theme="0"/>
        <rFont val="Aptos Narrow"/>
        <family val="2"/>
      </rPr>
      <t>1</t>
    </r>
  </si>
  <si>
    <r>
      <t>TOTAL SPECIES COSTS</t>
    </r>
    <r>
      <rPr>
        <b/>
        <vertAlign val="superscript"/>
        <sz val="9"/>
        <color theme="1"/>
        <rFont val="Aptos Narrow"/>
        <family val="2"/>
      </rPr>
      <t xml:space="preserve"> 2</t>
    </r>
  </si>
  <si>
    <r>
      <t xml:space="preserve">FCRPS </t>
    </r>
    <r>
      <rPr>
        <b/>
        <vertAlign val="superscript"/>
        <sz val="9"/>
        <color theme="0"/>
        <rFont val="Aptos Narrow"/>
        <family val="2"/>
      </rPr>
      <t>1</t>
    </r>
  </si>
  <si>
    <r>
      <t xml:space="preserve">CRS </t>
    </r>
    <r>
      <rPr>
        <b/>
        <vertAlign val="superscript"/>
        <sz val="9"/>
        <color theme="0"/>
        <rFont val="Aptos Narrow"/>
        <family val="2"/>
      </rPr>
      <t>2</t>
    </r>
  </si>
  <si>
    <r>
      <t>TOTAL BIOP COSTS</t>
    </r>
    <r>
      <rPr>
        <b/>
        <vertAlign val="superscript"/>
        <sz val="9"/>
        <rFont val="Aptos Narrow"/>
        <family val="2"/>
      </rPr>
      <t xml:space="preserve"> 3</t>
    </r>
  </si>
  <si>
    <r>
      <t xml:space="preserve">TOTAL ESA-LISTED FISH COSTS </t>
    </r>
    <r>
      <rPr>
        <b/>
        <vertAlign val="superscript"/>
        <sz val="12"/>
        <color theme="1"/>
        <rFont val="Aptos Narrow"/>
        <family val="2"/>
      </rPr>
      <t>1</t>
    </r>
  </si>
  <si>
    <r>
      <t>Province</t>
    </r>
    <r>
      <rPr>
        <b/>
        <vertAlign val="superscript"/>
        <sz val="12"/>
        <color theme="0"/>
        <rFont val="Aptos Narrow"/>
        <family val="2"/>
      </rPr>
      <t>1</t>
    </r>
  </si>
  <si>
    <r>
      <t>Other</t>
    </r>
    <r>
      <rPr>
        <vertAlign val="superscript"/>
        <sz val="12"/>
        <rFont val="Aptos Narrow"/>
        <family val="2"/>
      </rPr>
      <t>2</t>
    </r>
  </si>
  <si>
    <r>
      <t xml:space="preserve">TOTAL SUBBASIN COSTS </t>
    </r>
    <r>
      <rPr>
        <b/>
        <vertAlign val="superscript"/>
        <sz val="12"/>
        <color theme="1"/>
        <rFont val="Aptos Narrow"/>
        <family val="2"/>
      </rPr>
      <t>3</t>
    </r>
  </si>
  <si>
    <r>
      <t xml:space="preserve">PRIVATE/NON-PROFIT/OTHER </t>
    </r>
    <r>
      <rPr>
        <vertAlign val="superscript"/>
        <sz val="12"/>
        <rFont val="Aptos Narrow"/>
        <family val="2"/>
      </rPr>
      <t>2</t>
    </r>
  </si>
  <si>
    <r>
      <t xml:space="preserve">LAND ACQUISITIONS </t>
    </r>
    <r>
      <rPr>
        <vertAlign val="superscript"/>
        <sz val="12"/>
        <rFont val="Aptos Narrow"/>
        <family val="2"/>
      </rPr>
      <t>3</t>
    </r>
  </si>
  <si>
    <r>
      <t>LOCAL/SEMI GOVERNMENT</t>
    </r>
    <r>
      <rPr>
        <vertAlign val="superscript"/>
        <sz val="12"/>
        <rFont val="Aptos Narrow"/>
        <family val="2"/>
      </rPr>
      <t>4</t>
    </r>
  </si>
  <si>
    <r>
      <t xml:space="preserve">TOTAL CONTRACTOR COSTS </t>
    </r>
    <r>
      <rPr>
        <b/>
        <vertAlign val="superscript"/>
        <sz val="12"/>
        <color theme="1"/>
        <rFont val="Aptos Narrow"/>
        <family val="2"/>
      </rPr>
      <t>1</t>
    </r>
  </si>
  <si>
    <r>
      <t xml:space="preserve">Project Contractor </t>
    </r>
    <r>
      <rPr>
        <b/>
        <vertAlign val="superscript"/>
        <sz val="12"/>
        <color theme="0"/>
        <rFont val="Aptos Narrow"/>
        <family val="2"/>
      </rPr>
      <t>1</t>
    </r>
  </si>
  <si>
    <r>
      <t>TOTAL LAND PURCHASE COSTS</t>
    </r>
    <r>
      <rPr>
        <b/>
        <vertAlign val="superscript"/>
        <sz val="12"/>
        <color theme="1"/>
        <rFont val="Aptos Narrow"/>
        <family val="2"/>
      </rPr>
      <t xml:space="preserve"> 2</t>
    </r>
  </si>
  <si>
    <r>
      <t xml:space="preserve">CAPITAL  INVESTMENTS </t>
    </r>
    <r>
      <rPr>
        <b/>
        <vertAlign val="superscript"/>
        <sz val="12"/>
        <rFont val="Aptos Narrow"/>
        <family val="2"/>
      </rPr>
      <t xml:space="preserve"> 1/</t>
    </r>
  </si>
  <si>
    <r>
      <t xml:space="preserve">SUPPLEMENTAL MITIGATION PROGRAM EXPENSES </t>
    </r>
    <r>
      <rPr>
        <b/>
        <vertAlign val="superscript"/>
        <sz val="12"/>
        <rFont val="Aptos Narrow"/>
        <family val="2"/>
      </rPr>
      <t>2/</t>
    </r>
  </si>
  <si>
    <r>
      <t xml:space="preserve">REIMBURSABLE/DIRECT-FUNDED PROJECTS </t>
    </r>
    <r>
      <rPr>
        <b/>
        <vertAlign val="superscript"/>
        <sz val="12"/>
        <rFont val="Aptos Narrow"/>
        <family val="2"/>
      </rPr>
      <t>3/</t>
    </r>
  </si>
  <si>
    <r>
      <t xml:space="preserve">PROGRAM RELATED FIXED EXPENSES   </t>
    </r>
    <r>
      <rPr>
        <b/>
        <vertAlign val="superscript"/>
        <sz val="12"/>
        <rFont val="Aptos Narrow"/>
        <family val="2"/>
      </rPr>
      <t>4/</t>
    </r>
  </si>
  <si>
    <t>2) Estimated spending is based at the project level.  Therefore if a project is assigned an emphasis of Habitat, but also does RME, all expenditures for the project are included under Habitat.  The total does not include Reserve Distribution Clause contracts, F&amp;W Program Implementation Support, or BPA G&amp;A costs. Values include accruals.</t>
  </si>
  <si>
    <r>
      <t>Category</t>
    </r>
    <r>
      <rPr>
        <b/>
        <vertAlign val="superscript"/>
        <sz val="9"/>
        <color theme="0"/>
        <rFont val="Aptos Narrow"/>
        <family val="2"/>
      </rPr>
      <t>1</t>
    </r>
  </si>
  <si>
    <r>
      <t xml:space="preserve">TOTAL PROJECT EMPHASIS COSTS </t>
    </r>
    <r>
      <rPr>
        <b/>
        <vertAlign val="superscript"/>
        <sz val="9"/>
        <color theme="1"/>
        <rFont val="Aptos Narrow"/>
        <family val="2"/>
      </rPr>
      <t>2</t>
    </r>
  </si>
  <si>
    <r>
      <t xml:space="preserve">TOTAL RM&amp;E COSTS </t>
    </r>
    <r>
      <rPr>
        <b/>
        <vertAlign val="superscript"/>
        <sz val="9"/>
        <color theme="1"/>
        <rFont val="Aptos Narrow"/>
        <family val="2"/>
      </rPr>
      <t>2</t>
    </r>
  </si>
  <si>
    <r>
      <t>Province</t>
    </r>
    <r>
      <rPr>
        <b/>
        <vertAlign val="superscript"/>
        <sz val="9"/>
        <color theme="0"/>
        <rFont val="Aptos Narrow"/>
        <family val="2"/>
      </rPr>
      <t>1</t>
    </r>
  </si>
  <si>
    <r>
      <t>OTHER</t>
    </r>
    <r>
      <rPr>
        <vertAlign val="superscript"/>
        <sz val="9"/>
        <rFont val="Aptos Narrow"/>
        <family val="2"/>
      </rPr>
      <t xml:space="preserve"> 2</t>
    </r>
  </si>
  <si>
    <r>
      <t xml:space="preserve">TOTAL PROVINCE COSTS </t>
    </r>
    <r>
      <rPr>
        <b/>
        <vertAlign val="superscript"/>
        <sz val="9"/>
        <color theme="1"/>
        <rFont val="Aptos Narrow"/>
        <family val="2"/>
      </rPr>
      <t>3</t>
    </r>
  </si>
  <si>
    <r>
      <t>British Columbia</t>
    </r>
    <r>
      <rPr>
        <vertAlign val="superscript"/>
        <sz val="9"/>
        <color theme="1"/>
        <rFont val="Aptos Narrow"/>
        <family val="2"/>
      </rPr>
      <t>2</t>
    </r>
  </si>
  <si>
    <r>
      <t>Nevada</t>
    </r>
    <r>
      <rPr>
        <vertAlign val="superscript"/>
        <sz val="9"/>
        <color theme="1"/>
        <rFont val="Aptos Narrow"/>
        <family val="2"/>
      </rPr>
      <t>2</t>
    </r>
  </si>
  <si>
    <r>
      <t>TOTAL LOCATION COSTS</t>
    </r>
    <r>
      <rPr>
        <b/>
        <vertAlign val="superscript"/>
        <sz val="9"/>
        <color theme="1"/>
        <rFont val="Aptos Narrow"/>
        <family val="2"/>
      </rPr>
      <t xml:space="preserve"> 3</t>
    </r>
  </si>
  <si>
    <t>Direct F&amp;W Program</t>
  </si>
  <si>
    <t>1) Long Term Funding Agreement refers to all Accords, agreements and MOAs that function like Accords. These include Coeur d’Alene, Colville, CRITFC, Idaho, Kalispel, Kootenai, Montana, Shoshone-Bannock, Umatilla, Warm Springs, Yakama, Spokane; wildlife settlements for Willamette, Northern Idaho Wildlife Mitigation (NIWM) and Southern Idaho Wildlife Mitigation (SIWM).</t>
  </si>
  <si>
    <t>2) Non-long term agreements include partners that do not have an Accord or MOA agreement. These partners receive an annual budget through the Start of Year process, and include land trusts, private entities, soil and water conservation districts, some states and some tribes.</t>
  </si>
  <si>
    <t xml:space="preserve">3) Fish &amp; Wildlife Program Implementation Support includes expenses for staff, travel/training, NEPA, Cultural Resources, as well as technical service contracts. Council requested these costs be separated from the Non-Long Term Funding Agreements category starting in 2023. Prior to 2023, it was included in the Non-Long Term Funding Agreements total. </t>
  </si>
  <si>
    <r>
      <t xml:space="preserve">F&amp;W Program Implementation Support </t>
    </r>
    <r>
      <rPr>
        <vertAlign val="superscript"/>
        <sz val="10"/>
        <rFont val="Aptos Narrow"/>
        <family val="2"/>
      </rPr>
      <t>3</t>
    </r>
  </si>
  <si>
    <r>
      <t>Reserve Distribution Clause</t>
    </r>
    <r>
      <rPr>
        <vertAlign val="superscript"/>
        <sz val="10"/>
        <rFont val="Aptos Narrow"/>
        <family val="2"/>
      </rPr>
      <t xml:space="preserve"> 4</t>
    </r>
  </si>
  <si>
    <r>
      <t>General &amp; Administrative</t>
    </r>
    <r>
      <rPr>
        <vertAlign val="superscript"/>
        <sz val="10"/>
        <rFont val="Aptos Narrow"/>
        <family val="2"/>
      </rPr>
      <t xml:space="preserve"> 5</t>
    </r>
  </si>
  <si>
    <t>5) General &amp; Administrative Costs (G&amp;A) are BPA agency costs associated with running the agency’s operations and are not directly tied to a specific program. In prior years, a portion of the agency G&amp;A were allocated to F&amp;W Program Implementation Support costs. Starting in FY2018, the agency G&amp;A was calculated using a revised methodology and recognized as a distinct charge from the F&amp;W Program Implementation Support costs.</t>
  </si>
  <si>
    <t>4(h)(10)(C) Credits</t>
  </si>
  <si>
    <t>3) Harvest Augmentation is the use of hatcheries to increase harvest opportunities.</t>
  </si>
  <si>
    <t>4) Supplementation is the use of hatcheries or other captive breeding techniques to increase natural populations.</t>
  </si>
  <si>
    <r>
      <t xml:space="preserve">Harvest Augmentation </t>
    </r>
    <r>
      <rPr>
        <vertAlign val="superscript"/>
        <sz val="10"/>
        <rFont val="Aptos Narrow"/>
        <family val="2"/>
      </rPr>
      <t>3</t>
    </r>
  </si>
  <si>
    <r>
      <t xml:space="preserve">Supplementation </t>
    </r>
    <r>
      <rPr>
        <vertAlign val="superscript"/>
        <sz val="10"/>
        <rFont val="Aptos Narrow"/>
        <family val="2"/>
      </rPr>
      <t>4</t>
    </r>
  </si>
  <si>
    <t>Graphs and tables used in the FY 2024 BPA F&amp;W Expenditures Report</t>
  </si>
  <si>
    <t>Source: "1978-2024 Total Cost of BPA Fish &amp; Wildlife Actions" sheet  provided by BPA</t>
  </si>
  <si>
    <r>
      <t xml:space="preserve">Direct F&amp;W Program </t>
    </r>
    <r>
      <rPr>
        <b/>
        <vertAlign val="superscript"/>
        <sz val="12"/>
        <color theme="1"/>
        <rFont val="Aptos Narrow"/>
        <family val="2"/>
      </rPr>
      <t>1</t>
    </r>
  </si>
  <si>
    <r>
      <t xml:space="preserve">     Total Reimbursable Expenses </t>
    </r>
    <r>
      <rPr>
        <b/>
        <vertAlign val="superscript"/>
        <sz val="12"/>
        <color theme="1"/>
        <rFont val="Aptos Narrow"/>
        <family val="2"/>
      </rPr>
      <t>2</t>
    </r>
  </si>
  <si>
    <r>
      <t xml:space="preserve">    Total Fixed Expenses </t>
    </r>
    <r>
      <rPr>
        <b/>
        <vertAlign val="superscript"/>
        <sz val="12"/>
        <color theme="1"/>
        <rFont val="Aptos Narrow"/>
        <family val="2"/>
      </rPr>
      <t>3</t>
    </r>
  </si>
  <si>
    <r>
      <t xml:space="preserve">TOTAL MAJOR AREA COSTS </t>
    </r>
    <r>
      <rPr>
        <b/>
        <vertAlign val="superscript"/>
        <sz val="12"/>
        <color theme="1"/>
        <rFont val="Aptos Narrow"/>
        <family val="2"/>
      </rPr>
      <t>4</t>
    </r>
  </si>
  <si>
    <r>
      <t>Capital investments</t>
    </r>
    <r>
      <rPr>
        <vertAlign val="superscript"/>
        <sz val="11"/>
        <color theme="1"/>
        <rFont val="Aptos Narrow"/>
        <family val="2"/>
      </rPr>
      <t xml:space="preserve"> 5</t>
    </r>
  </si>
  <si>
    <t>The figures shown are consistent with audited actuals that contain Agency approved financial information, except for forgone revenues and power purchases which are estimates and do not contain Agency approved financial information.</t>
  </si>
  <si>
    <t>1) Direct Fish &amp; Wildlife Program costs include Expense costs, BPA General &amp; Administration costs, and Reserve Distribution Clause costs. As reported by Bonneville, these costs do not include the amount expended in FY2024 to implement the Phase II studies of the feasibility study of reintroducing anadromous fish above Grand Coulee and Chief Joseph Dams. The Council considers that to be a direct fish and wildlife expenditure no different than the others.</t>
  </si>
  <si>
    <t>2) “Reimbursable/Direct-Funded Projects” includes the portion of expenses BPA pays to or on behalf of other entities that is determined to be for fish and wildlife purposes.</t>
  </si>
  <si>
    <t>3) “Fixed Expenses” include depreciation, amortization and interest on investments on the Corps of Engineers’ projects, and amortization and interest on the investments associated with BPA’s direct Fish and Wildlife Program.</t>
  </si>
  <si>
    <t>4) Total of $1.4 billion does not reflect $39.3 million in obligations to capital projects for fish and wildlife projects, software development, and structures at dams, or $257.8 million in 4(h)(10)(C) credits.</t>
  </si>
  <si>
    <t>5) Capital Investments include both BPA’s direct Fish and Wildlife Program capital investments, and “Associated Projects”, which include capital investments at Corps of Engineers’ and Bureau of Reclamation projects, funded by appropriations and repaid by BPA.</t>
  </si>
  <si>
    <r>
      <t xml:space="preserve">Annual Contracts </t>
    </r>
    <r>
      <rPr>
        <vertAlign val="superscript"/>
        <sz val="10"/>
        <rFont val="Aptos Narrow"/>
        <family val="2"/>
      </rPr>
      <t>2</t>
    </r>
  </si>
  <si>
    <t>Annual Contracts</t>
  </si>
  <si>
    <t xml:space="preserve">4) The Reserves Distribution Clause (RDC) funds are intended to address, on an accelerated, one-time basis, high priority non-recurring maintenance needs of existing Fish &amp; Wildlife assets. Includes hatchery work within the Direct F&amp;W program. </t>
  </si>
  <si>
    <t xml:space="preserve">2) The CRS BiOps were issued by NOAA &amp; USFWS in October 2020. FY21 and FY22 data were updated to reflect this change. </t>
  </si>
  <si>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t>
  </si>
  <si>
    <t>2) Includes High Priority and Action Plan Expenses and other supplemental programs.</t>
  </si>
  <si>
    <t>3) “Reimbursable/Direct-Funded Projects” includes the portion of costs BPA pays to or on behalf of other entities that is determined to be for fish and wildlife purposes.</t>
  </si>
  <si>
    <t xml:space="preserve">4) “Fixed Expenses” include depreciation, amortization and interest on investments on the Corps of Engineers’ projects, and amortization and interest on the investments associated with BPA’s direct Fish and Wildlife Program.  </t>
  </si>
  <si>
    <t>* Please note that this dataset includes forgone revenue even though it is an estimate of lost revenue and not an actual expenditure. Forgone revenue is defined as forgone hydropower sales revenue that results from dam operations that benefit fish but reduce hydropower generation. Bonneville considers forgone revenue a cost attributable to fish and wildlife mitigation.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</si>
</sst>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
    <numFmt numFmtId="167" formatCode="&quot;$&quot;#.0,,\ &quot;million&quot;"/>
    <numFmt numFmtId="168" formatCode="_(* #,##0.0_);_(* \(#,##0.0\);_(* &quot;-&quot;??_);_(@_)"/>
    <numFmt numFmtId="169" formatCode="0.0_);\(0.0\)"/>
    <numFmt numFmtId="170" formatCode="0.000"/>
    <numFmt numFmtId="171" formatCode="_(* #,##0_);_(* \(#,##0\);_(* &quot;-&quot;??_);_(@_)"/>
    <numFmt numFmtId="172" formatCode="0_);\(0\)"/>
    <numFmt numFmtId="173" formatCode="0.0"/>
    <numFmt numFmtId="174" formatCode="_(* #,##0.0_);_(* \(#,##0.0\);_(* &quot;-&quot;?_);_(@_)"/>
    <numFmt numFmtId="175" formatCode="&quot;$&quot;#.#,,&quot;M&quot;"/>
    <numFmt numFmtId="176" formatCode="_(&quot;$&quot;* #,##0_);_(&quot;$&quot;* \(#,##0\);_(&quot;$&quot;* &quot;-&quot;??_);_(@_)"/>
    <numFmt numFmtId="177" formatCode="&quot;$&quot;_(* #,##0.0_);_(* \(#,##0.0\);_(* &quot;-&quot;??_);_(@_)"/>
    <numFmt numFmtId="178" formatCode="_(&quot;$&quot;* #,##0.0_);_(&quot;$&quot;* \(#,##0.0\);_(&quot;$&quot;* &quot;-&quot;??_);_(@_)"/>
    <numFmt numFmtId="179" formatCode="&quot;$&quot;#,,&quot;M&quot;"/>
    <numFmt numFmtId="180" formatCode="&quot;$&quot;#.###,,,&quot;B&quot;"/>
  </numFmts>
  <fonts count="120">
    <font>
      <sz val="10"/>
      <name val="Helv"/>
    </font>
    <font>
      <sz val="11"/>
      <color theme="1"/>
      <name val="Calibri"/>
      <family val="2"/>
      <scheme val="minor"/>
    </font>
    <font>
      <sz val="11"/>
      <color theme="1"/>
      <name val="Calibri"/>
      <family val="2"/>
      <scheme val="minor"/>
    </font>
    <font>
      <sz val="10"/>
      <name val="Helv"/>
    </font>
    <font>
      <sz val="10"/>
      <name val="Arial"/>
      <family val="2"/>
    </font>
    <font>
      <sz val="12"/>
      <name val="Times New Roman"/>
      <family val="1"/>
    </font>
    <font>
      <b/>
      <sz val="12"/>
      <name val="Century Gothic"/>
      <family val="2"/>
    </font>
    <font>
      <sz val="10"/>
      <name val="Arial"/>
      <family val="2"/>
    </font>
    <font>
      <sz val="10"/>
      <name val="Arial Unicode MS"/>
      <family val="2"/>
    </font>
    <font>
      <sz val="11"/>
      <color theme="1"/>
      <name val="Calibri"/>
      <family val="2"/>
      <scheme val="minor"/>
    </font>
    <font>
      <sz val="11"/>
      <color theme="1"/>
      <name val="Century Gothic"/>
      <family val="2"/>
    </font>
    <font>
      <sz val="11"/>
      <name val="Century Gothic"/>
      <family val="2"/>
    </font>
    <font>
      <sz val="10"/>
      <name val="Arial"/>
      <family val="2"/>
    </font>
    <font>
      <sz val="10"/>
      <name val="Century Gothic"/>
      <family val="2"/>
    </font>
    <font>
      <b/>
      <sz val="10"/>
      <name val="Century Gothic"/>
      <family val="2"/>
    </font>
    <font>
      <sz val="10"/>
      <name val="Arial"/>
      <family val="2"/>
    </font>
    <font>
      <b/>
      <sz val="10"/>
      <color rgb="FFC00000"/>
      <name val="Century Gothic"/>
      <family val="2"/>
    </font>
    <font>
      <sz val="11"/>
      <color rgb="FFC00000"/>
      <name val="Calibri"/>
      <family val="2"/>
      <scheme val="minor"/>
    </font>
    <font>
      <b/>
      <sz val="11"/>
      <color rgb="FFC00000"/>
      <name val="Calibri"/>
      <family val="2"/>
      <scheme val="minor"/>
    </font>
    <font>
      <b/>
      <sz val="11"/>
      <color rgb="FFFF0000"/>
      <name val="Calibri"/>
      <family val="2"/>
      <scheme val="minor"/>
    </font>
    <font>
      <b/>
      <sz val="11"/>
      <color theme="1"/>
      <name val="Calibri"/>
      <family val="2"/>
      <scheme val="minor"/>
    </font>
    <font>
      <sz val="10"/>
      <color rgb="FFFF0000"/>
      <name val="Arial"/>
      <family val="2"/>
    </font>
    <font>
      <b/>
      <sz val="10"/>
      <color rgb="FFFF0000"/>
      <name val="Arial"/>
      <family val="2"/>
    </font>
    <font>
      <sz val="9"/>
      <color indexed="81"/>
      <name val="Tahoma"/>
      <family val="2"/>
    </font>
    <font>
      <b/>
      <sz val="9"/>
      <color indexed="81"/>
      <name val="Tahoma"/>
      <family val="2"/>
    </font>
    <font>
      <b/>
      <sz val="20"/>
      <name val="Helv"/>
    </font>
    <font>
      <sz val="12"/>
      <name val="Comic Sans MS"/>
      <family val="4"/>
    </font>
    <font>
      <sz val="12"/>
      <name val="Arial"/>
      <family val="2"/>
    </font>
    <font>
      <b/>
      <sz val="14"/>
      <name val="Arial"/>
      <family val="2"/>
    </font>
    <font>
      <sz val="8"/>
      <color indexed="81"/>
      <name val="Tahoma"/>
      <family val="2"/>
    </font>
    <font>
      <b/>
      <sz val="8"/>
      <color indexed="81"/>
      <name val="Tahoma"/>
      <family val="2"/>
    </font>
    <font>
      <b/>
      <sz val="12"/>
      <color theme="1"/>
      <name val="Calibri Light"/>
      <family val="2"/>
    </font>
    <font>
      <sz val="11"/>
      <color theme="1"/>
      <name val="Calibri Light"/>
      <family val="2"/>
    </font>
    <font>
      <sz val="12"/>
      <color theme="1"/>
      <name val="Calibri Light"/>
      <family val="2"/>
    </font>
    <font>
      <b/>
      <sz val="12"/>
      <name val="Calibri Light"/>
      <family val="2"/>
    </font>
    <font>
      <b/>
      <sz val="11"/>
      <color rgb="FFC00000"/>
      <name val="Calibri Light"/>
      <family val="2"/>
    </font>
    <font>
      <sz val="11"/>
      <name val="Calibri Light"/>
      <family val="2"/>
    </font>
    <font>
      <sz val="10"/>
      <name val="Calibri Light"/>
      <family val="2"/>
    </font>
    <font>
      <b/>
      <sz val="11"/>
      <name val="Calibri Light"/>
      <family val="2"/>
    </font>
    <font>
      <sz val="12"/>
      <name val="Calibri Light"/>
      <family val="2"/>
    </font>
    <font>
      <sz val="8"/>
      <name val="Calibri Light"/>
      <family val="2"/>
    </font>
    <font>
      <b/>
      <sz val="8"/>
      <name val="Calibri Light"/>
      <family val="2"/>
    </font>
    <font>
      <sz val="9"/>
      <name val="Calibri Light"/>
      <family val="2"/>
    </font>
    <font>
      <vertAlign val="superscript"/>
      <sz val="11"/>
      <name val="Calibri Light"/>
      <family val="2"/>
    </font>
    <font>
      <b/>
      <i/>
      <sz val="11"/>
      <name val="Calibri Light"/>
      <family val="2"/>
    </font>
    <font>
      <b/>
      <sz val="11"/>
      <color theme="5"/>
      <name val="Calibri Light"/>
      <family val="2"/>
    </font>
    <font>
      <b/>
      <sz val="11"/>
      <color theme="1"/>
      <name val="Calibri Light"/>
      <family val="2"/>
    </font>
    <font>
      <i/>
      <sz val="8"/>
      <name val="Calibri Light"/>
      <family val="2"/>
    </font>
    <font>
      <b/>
      <sz val="14"/>
      <color theme="1"/>
      <name val="Calibri Light"/>
      <family val="2"/>
    </font>
    <font>
      <b/>
      <sz val="12"/>
      <color rgb="FFFF0000"/>
      <name val="Calibri Light"/>
      <family val="2"/>
    </font>
    <font>
      <b/>
      <sz val="8"/>
      <color theme="1"/>
      <name val="Calibri"/>
      <family val="2"/>
      <scheme val="minor"/>
    </font>
    <font>
      <i/>
      <sz val="11"/>
      <color theme="1"/>
      <name val="Calibri Light"/>
      <family val="2"/>
    </font>
    <font>
      <b/>
      <sz val="14"/>
      <color theme="0"/>
      <name val="Calibri Light"/>
      <family val="2"/>
    </font>
    <font>
      <sz val="14"/>
      <name val="Calibri Light"/>
      <family val="2"/>
    </font>
    <font>
      <i/>
      <sz val="11"/>
      <name val="Calibri Light"/>
      <family val="2"/>
    </font>
    <font>
      <b/>
      <sz val="10"/>
      <color indexed="10"/>
      <name val="Arial"/>
      <family val="2"/>
    </font>
    <font>
      <b/>
      <sz val="20"/>
      <name val="Arial"/>
      <family val="2"/>
    </font>
    <font>
      <b/>
      <sz val="12"/>
      <color indexed="10"/>
      <name val="Arial"/>
      <family val="2"/>
    </font>
    <font>
      <b/>
      <sz val="12"/>
      <name val="Arial"/>
      <family val="2"/>
    </font>
    <font>
      <b/>
      <sz val="12"/>
      <name val="Comic Sans MS"/>
      <family val="4"/>
    </font>
    <font>
      <b/>
      <sz val="16"/>
      <name val="Arial"/>
      <family val="2"/>
    </font>
    <font>
      <sz val="16"/>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1"/>
      <color rgb="FF000000"/>
      <name val="Calibri Light"/>
      <family val="2"/>
    </font>
    <font>
      <b/>
      <sz val="12"/>
      <color theme="0"/>
      <name val="Calibri Light"/>
      <family val="2"/>
    </font>
    <font>
      <b/>
      <sz val="12"/>
      <color theme="0"/>
      <name val="Aptos Narrow"/>
      <family val="2"/>
    </font>
    <font>
      <b/>
      <vertAlign val="superscript"/>
      <sz val="12"/>
      <color theme="0"/>
      <name val="Aptos Narrow"/>
      <family val="2"/>
    </font>
    <font>
      <sz val="12"/>
      <name val="Aptos Narrow"/>
      <family val="2"/>
    </font>
    <font>
      <b/>
      <sz val="12"/>
      <color theme="1"/>
      <name val="Aptos Narrow"/>
      <family val="2"/>
    </font>
    <font>
      <b/>
      <vertAlign val="superscript"/>
      <sz val="12"/>
      <color theme="1"/>
      <name val="Aptos Narrow"/>
      <family val="2"/>
    </font>
    <font>
      <b/>
      <sz val="11"/>
      <color theme="1"/>
      <name val="Aptos Narrow"/>
      <family val="2"/>
    </font>
    <font>
      <b/>
      <sz val="10"/>
      <color theme="0"/>
      <name val="Aptos Narrow"/>
      <family val="2"/>
    </font>
    <font>
      <b/>
      <vertAlign val="superscript"/>
      <sz val="10"/>
      <color theme="0"/>
      <name val="Aptos Narrow"/>
      <family val="2"/>
    </font>
    <font>
      <sz val="10"/>
      <name val="Aptos Narrow"/>
      <family val="2"/>
    </font>
    <font>
      <b/>
      <sz val="10"/>
      <color theme="1"/>
      <name val="Aptos Narrow"/>
      <family val="2"/>
    </font>
    <font>
      <b/>
      <vertAlign val="superscript"/>
      <sz val="10"/>
      <color theme="1"/>
      <name val="Aptos Narrow"/>
      <family val="2"/>
    </font>
    <font>
      <vertAlign val="superscript"/>
      <sz val="12"/>
      <name val="Aptos Narrow"/>
      <family val="2"/>
    </font>
    <font>
      <vertAlign val="superscript"/>
      <sz val="10"/>
      <name val="Aptos Narrow"/>
      <family val="2"/>
    </font>
    <font>
      <b/>
      <sz val="14"/>
      <color theme="1"/>
      <name val="Aptos Display"/>
      <family val="2"/>
    </font>
    <font>
      <b/>
      <sz val="9"/>
      <color theme="0"/>
      <name val="Aptos Narrow"/>
      <family val="2"/>
    </font>
    <font>
      <b/>
      <vertAlign val="superscript"/>
      <sz val="9"/>
      <color theme="0"/>
      <name val="Aptos Narrow"/>
      <family val="2"/>
    </font>
    <font>
      <b/>
      <i/>
      <sz val="9"/>
      <name val="Aptos Narrow"/>
      <family val="2"/>
    </font>
    <font>
      <sz val="9"/>
      <name val="Aptos Narrow"/>
      <family val="2"/>
    </font>
    <font>
      <b/>
      <sz val="9"/>
      <color theme="1"/>
      <name val="Aptos Narrow"/>
      <family val="2"/>
    </font>
    <font>
      <b/>
      <vertAlign val="superscript"/>
      <sz val="9"/>
      <color theme="1"/>
      <name val="Aptos Narrow"/>
      <family val="2"/>
    </font>
    <font>
      <b/>
      <vertAlign val="superscript"/>
      <sz val="12"/>
      <name val="Aptos Narrow"/>
      <family val="2"/>
    </font>
    <font>
      <b/>
      <vertAlign val="superscript"/>
      <sz val="9"/>
      <name val="Aptos Narrow"/>
      <family val="2"/>
    </font>
    <font>
      <sz val="12"/>
      <color theme="1"/>
      <name val="Aptos Narrow"/>
      <family val="2"/>
    </font>
    <font>
      <b/>
      <sz val="12"/>
      <name val="Aptos Narrow"/>
      <family val="2"/>
    </font>
    <font>
      <sz val="12"/>
      <color theme="1" tint="4.9989318521683403E-2"/>
      <name val="Aptos Narrow"/>
      <family val="2"/>
    </font>
    <font>
      <sz val="12"/>
      <color indexed="12"/>
      <name val="Aptos Narrow"/>
      <family val="2"/>
    </font>
    <font>
      <b/>
      <sz val="12"/>
      <color theme="1" tint="4.9989318521683403E-2"/>
      <name val="Aptos Narrow"/>
      <family val="2"/>
    </font>
    <font>
      <b/>
      <sz val="12"/>
      <color indexed="12"/>
      <name val="Aptos Narrow"/>
      <family val="2"/>
    </font>
    <font>
      <sz val="12"/>
      <color indexed="10"/>
      <name val="Aptos Narrow"/>
      <family val="2"/>
    </font>
    <font>
      <i/>
      <sz val="12"/>
      <name val="Aptos Narrow"/>
      <family val="2"/>
    </font>
    <font>
      <i/>
      <sz val="12"/>
      <color theme="1"/>
      <name val="Aptos Narrow"/>
      <family val="2"/>
    </font>
    <font>
      <b/>
      <sz val="12"/>
      <color rgb="FFC00000"/>
      <name val="Aptos Narrow"/>
      <family val="2"/>
    </font>
    <font>
      <b/>
      <sz val="14"/>
      <name val="Aptos Display"/>
      <family val="2"/>
    </font>
    <font>
      <sz val="11"/>
      <color theme="1"/>
      <name val="Aptos Narrow"/>
      <family val="2"/>
    </font>
    <font>
      <vertAlign val="superscript"/>
      <sz val="11"/>
      <color theme="1"/>
      <name val="Aptos Narrow"/>
      <family val="2"/>
    </font>
    <font>
      <b/>
      <sz val="11"/>
      <name val="Aptos Narrow"/>
      <family val="2"/>
    </font>
    <font>
      <sz val="9"/>
      <color theme="1"/>
      <name val="Aptos Narrow"/>
      <family val="2"/>
    </font>
    <font>
      <b/>
      <sz val="9"/>
      <name val="Aptos Narrow"/>
      <family val="2"/>
    </font>
    <font>
      <vertAlign val="superscript"/>
      <sz val="9"/>
      <name val="Aptos Narrow"/>
      <family val="2"/>
    </font>
    <font>
      <vertAlign val="superscript"/>
      <sz val="9"/>
      <color theme="1"/>
      <name val="Aptos Narrow"/>
      <family val="2"/>
    </font>
    <font>
      <sz val="10"/>
      <name val="Aptos Display"/>
      <family val="2"/>
    </font>
  </fonts>
  <fills count="47">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theme="6"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indexed="49"/>
        <bgColor indexed="64"/>
      </patternFill>
    </fill>
    <fill>
      <patternFill patternType="solid">
        <fgColor indexed="21"/>
        <bgColor indexed="64"/>
      </patternFill>
    </fill>
    <fill>
      <patternFill patternType="solid">
        <fgColor indexed="46"/>
        <bgColor indexed="64"/>
      </patternFill>
    </fill>
    <fill>
      <patternFill patternType="solid">
        <fgColor indexed="5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4E89E"/>
        <bgColor indexed="64"/>
      </patternFill>
    </fill>
    <fill>
      <patternFill patternType="solid">
        <fgColor theme="0" tint="-4.9989318521683403E-2"/>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2">
    <xf numFmtId="0" fontId="0" fillId="0" borderId="0"/>
    <xf numFmtId="9" fontId="3" fillId="0" borderId="0" applyFont="0" applyFill="0" applyBorder="0" applyAlignment="0" applyProtection="0"/>
    <xf numFmtId="0" fontId="4" fillId="0" borderId="0"/>
    <xf numFmtId="0" fontId="5" fillId="0" borderId="0"/>
    <xf numFmtId="0" fontId="4" fillId="0" borderId="0"/>
    <xf numFmtId="44" fontId="4" fillId="0" borderId="0" applyFont="0" applyFill="0" applyBorder="0" applyAlignment="0" applyProtection="0"/>
    <xf numFmtId="0" fontId="7" fillId="0" borderId="0"/>
    <xf numFmtId="0" fontId="8" fillId="0" borderId="0"/>
    <xf numFmtId="0" fontId="9" fillId="0" borderId="0"/>
    <xf numFmtId="0" fontId="9" fillId="2" borderId="3" applyNumberFormat="0" applyFont="0" applyAlignment="0" applyProtection="0"/>
    <xf numFmtId="0" fontId="7" fillId="0" borderId="0"/>
    <xf numFmtId="44" fontId="7" fillId="0" borderId="0" applyFont="0" applyFill="0" applyBorder="0" applyAlignment="0" applyProtection="0"/>
    <xf numFmtId="0" fontId="4" fillId="0" borderId="0"/>
    <xf numFmtId="0" fontId="4" fillId="0" borderId="0"/>
    <xf numFmtId="43" fontId="3" fillId="0" borderId="0" applyFont="0" applyFill="0" applyBorder="0" applyAlignment="0" applyProtection="0"/>
    <xf numFmtId="0" fontId="3" fillId="0" borderId="0"/>
    <xf numFmtId="43" fontId="9" fillId="0" borderId="0" applyFont="0" applyFill="0" applyBorder="0" applyAlignment="0" applyProtection="0"/>
    <xf numFmtId="0" fontId="12" fillId="0" borderId="0"/>
    <xf numFmtId="0" fontId="15" fillId="0" borderId="0"/>
    <xf numFmtId="0" fontId="4" fillId="0" borderId="0"/>
    <xf numFmtId="0" fontId="20" fillId="0" borderId="33" applyNumberFormat="0" applyFill="0" applyAlignment="0" applyProtection="0"/>
    <xf numFmtId="0" fontId="4" fillId="0" borderId="0"/>
    <xf numFmtId="0" fontId="2" fillId="0" borderId="0"/>
    <xf numFmtId="44" fontId="3" fillId="0" borderId="0" applyFont="0" applyFill="0" applyBorder="0" applyAlignment="0" applyProtection="0"/>
    <xf numFmtId="0" fontId="62" fillId="0" borderId="0" applyNumberFormat="0" applyFill="0" applyBorder="0" applyAlignment="0" applyProtection="0"/>
    <xf numFmtId="0" fontId="63" fillId="0" borderId="34"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5" fillId="0" borderId="0" applyNumberFormat="0" applyFill="0" applyBorder="0" applyAlignment="0" applyProtection="0"/>
    <xf numFmtId="0" fontId="66" fillId="15" borderId="0" applyNumberFormat="0" applyBorder="0" applyAlignment="0" applyProtection="0"/>
    <xf numFmtId="0" fontId="67" fillId="16" borderId="0" applyNumberFormat="0" applyBorder="0" applyAlignment="0" applyProtection="0"/>
    <xf numFmtId="0" fontId="68" fillId="17" borderId="0" applyNumberFormat="0" applyBorder="0" applyAlignment="0" applyProtection="0"/>
    <xf numFmtId="0" fontId="69" fillId="18" borderId="37" applyNumberFormat="0" applyAlignment="0" applyProtection="0"/>
    <xf numFmtId="0" fontId="70" fillId="19" borderId="38" applyNumberFormat="0" applyAlignment="0" applyProtection="0"/>
    <xf numFmtId="0" fontId="71" fillId="19" borderId="37" applyNumberFormat="0" applyAlignment="0" applyProtection="0"/>
    <xf numFmtId="0" fontId="72" fillId="0" borderId="39" applyNumberFormat="0" applyFill="0" applyAlignment="0" applyProtection="0"/>
    <xf numFmtId="0" fontId="73" fillId="20" borderId="40"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7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76"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44" fontId="1" fillId="0" borderId="0" applyFont="0" applyFill="0" applyBorder="0" applyAlignment="0" applyProtection="0"/>
    <xf numFmtId="0" fontId="1" fillId="2" borderId="3" applyNumberFormat="0" applyFont="0" applyAlignment="0" applyProtection="0"/>
    <xf numFmtId="44" fontId="4" fillId="0" borderId="0" applyFont="0" applyFill="0" applyBorder="0" applyAlignment="0" applyProtection="0"/>
    <xf numFmtId="0" fontId="1" fillId="2" borderId="3" applyNumberFormat="0" applyFont="0" applyAlignment="0" applyProtection="0"/>
    <xf numFmtId="0" fontId="4" fillId="0" borderId="0"/>
    <xf numFmtId="0" fontId="1" fillId="0" borderId="0"/>
    <xf numFmtId="0" fontId="4" fillId="0" borderId="0"/>
    <xf numFmtId="43" fontId="1" fillId="0" borderId="0" applyFont="0" applyFill="0" applyBorder="0" applyAlignment="0" applyProtection="0"/>
  </cellStyleXfs>
  <cellXfs count="483">
    <xf numFmtId="0" fontId="0" fillId="0" borderId="0" xfId="0"/>
    <xf numFmtId="0" fontId="6" fillId="0" borderId="0" xfId="6" applyFont="1" applyAlignment="1">
      <alignment vertical="top"/>
    </xf>
    <xf numFmtId="0" fontId="4" fillId="0" borderId="0" xfId="2"/>
    <xf numFmtId="0" fontId="9" fillId="0" borderId="0" xfId="8"/>
    <xf numFmtId="0" fontId="13" fillId="0" borderId="0" xfId="2" applyFont="1"/>
    <xf numFmtId="168" fontId="13" fillId="0" borderId="0" xfId="14" applyNumberFormat="1" applyFont="1"/>
    <xf numFmtId="0" fontId="14" fillId="0" borderId="0" xfId="2" applyFont="1"/>
    <xf numFmtId="0" fontId="14" fillId="0" borderId="0" xfId="2" applyFont="1" applyAlignment="1">
      <alignment horizontal="right"/>
    </xf>
    <xf numFmtId="43" fontId="13" fillId="0" borderId="0" xfId="2" applyNumberFormat="1" applyFont="1"/>
    <xf numFmtId="168" fontId="13" fillId="0" borderId="0" xfId="2" applyNumberFormat="1" applyFont="1"/>
    <xf numFmtId="170" fontId="11" fillId="0" borderId="0" xfId="0" applyNumberFormat="1" applyFont="1" applyAlignment="1">
      <alignment horizontal="center"/>
    </xf>
    <xf numFmtId="169" fontId="11" fillId="0" borderId="0" xfId="0" applyNumberFormat="1" applyFont="1" applyAlignment="1">
      <alignment wrapText="1"/>
    </xf>
    <xf numFmtId="0" fontId="11" fillId="0" borderId="0" xfId="0" applyFont="1" applyAlignment="1">
      <alignment wrapText="1"/>
    </xf>
    <xf numFmtId="0" fontId="16" fillId="0" borderId="0" xfId="2" applyFont="1"/>
    <xf numFmtId="168" fontId="13" fillId="0" borderId="0" xfId="14" applyNumberFormat="1" applyFont="1" applyFill="1"/>
    <xf numFmtId="0" fontId="17" fillId="0" borderId="0" xfId="8" applyFont="1" applyAlignment="1">
      <alignment horizontal="right"/>
    </xf>
    <xf numFmtId="0" fontId="11" fillId="0" borderId="0" xfId="0" applyFont="1" applyAlignment="1">
      <alignment vertical="top" wrapText="1"/>
    </xf>
    <xf numFmtId="0" fontId="18" fillId="0" borderId="0" xfId="2" applyFont="1"/>
    <xf numFmtId="0" fontId="19" fillId="0" borderId="0" xfId="2" applyFont="1"/>
    <xf numFmtId="0" fontId="13" fillId="0" borderId="0" xfId="2" quotePrefix="1" applyFont="1"/>
    <xf numFmtId="0" fontId="22" fillId="0" borderId="0" xfId="2" applyFont="1"/>
    <xf numFmtId="0" fontId="21" fillId="0" borderId="0" xfId="2" applyFont="1"/>
    <xf numFmtId="168" fontId="4" fillId="0" borderId="0" xfId="2" applyNumberFormat="1"/>
    <xf numFmtId="0" fontId="25" fillId="0" borderId="0" xfId="15" applyFont="1" applyAlignment="1">
      <alignment horizontal="left"/>
    </xf>
    <xf numFmtId="170" fontId="26" fillId="0" borderId="0" xfId="15" applyNumberFormat="1" applyFont="1" applyAlignment="1">
      <alignment horizontal="center"/>
    </xf>
    <xf numFmtId="170" fontId="26" fillId="0" borderId="0" xfId="15" applyNumberFormat="1" applyFont="1"/>
    <xf numFmtId="169" fontId="26" fillId="0" borderId="0" xfId="15" applyNumberFormat="1" applyFont="1"/>
    <xf numFmtId="169" fontId="27" fillId="0" borderId="0" xfId="15" applyNumberFormat="1" applyFont="1" applyAlignment="1">
      <alignment wrapText="1"/>
    </xf>
    <xf numFmtId="169" fontId="27" fillId="0" borderId="0" xfId="15" applyNumberFormat="1" applyFont="1"/>
    <xf numFmtId="0" fontId="4" fillId="0" borderId="0" xfId="0" applyFont="1"/>
    <xf numFmtId="0" fontId="32" fillId="0" borderId="0" xfId="8" applyFont="1"/>
    <xf numFmtId="0" fontId="33" fillId="0" borderId="0" xfId="8" applyFont="1"/>
    <xf numFmtId="0" fontId="35" fillId="0" borderId="0" xfId="8" applyFont="1"/>
    <xf numFmtId="164" fontId="33" fillId="0" borderId="0" xfId="8" applyNumberFormat="1" applyFont="1"/>
    <xf numFmtId="0" fontId="36" fillId="0" borderId="0" xfId="3" applyFont="1" applyAlignment="1">
      <alignment vertical="center"/>
    </xf>
    <xf numFmtId="0" fontId="32" fillId="0" borderId="0" xfId="8" applyFont="1" applyAlignment="1">
      <alignment wrapText="1"/>
    </xf>
    <xf numFmtId="0" fontId="37" fillId="0" borderId="0" xfId="0" applyFont="1"/>
    <xf numFmtId="0" fontId="36" fillId="0" borderId="0" xfId="0" applyFont="1" applyAlignment="1">
      <alignment wrapText="1"/>
    </xf>
    <xf numFmtId="164" fontId="36" fillId="0" borderId="0" xfId="0" applyNumberFormat="1" applyFont="1"/>
    <xf numFmtId="0" fontId="38" fillId="0" borderId="0" xfId="0" applyFont="1" applyAlignment="1">
      <alignment wrapText="1"/>
    </xf>
    <xf numFmtId="0" fontId="36" fillId="0" borderId="0" xfId="0" applyFont="1"/>
    <xf numFmtId="0" fontId="35" fillId="0" borderId="0" xfId="0" applyFont="1" applyAlignment="1">
      <alignment wrapText="1"/>
    </xf>
    <xf numFmtId="0" fontId="34" fillId="0" borderId="0" xfId="0" applyFont="1" applyAlignment="1">
      <alignment vertical="top"/>
    </xf>
    <xf numFmtId="0" fontId="40" fillId="0" borderId="0" xfId="3" applyFont="1"/>
    <xf numFmtId="0" fontId="39" fillId="0" borderId="0" xfId="3" applyFont="1" applyAlignment="1">
      <alignment horizontal="left"/>
    </xf>
    <xf numFmtId="0" fontId="40" fillId="0" borderId="0" xfId="3" applyFont="1" applyAlignment="1">
      <alignment horizontal="center"/>
    </xf>
    <xf numFmtId="0" fontId="39" fillId="0" borderId="0" xfId="3" applyFont="1"/>
    <xf numFmtId="164" fontId="39" fillId="0" borderId="0" xfId="0" applyNumberFormat="1" applyFont="1"/>
    <xf numFmtId="167" fontId="39" fillId="0" borderId="0" xfId="2" applyNumberFormat="1" applyFont="1"/>
    <xf numFmtId="0" fontId="41" fillId="0" borderId="0" xfId="3" applyFont="1"/>
    <xf numFmtId="164" fontId="39" fillId="0" borderId="0" xfId="3" applyNumberFormat="1" applyFont="1"/>
    <xf numFmtId="0" fontId="39" fillId="0" borderId="0" xfId="2" applyFont="1"/>
    <xf numFmtId="164" fontId="39" fillId="0" borderId="0" xfId="2" applyNumberFormat="1" applyFont="1"/>
    <xf numFmtId="0" fontId="40" fillId="0" borderId="0" xfId="2" applyFont="1"/>
    <xf numFmtId="0" fontId="39" fillId="0" borderId="0" xfId="0" applyFont="1" applyAlignment="1">
      <alignment vertical="top"/>
    </xf>
    <xf numFmtId="0" fontId="39" fillId="0" borderId="0" xfId="0" applyFont="1" applyAlignment="1">
      <alignment wrapText="1"/>
    </xf>
    <xf numFmtId="0" fontId="39" fillId="0" borderId="0" xfId="2" applyFont="1" applyAlignment="1">
      <alignment wrapText="1"/>
    </xf>
    <xf numFmtId="0" fontId="39" fillId="0" borderId="0" xfId="2" applyFont="1" applyAlignment="1">
      <alignment horizontal="left" vertical="top"/>
    </xf>
    <xf numFmtId="166" fontId="40" fillId="0" borderId="0" xfId="2" applyNumberFormat="1" applyFont="1"/>
    <xf numFmtId="164" fontId="37" fillId="0" borderId="0" xfId="2" applyNumberFormat="1" applyFont="1"/>
    <xf numFmtId="164" fontId="42" fillId="0" borderId="0" xfId="2" applyNumberFormat="1" applyFont="1"/>
    <xf numFmtId="0" fontId="39" fillId="0" borderId="0" xfId="0" applyFont="1" applyAlignment="1">
      <alignment horizontal="left" vertical="top" wrapText="1"/>
    </xf>
    <xf numFmtId="0" fontId="40" fillId="0" borderId="0" xfId="3" applyFont="1" applyAlignment="1">
      <alignment horizontal="left"/>
    </xf>
    <xf numFmtId="167" fontId="40" fillId="0" borderId="0" xfId="2" applyNumberFormat="1" applyFont="1"/>
    <xf numFmtId="0" fontId="31" fillId="0" borderId="0" xfId="8" applyFont="1" applyAlignment="1">
      <alignment vertical="top"/>
    </xf>
    <xf numFmtId="0" fontId="36" fillId="0" borderId="0" xfId="13" applyFont="1"/>
    <xf numFmtId="0" fontId="38" fillId="0" borderId="0" xfId="13" applyFont="1" applyAlignment="1">
      <alignment wrapText="1"/>
    </xf>
    <xf numFmtId="0" fontId="36" fillId="0" borderId="0" xfId="13" applyFont="1" applyAlignment="1">
      <alignment wrapText="1"/>
    </xf>
    <xf numFmtId="164" fontId="36" fillId="0" borderId="0" xfId="5" applyNumberFormat="1" applyFont="1" applyFill="1" applyBorder="1"/>
    <xf numFmtId="164" fontId="36" fillId="0" borderId="0" xfId="13" applyNumberFormat="1" applyFont="1"/>
    <xf numFmtId="164" fontId="38" fillId="0" borderId="2" xfId="13" applyNumberFormat="1" applyFont="1" applyBorder="1"/>
    <xf numFmtId="0" fontId="38" fillId="0" borderId="0" xfId="13" applyFont="1" applyAlignment="1">
      <alignment horizontal="right" wrapText="1"/>
    </xf>
    <xf numFmtId="164" fontId="38" fillId="0" borderId="0" xfId="13" applyNumberFormat="1" applyFont="1"/>
    <xf numFmtId="0" fontId="36" fillId="0" borderId="0" xfId="13" applyFont="1" applyAlignment="1">
      <alignment horizontal="left" vertical="top" wrapText="1"/>
    </xf>
    <xf numFmtId="0" fontId="38" fillId="0" borderId="0" xfId="13" applyFont="1"/>
    <xf numFmtId="0" fontId="35" fillId="0" borderId="0" xfId="13" applyFont="1" applyAlignment="1">
      <alignment wrapText="1"/>
    </xf>
    <xf numFmtId="9" fontId="36" fillId="0" borderId="0" xfId="1" applyFont="1"/>
    <xf numFmtId="0" fontId="36" fillId="0" borderId="0" xfId="13" applyFont="1" applyAlignment="1">
      <alignment horizontal="center" vertical="center"/>
    </xf>
    <xf numFmtId="164" fontId="44" fillId="0" borderId="0" xfId="10" applyNumberFormat="1" applyFont="1" applyAlignment="1">
      <alignment horizontal="center"/>
    </xf>
    <xf numFmtId="0" fontId="36" fillId="0" borderId="0" xfId="10" applyFont="1" applyAlignment="1">
      <alignment horizontal="center"/>
    </xf>
    <xf numFmtId="164" fontId="36" fillId="0" borderId="0" xfId="10" applyNumberFormat="1" applyFont="1" applyAlignment="1">
      <alignment horizontal="center"/>
    </xf>
    <xf numFmtId="0" fontId="36" fillId="0" borderId="0" xfId="10" applyFont="1"/>
    <xf numFmtId="0" fontId="36" fillId="0" borderId="0" xfId="3" applyFont="1" applyAlignment="1">
      <alignment horizontal="left"/>
    </xf>
    <xf numFmtId="0" fontId="36" fillId="0" borderId="0" xfId="3" applyFont="1"/>
    <xf numFmtId="164" fontId="36" fillId="0" borderId="0" xfId="10" applyNumberFormat="1" applyFont="1"/>
    <xf numFmtId="0" fontId="36" fillId="0" borderId="0" xfId="3" applyFont="1" applyAlignment="1">
      <alignment vertical="top"/>
    </xf>
    <xf numFmtId="0" fontId="38" fillId="0" borderId="0" xfId="0" applyFont="1"/>
    <xf numFmtId="164" fontId="36" fillId="0" borderId="0" xfId="0" applyNumberFormat="1" applyFont="1" applyAlignment="1">
      <alignment horizontal="center"/>
    </xf>
    <xf numFmtId="0" fontId="36" fillId="0" borderId="0" xfId="0" applyFont="1" applyAlignment="1">
      <alignment horizontal="center"/>
    </xf>
    <xf numFmtId="167" fontId="36" fillId="0" borderId="0" xfId="10" applyNumberFormat="1" applyFont="1" applyAlignment="1">
      <alignment horizontal="center"/>
    </xf>
    <xf numFmtId="165" fontId="36" fillId="0" borderId="0" xfId="1" applyNumberFormat="1" applyFont="1" applyFill="1" applyBorder="1" applyAlignment="1">
      <alignment horizontal="center"/>
    </xf>
    <xf numFmtId="0" fontId="45" fillId="0" borderId="0" xfId="10" applyFont="1"/>
    <xf numFmtId="0" fontId="46" fillId="0" borderId="0" xfId="8" applyFont="1"/>
    <xf numFmtId="6" fontId="36" fillId="0" borderId="0" xfId="8" applyNumberFormat="1" applyFont="1" applyAlignment="1">
      <alignment horizontal="center"/>
    </xf>
    <xf numFmtId="0" fontId="34" fillId="0" borderId="0" xfId="2" applyFont="1" applyAlignment="1">
      <alignment vertical="top"/>
    </xf>
    <xf numFmtId="0" fontId="36" fillId="0" borderId="0" xfId="2" applyFont="1"/>
    <xf numFmtId="0" fontId="36" fillId="0" borderId="0" xfId="2" applyFont="1" applyAlignment="1">
      <alignment horizontal="center"/>
    </xf>
    <xf numFmtId="0" fontId="47" fillId="0" borderId="0" xfId="2" applyFont="1"/>
    <xf numFmtId="167" fontId="47" fillId="0" borderId="0" xfId="2" applyNumberFormat="1" applyFont="1"/>
    <xf numFmtId="168" fontId="36" fillId="0" borderId="0" xfId="14" applyNumberFormat="1" applyFont="1"/>
    <xf numFmtId="0" fontId="37" fillId="0" borderId="0" xfId="4" applyFont="1" applyAlignment="1">
      <alignment horizontal="center" wrapText="1"/>
    </xf>
    <xf numFmtId="0" fontId="39" fillId="0" borderId="0" xfId="2" applyFont="1" applyAlignment="1">
      <alignment horizontal="left"/>
    </xf>
    <xf numFmtId="0" fontId="40" fillId="0" borderId="0" xfId="2" applyFont="1" applyAlignment="1">
      <alignment horizontal="left"/>
    </xf>
    <xf numFmtId="0" fontId="39" fillId="0" borderId="0" xfId="3" applyFont="1" applyAlignment="1">
      <alignment vertical="top" wrapText="1"/>
    </xf>
    <xf numFmtId="0" fontId="49" fillId="0" borderId="0" xfId="3" applyFont="1" applyAlignment="1">
      <alignment wrapText="1"/>
    </xf>
    <xf numFmtId="0" fontId="49" fillId="0" borderId="0" xfId="0" applyFont="1" applyAlignment="1">
      <alignment wrapText="1"/>
    </xf>
    <xf numFmtId="0" fontId="41" fillId="0" borderId="0" xfId="2" applyFont="1" applyAlignment="1">
      <alignment horizontal="left"/>
    </xf>
    <xf numFmtId="0" fontId="40" fillId="0" borderId="0" xfId="4" applyFont="1" applyAlignment="1">
      <alignment horizontal="right" wrapText="1"/>
    </xf>
    <xf numFmtId="164" fontId="40" fillId="0" borderId="0" xfId="2" applyNumberFormat="1" applyFont="1"/>
    <xf numFmtId="0" fontId="50" fillId="0" borderId="33" xfId="20" applyFont="1" applyFill="1" applyAlignment="1">
      <alignment horizontal="left" wrapText="1"/>
    </xf>
    <xf numFmtId="164" fontId="50" fillId="0" borderId="33" xfId="20" applyNumberFormat="1" applyFont="1" applyFill="1"/>
    <xf numFmtId="0" fontId="32" fillId="0" borderId="0" xfId="8" applyFont="1" applyAlignment="1">
      <alignment horizontal="center"/>
    </xf>
    <xf numFmtId="0" fontId="51" fillId="0" borderId="0" xfId="8" applyFont="1" applyAlignment="1">
      <alignment horizontal="center"/>
    </xf>
    <xf numFmtId="0" fontId="46" fillId="0" borderId="0" xfId="8" applyFont="1" applyAlignment="1">
      <alignment horizontal="center"/>
    </xf>
    <xf numFmtId="0" fontId="32" fillId="0" borderId="0" xfId="0" applyFont="1" applyAlignment="1">
      <alignment horizontal="left"/>
    </xf>
    <xf numFmtId="0" fontId="32" fillId="0" borderId="0" xfId="0" applyFont="1" applyAlignment="1">
      <alignment horizontal="center"/>
    </xf>
    <xf numFmtId="0" fontId="32" fillId="0" borderId="0" xfId="8" applyFont="1" applyAlignment="1">
      <alignment horizontal="center" vertical="center"/>
    </xf>
    <xf numFmtId="0" fontId="41" fillId="5" borderId="0" xfId="4" applyFont="1" applyFill="1" applyAlignment="1">
      <alignment horizontal="left" wrapText="1"/>
    </xf>
    <xf numFmtId="0" fontId="41" fillId="5" borderId="0" xfId="0" applyFont="1" applyFill="1" applyAlignment="1" applyProtection="1">
      <alignment horizontal="center"/>
      <protection locked="0"/>
    </xf>
    <xf numFmtId="6" fontId="46" fillId="0" borderId="0" xfId="8" applyNumberFormat="1" applyFont="1"/>
    <xf numFmtId="0" fontId="9" fillId="6" borderId="0" xfId="8" applyFill="1"/>
    <xf numFmtId="0" fontId="48" fillId="0" borderId="0" xfId="8" applyFont="1"/>
    <xf numFmtId="175" fontId="39" fillId="0" borderId="0" xfId="2" applyNumberFormat="1" applyFont="1"/>
    <xf numFmtId="0" fontId="32" fillId="0" borderId="0" xfId="8" applyFont="1" applyAlignment="1">
      <alignment horizontal="center" vertical="center" wrapText="1"/>
    </xf>
    <xf numFmtId="0" fontId="9" fillId="0" borderId="0" xfId="8" applyAlignment="1">
      <alignment horizontal="center"/>
    </xf>
    <xf numFmtId="175" fontId="40" fillId="0" borderId="0" xfId="2" applyNumberFormat="1" applyFont="1"/>
    <xf numFmtId="164" fontId="40" fillId="0" borderId="0" xfId="3" applyNumberFormat="1" applyFont="1"/>
    <xf numFmtId="0" fontId="52" fillId="4" borderId="0" xfId="13" applyFont="1" applyFill="1" applyAlignment="1">
      <alignment horizontal="center" vertical="center" wrapText="1"/>
    </xf>
    <xf numFmtId="0" fontId="52" fillId="4" borderId="0" xfId="13" applyFont="1" applyFill="1" applyAlignment="1">
      <alignment horizontal="center" vertical="center"/>
    </xf>
    <xf numFmtId="0" fontId="53" fillId="0" borderId="0" xfId="0" applyFont="1" applyAlignment="1">
      <alignment horizontal="center" vertical="center"/>
    </xf>
    <xf numFmtId="0" fontId="38" fillId="0" borderId="0" xfId="19" applyFont="1" applyAlignment="1">
      <alignment vertical="top"/>
    </xf>
    <xf numFmtId="0" fontId="36" fillId="0" borderId="0" xfId="19" applyFont="1"/>
    <xf numFmtId="0" fontId="38" fillId="0" borderId="0" xfId="19" applyFont="1"/>
    <xf numFmtId="0" fontId="53" fillId="0" borderId="0" xfId="19" applyFont="1" applyAlignment="1">
      <alignment horizontal="center" vertical="center"/>
    </xf>
    <xf numFmtId="0" fontId="54" fillId="0" borderId="0" xfId="19" applyFont="1"/>
    <xf numFmtId="0" fontId="39" fillId="0" borderId="0" xfId="19" applyFont="1" applyAlignment="1">
      <alignment horizontal="left" vertical="center"/>
    </xf>
    <xf numFmtId="0" fontId="38" fillId="0" borderId="5" xfId="19" applyFont="1" applyBorder="1"/>
    <xf numFmtId="164" fontId="38" fillId="0" borderId="5" xfId="19" applyNumberFormat="1" applyFont="1" applyBorder="1"/>
    <xf numFmtId="164" fontId="38" fillId="0" borderId="5" xfId="6" applyNumberFormat="1" applyFont="1" applyBorder="1"/>
    <xf numFmtId="164" fontId="38" fillId="0" borderId="5" xfId="0" applyNumberFormat="1" applyFont="1" applyBorder="1"/>
    <xf numFmtId="172" fontId="58" fillId="0" borderId="0" xfId="15" applyNumberFormat="1" applyFont="1" applyAlignment="1">
      <alignment horizontal="center" wrapText="1"/>
    </xf>
    <xf numFmtId="170" fontId="58" fillId="0" borderId="0" xfId="15" applyNumberFormat="1" applyFont="1" applyAlignment="1">
      <alignment horizontal="center" wrapText="1"/>
    </xf>
    <xf numFmtId="0" fontId="3" fillId="0" borderId="0" xfId="15" applyAlignment="1">
      <alignment wrapText="1"/>
    </xf>
    <xf numFmtId="172" fontId="27" fillId="0" borderId="0" xfId="15" applyNumberFormat="1" applyFont="1"/>
    <xf numFmtId="169" fontId="60" fillId="0" borderId="0" xfId="15" applyNumberFormat="1" applyFont="1" applyAlignment="1">
      <alignment horizontal="center"/>
    </xf>
    <xf numFmtId="169" fontId="61" fillId="0" borderId="0" xfId="15" applyNumberFormat="1" applyFont="1" applyAlignment="1">
      <alignment horizontal="right"/>
    </xf>
    <xf numFmtId="172" fontId="27" fillId="0" borderId="0" xfId="15" applyNumberFormat="1" applyFont="1" applyAlignment="1">
      <alignment horizontal="right"/>
    </xf>
    <xf numFmtId="169" fontId="60" fillId="11" borderId="0" xfId="15" applyNumberFormat="1" applyFont="1" applyFill="1" applyAlignment="1">
      <alignment horizontal="right" wrapText="1"/>
    </xf>
    <xf numFmtId="169" fontId="27" fillId="11" borderId="0" xfId="15" applyNumberFormat="1" applyFont="1" applyFill="1"/>
    <xf numFmtId="169" fontId="28" fillId="11" borderId="0" xfId="15" applyNumberFormat="1" applyFont="1" applyFill="1" applyAlignment="1">
      <alignment horizontal="right"/>
    </xf>
    <xf numFmtId="169" fontId="60" fillId="12" borderId="0" xfId="15" applyNumberFormat="1" applyFont="1" applyFill="1" applyAlignment="1">
      <alignment horizontal="right" wrapText="1"/>
    </xf>
    <xf numFmtId="169" fontId="27" fillId="12" borderId="0" xfId="15" applyNumberFormat="1" applyFont="1" applyFill="1" applyAlignment="1">
      <alignment horizontal="right"/>
    </xf>
    <xf numFmtId="169" fontId="28" fillId="12" borderId="0" xfId="15" applyNumberFormat="1" applyFont="1" applyFill="1" applyAlignment="1">
      <alignment horizontal="right"/>
    </xf>
    <xf numFmtId="169" fontId="27" fillId="12" borderId="0" xfId="15" applyNumberFormat="1" applyFont="1" applyFill="1"/>
    <xf numFmtId="169" fontId="60" fillId="13" borderId="0" xfId="15" applyNumberFormat="1" applyFont="1" applyFill="1" applyAlignment="1">
      <alignment horizontal="right" wrapText="1"/>
    </xf>
    <xf numFmtId="169" fontId="27" fillId="13" borderId="0" xfId="15" applyNumberFormat="1" applyFont="1" applyFill="1"/>
    <xf numFmtId="169" fontId="28" fillId="13" borderId="0" xfId="15" applyNumberFormat="1" applyFont="1" applyFill="1" applyAlignment="1">
      <alignment horizontal="right"/>
    </xf>
    <xf numFmtId="169" fontId="60" fillId="14" borderId="0" xfId="15" applyNumberFormat="1" applyFont="1" applyFill="1" applyAlignment="1">
      <alignment horizontal="right" wrapText="1"/>
    </xf>
    <xf numFmtId="169" fontId="27" fillId="14" borderId="0" xfId="15" applyNumberFormat="1" applyFont="1" applyFill="1"/>
    <xf numFmtId="169" fontId="28" fillId="14" borderId="0" xfId="15" applyNumberFormat="1" applyFont="1" applyFill="1" applyAlignment="1">
      <alignment horizontal="right"/>
    </xf>
    <xf numFmtId="0" fontId="3" fillId="0" borderId="0" xfId="15"/>
    <xf numFmtId="170" fontId="58" fillId="0" borderId="0" xfId="15" applyNumberFormat="1" applyFont="1" applyAlignment="1">
      <alignment horizontal="center"/>
    </xf>
    <xf numFmtId="172" fontId="58" fillId="0" borderId="0" xfId="15" applyNumberFormat="1" applyFont="1" applyAlignment="1">
      <alignment horizontal="left" vertical="center" wrapText="1"/>
    </xf>
    <xf numFmtId="0" fontId="40" fillId="8" borderId="0" xfId="4" applyFont="1" applyFill="1" applyAlignment="1">
      <alignment horizontal="right" wrapText="1"/>
    </xf>
    <xf numFmtId="164" fontId="40" fillId="8" borderId="0" xfId="2" applyNumberFormat="1" applyFont="1" applyFill="1"/>
    <xf numFmtId="0" fontId="39" fillId="0" borderId="0" xfId="21" applyFont="1"/>
    <xf numFmtId="164" fontId="3" fillId="0" borderId="0" xfId="15" applyNumberFormat="1"/>
    <xf numFmtId="164" fontId="39" fillId="0" borderId="0" xfId="15" applyNumberFormat="1" applyFont="1"/>
    <xf numFmtId="164" fontId="20" fillId="0" borderId="0" xfId="20" applyNumberFormat="1" applyFill="1" applyBorder="1"/>
    <xf numFmtId="6" fontId="46" fillId="0" borderId="41" xfId="20" applyNumberFormat="1" applyFont="1" applyBorder="1" applyAlignment="1">
      <alignment horizontal="center"/>
    </xf>
    <xf numFmtId="0" fontId="46" fillId="0" borderId="41" xfId="20" applyFont="1" applyBorder="1"/>
    <xf numFmtId="164" fontId="38" fillId="0" borderId="0" xfId="19" applyNumberFormat="1" applyFont="1"/>
    <xf numFmtId="176" fontId="0" fillId="0" borderId="0" xfId="23" applyNumberFormat="1" applyFont="1"/>
    <xf numFmtId="0" fontId="0" fillId="0" borderId="0" xfId="0" applyAlignment="1">
      <alignment horizontal="left"/>
    </xf>
    <xf numFmtId="172" fontId="58" fillId="0" borderId="0" xfId="15" applyNumberFormat="1" applyFont="1" applyAlignment="1">
      <alignment horizontal="center" vertical="center" wrapText="1"/>
    </xf>
    <xf numFmtId="172" fontId="59" fillId="0" borderId="0" xfId="15" applyNumberFormat="1" applyFont="1" applyAlignment="1">
      <alignment horizontal="center" vertical="center" wrapText="1"/>
    </xf>
    <xf numFmtId="169" fontId="26" fillId="0" borderId="0" xfId="15" applyNumberFormat="1" applyFont="1" applyAlignment="1">
      <alignment vertical="center"/>
    </xf>
    <xf numFmtId="169" fontId="59" fillId="0" borderId="0" xfId="15" applyNumberFormat="1" applyFont="1" applyAlignment="1">
      <alignment vertical="center"/>
    </xf>
    <xf numFmtId="172" fontId="58" fillId="0" borderId="0" xfId="15" applyNumberFormat="1" applyFont="1" applyAlignment="1">
      <alignment horizontal="left" vertical="center"/>
    </xf>
    <xf numFmtId="169" fontId="59" fillId="0" borderId="24" xfId="15" applyNumberFormat="1" applyFont="1" applyBorder="1" applyAlignment="1">
      <alignment vertical="center"/>
    </xf>
    <xf numFmtId="0" fontId="39" fillId="0" borderId="0" xfId="3" applyFont="1" applyAlignment="1">
      <alignment wrapText="1"/>
    </xf>
    <xf numFmtId="164" fontId="32" fillId="0" borderId="0" xfId="8" applyNumberFormat="1" applyFont="1" applyAlignment="1">
      <alignment horizontal="center"/>
    </xf>
    <xf numFmtId="176" fontId="37" fillId="0" borderId="0" xfId="0" applyNumberFormat="1" applyFont="1"/>
    <xf numFmtId="0" fontId="42" fillId="0" borderId="0" xfId="13" applyFont="1" applyAlignment="1">
      <alignment horizontal="center" vertical="center"/>
    </xf>
    <xf numFmtId="0" fontId="42" fillId="0" borderId="0" xfId="13" applyFont="1"/>
    <xf numFmtId="164" fontId="42" fillId="0" borderId="0" xfId="13" applyNumberFormat="1" applyFont="1"/>
    <xf numFmtId="0" fontId="77" fillId="0" borderId="0" xfId="0" applyFont="1" applyAlignment="1">
      <alignment wrapText="1"/>
    </xf>
    <xf numFmtId="0" fontId="48" fillId="0" borderId="0" xfId="22" applyFont="1" applyAlignment="1">
      <alignment vertical="top"/>
    </xf>
    <xf numFmtId="0" fontId="48" fillId="3" borderId="0" xfId="8" applyFont="1" applyFill="1" applyAlignment="1">
      <alignment horizontal="center" vertical="center"/>
    </xf>
    <xf numFmtId="173" fontId="32" fillId="0" borderId="0" xfId="8" applyNumberFormat="1" applyFont="1" applyAlignment="1">
      <alignment horizontal="center"/>
    </xf>
    <xf numFmtId="0" fontId="48" fillId="3" borderId="0" xfId="8" applyFont="1" applyFill="1" applyAlignment="1">
      <alignment vertical="center"/>
    </xf>
    <xf numFmtId="164" fontId="31" fillId="0" borderId="33" xfId="20" applyNumberFormat="1" applyFont="1" applyFill="1" applyAlignment="1"/>
    <xf numFmtId="0" fontId="78" fillId="4" borderId="0" xfId="0" applyFont="1" applyFill="1" applyAlignment="1">
      <alignment horizontal="center" vertical="center"/>
    </xf>
    <xf numFmtId="164" fontId="82" fillId="0" borderId="0" xfId="20" applyNumberFormat="1" applyFont="1" applyFill="1" applyBorder="1"/>
    <xf numFmtId="0" fontId="85" fillId="4" borderId="0" xfId="3" applyFont="1" applyFill="1" applyAlignment="1">
      <alignment horizontal="center"/>
    </xf>
    <xf numFmtId="0" fontId="85" fillId="4" borderId="0" xfId="0" applyFont="1" applyFill="1" applyAlignment="1">
      <alignment horizontal="center"/>
    </xf>
    <xf numFmtId="0" fontId="85" fillId="4" borderId="0" xfId="0" applyFont="1" applyFill="1" applyAlignment="1">
      <alignment horizontal="center" vertical="center"/>
    </xf>
    <xf numFmtId="0" fontId="87" fillId="0" borderId="0" xfId="3" applyFont="1"/>
    <xf numFmtId="164" fontId="87" fillId="0" borderId="0" xfId="0" applyNumberFormat="1" applyFont="1"/>
    <xf numFmtId="164" fontId="87" fillId="0" borderId="0" xfId="0" applyNumberFormat="1" applyFont="1" applyAlignment="1">
      <alignment horizontal="right"/>
    </xf>
    <xf numFmtId="164" fontId="87" fillId="0" borderId="0" xfId="0" applyNumberFormat="1" applyFont="1" applyAlignment="1">
      <alignment horizontal="right" vertical="center"/>
    </xf>
    <xf numFmtId="0" fontId="87" fillId="0" borderId="0" xfId="0" applyFont="1"/>
    <xf numFmtId="0" fontId="88" fillId="0" borderId="0" xfId="20" applyFont="1" applyFill="1" applyBorder="1" applyAlignment="1">
      <alignment horizontal="left"/>
    </xf>
    <xf numFmtId="164" fontId="88" fillId="0" borderId="0" xfId="20" applyNumberFormat="1" applyFont="1" applyFill="1" applyBorder="1"/>
    <xf numFmtId="164" fontId="88" fillId="0" borderId="0" xfId="20" applyNumberFormat="1" applyFont="1" applyFill="1" applyBorder="1" applyAlignment="1">
      <alignment horizontal="right"/>
    </xf>
    <xf numFmtId="164" fontId="88" fillId="0" borderId="0" xfId="20" applyNumberFormat="1" applyFont="1" applyBorder="1" applyAlignment="1">
      <alignment horizontal="right" vertical="center"/>
    </xf>
    <xf numFmtId="0" fontId="81" fillId="0" borderId="0" xfId="21" applyFont="1"/>
    <xf numFmtId="164" fontId="82" fillId="0" borderId="33" xfId="20" applyNumberFormat="1" applyFont="1" applyFill="1" applyAlignment="1"/>
    <xf numFmtId="0" fontId="85" fillId="4" borderId="0" xfId="21" applyFont="1" applyFill="1" applyAlignment="1">
      <alignment horizontal="center" vertical="center"/>
    </xf>
    <xf numFmtId="0" fontId="87" fillId="0" borderId="0" xfId="21" applyFont="1"/>
    <xf numFmtId="164" fontId="87" fillId="0" borderId="0" xfId="15" applyNumberFormat="1" applyFont="1"/>
    <xf numFmtId="0" fontId="88" fillId="0" borderId="33" xfId="20" applyFont="1" applyFill="1"/>
    <xf numFmtId="164" fontId="88" fillId="0" borderId="33" xfId="20" applyNumberFormat="1" applyFont="1" applyFill="1"/>
    <xf numFmtId="164" fontId="88" fillId="0" borderId="33" xfId="20" applyNumberFormat="1" applyFont="1" applyFill="1" applyAlignment="1"/>
    <xf numFmtId="0" fontId="92" fillId="0" borderId="0" xfId="22" applyFont="1" applyAlignment="1">
      <alignment vertical="top"/>
    </xf>
    <xf numFmtId="0" fontId="92" fillId="0" borderId="0" xfId="19" applyFont="1" applyAlignment="1">
      <alignment horizontal="left" vertical="top"/>
    </xf>
    <xf numFmtId="0" fontId="92" fillId="0" borderId="0" xfId="19" applyFont="1" applyAlignment="1">
      <alignment vertical="top"/>
    </xf>
    <xf numFmtId="0" fontId="92" fillId="0" borderId="0" xfId="8" applyFont="1" applyAlignment="1">
      <alignment vertical="top"/>
    </xf>
    <xf numFmtId="0" fontId="92" fillId="0" borderId="0" xfId="3" applyFont="1" applyAlignment="1">
      <alignment vertical="top"/>
    </xf>
    <xf numFmtId="0" fontId="92" fillId="0" borderId="0" xfId="0" applyFont="1" applyAlignment="1">
      <alignment vertical="top"/>
    </xf>
    <xf numFmtId="0" fontId="92" fillId="0" borderId="0" xfId="2" applyFont="1" applyAlignment="1">
      <alignment vertical="top"/>
    </xf>
    <xf numFmtId="164" fontId="92" fillId="0" borderId="0" xfId="8" applyNumberFormat="1" applyFont="1"/>
    <xf numFmtId="0" fontId="92" fillId="0" borderId="0" xfId="8" applyFont="1"/>
    <xf numFmtId="0" fontId="92" fillId="0" borderId="0" xfId="0" applyFont="1"/>
    <xf numFmtId="0" fontId="93" fillId="4" borderId="0" xfId="4" applyFont="1" applyFill="1" applyAlignment="1">
      <alignment horizontal="center" vertical="center" wrapText="1"/>
    </xf>
    <xf numFmtId="0" fontId="93" fillId="4" borderId="0" xfId="0" applyFont="1" applyFill="1" applyAlignment="1" applyProtection="1">
      <alignment horizontal="center" vertical="center"/>
      <protection locked="0"/>
    </xf>
    <xf numFmtId="0" fontId="95" fillId="0" borderId="0" xfId="4" applyFont="1" applyAlignment="1">
      <alignment horizontal="left"/>
    </xf>
    <xf numFmtId="164" fontId="96" fillId="0" borderId="0" xfId="11" applyNumberFormat="1" applyFont="1" applyBorder="1"/>
    <xf numFmtId="0" fontId="96" fillId="0" borderId="0" xfId="4" applyFont="1" applyAlignment="1">
      <alignment horizontal="left" wrapText="1" indent="1"/>
    </xf>
    <xf numFmtId="164" fontId="96" fillId="0" borderId="0" xfId="5" applyNumberFormat="1" applyFont="1" applyBorder="1"/>
    <xf numFmtId="164" fontId="96" fillId="0" borderId="0" xfId="5" applyNumberFormat="1" applyFont="1" applyFill="1" applyBorder="1"/>
    <xf numFmtId="164" fontId="96" fillId="0" borderId="0" xfId="5" applyNumberFormat="1" applyFont="1"/>
    <xf numFmtId="0" fontId="97" fillId="0" borderId="33" xfId="20" applyFont="1" applyFill="1" applyAlignment="1">
      <alignment horizontal="left" wrapText="1"/>
    </xf>
    <xf numFmtId="164" fontId="97" fillId="0" borderId="33" xfId="20" applyNumberFormat="1" applyFont="1" applyFill="1"/>
    <xf numFmtId="0" fontId="79" fillId="4" borderId="0" xfId="0" applyFont="1" applyFill="1" applyAlignment="1">
      <alignment horizontal="center" vertical="center"/>
    </xf>
    <xf numFmtId="0" fontId="81" fillId="0" borderId="0" xfId="0" applyFont="1"/>
    <xf numFmtId="164" fontId="81" fillId="0" borderId="0" xfId="0" applyNumberFormat="1" applyFont="1"/>
    <xf numFmtId="0" fontId="93" fillId="4" borderId="0" xfId="0" applyFont="1" applyFill="1" applyAlignment="1">
      <alignment horizontal="center" vertical="center"/>
    </xf>
    <xf numFmtId="0" fontId="93" fillId="6" borderId="0" xfId="0" applyFont="1" applyFill="1" applyAlignment="1">
      <alignment horizontal="center" vertical="center"/>
    </xf>
    <xf numFmtId="0" fontId="93" fillId="4" borderId="0" xfId="0" applyFont="1" applyFill="1" applyAlignment="1">
      <alignment horizontal="center"/>
    </xf>
    <xf numFmtId="0" fontId="93" fillId="7" borderId="0" xfId="0" applyFont="1" applyFill="1" applyAlignment="1" applyProtection="1">
      <alignment horizontal="center"/>
      <protection locked="0"/>
    </xf>
    <xf numFmtId="0" fontId="93" fillId="4" borderId="0" xfId="0" applyFont="1" applyFill="1" applyAlignment="1">
      <alignment horizontal="center" vertical="top"/>
    </xf>
    <xf numFmtId="0" fontId="93" fillId="7" borderId="0" xfId="0" applyFont="1" applyFill="1" applyAlignment="1" applyProtection="1">
      <alignment horizontal="center" vertical="top"/>
      <protection locked="0"/>
    </xf>
    <xf numFmtId="0" fontId="96" fillId="0" borderId="0" xfId="0" applyFont="1"/>
    <xf numFmtId="164" fontId="96" fillId="0" borderId="0" xfId="0" applyNumberFormat="1" applyFont="1"/>
    <xf numFmtId="0" fontId="97" fillId="0" borderId="33" xfId="20" applyFont="1" applyFill="1" applyAlignment="1">
      <alignment wrapText="1"/>
    </xf>
    <xf numFmtId="0" fontId="79" fillId="4" borderId="0" xfId="0" applyFont="1" applyFill="1" applyAlignment="1">
      <alignment horizontal="center" vertical="center" wrapText="1"/>
    </xf>
    <xf numFmtId="0" fontId="101" fillId="0" borderId="0" xfId="0" applyFont="1"/>
    <xf numFmtId="6" fontId="81" fillId="0" borderId="0" xfId="0" applyNumberFormat="1" applyFont="1" applyAlignment="1">
      <alignment horizontal="right"/>
    </xf>
    <xf numFmtId="0" fontId="82" fillId="0" borderId="33" xfId="20" applyFont="1" applyFill="1" applyAlignment="1">
      <alignment horizontal="left" wrapText="1"/>
    </xf>
    <xf numFmtId="6" fontId="82" fillId="0" borderId="33" xfId="20" applyNumberFormat="1" applyFont="1" applyAlignment="1">
      <alignment horizontal="right"/>
    </xf>
    <xf numFmtId="0" fontId="81" fillId="0" borderId="0" xfId="3" applyFont="1"/>
    <xf numFmtId="0" fontId="82" fillId="0" borderId="33" xfId="20" applyFont="1" applyFill="1" applyAlignment="1">
      <alignment horizontal="left"/>
    </xf>
    <xf numFmtId="164" fontId="82" fillId="0" borderId="33" xfId="20" applyNumberFormat="1" applyFont="1" applyFill="1" applyAlignment="1">
      <alignment horizontal="center"/>
    </xf>
    <xf numFmtId="164" fontId="79" fillId="4" borderId="0" xfId="8" applyNumberFormat="1" applyFont="1" applyFill="1" applyAlignment="1">
      <alignment horizontal="center" vertical="center"/>
    </xf>
    <xf numFmtId="0" fontId="79" fillId="4" borderId="0" xfId="8" applyFont="1" applyFill="1" applyAlignment="1">
      <alignment horizontal="center" vertical="center"/>
    </xf>
    <xf numFmtId="164" fontId="81" fillId="0" borderId="0" xfId="8" applyNumberFormat="1" applyFont="1"/>
    <xf numFmtId="164" fontId="81" fillId="0" borderId="0" xfId="8" applyNumberFormat="1" applyFont="1" applyAlignment="1">
      <alignment horizontal="center"/>
    </xf>
    <xf numFmtId="164" fontId="81" fillId="0" borderId="0" xfId="14" applyNumberFormat="1" applyFont="1" applyFill="1" applyBorder="1" applyAlignment="1">
      <alignment horizontal="center"/>
    </xf>
    <xf numFmtId="164" fontId="101" fillId="0" borderId="0" xfId="8" applyNumberFormat="1" applyFont="1" applyAlignment="1">
      <alignment horizontal="center"/>
    </xf>
    <xf numFmtId="164" fontId="81" fillId="6" borderId="0" xfId="14" applyNumberFormat="1" applyFont="1" applyFill="1" applyBorder="1" applyAlignment="1">
      <alignment horizontal="center"/>
    </xf>
    <xf numFmtId="0" fontId="101" fillId="0" borderId="0" xfId="8" applyFont="1"/>
    <xf numFmtId="0" fontId="82" fillId="0" borderId="33" xfId="20" applyFont="1"/>
    <xf numFmtId="0" fontId="102" fillId="0" borderId="2" xfId="13" applyFont="1" applyBorder="1" applyAlignment="1">
      <alignment wrapText="1"/>
    </xf>
    <xf numFmtId="164" fontId="102" fillId="0" borderId="2" xfId="13" applyNumberFormat="1" applyFont="1" applyBorder="1"/>
    <xf numFmtId="0" fontId="102" fillId="0" borderId="0" xfId="13" applyFont="1" applyAlignment="1">
      <alignment wrapText="1"/>
    </xf>
    <xf numFmtId="164" fontId="81" fillId="0" borderId="0" xfId="13" applyNumberFormat="1" applyFont="1" applyAlignment="1">
      <alignment wrapText="1"/>
    </xf>
    <xf numFmtId="164" fontId="81" fillId="0" borderId="0" xfId="13" applyNumberFormat="1" applyFont="1"/>
    <xf numFmtId="0" fontId="102" fillId="0" borderId="1" xfId="13" applyFont="1" applyBorder="1" applyAlignment="1">
      <alignment wrapText="1"/>
    </xf>
    <xf numFmtId="0" fontId="81" fillId="0" borderId="2" xfId="13" applyFont="1" applyBorder="1" applyAlignment="1">
      <alignment wrapText="1"/>
    </xf>
    <xf numFmtId="164" fontId="102" fillId="0" borderId="2" xfId="5" applyNumberFormat="1" applyFont="1" applyFill="1" applyBorder="1"/>
    <xf numFmtId="164" fontId="102" fillId="6" borderId="2" xfId="13" applyNumberFormat="1" applyFont="1" applyFill="1" applyBorder="1"/>
    <xf numFmtId="0" fontId="81" fillId="0" borderId="0" xfId="13" applyFont="1" applyAlignment="1">
      <alignment wrapText="1"/>
    </xf>
    <xf numFmtId="164" fontId="81" fillId="0" borderId="0" xfId="5" applyNumberFormat="1" applyFont="1" applyFill="1" applyBorder="1"/>
    <xf numFmtId="164" fontId="81" fillId="6" borderId="0" xfId="13" applyNumberFormat="1" applyFont="1" applyFill="1"/>
    <xf numFmtId="164" fontId="81" fillId="0" borderId="0" xfId="5" applyNumberFormat="1" applyFont="1"/>
    <xf numFmtId="164" fontId="102" fillId="0" borderId="0" xfId="13" applyNumberFormat="1" applyFont="1"/>
    <xf numFmtId="164" fontId="82" fillId="0" borderId="33" xfId="20" applyNumberFormat="1" applyFont="1" applyAlignment="1">
      <alignment horizontal="center" vertical="center"/>
    </xf>
    <xf numFmtId="0" fontId="81" fillId="0" borderId="0" xfId="0" applyFont="1" applyAlignment="1">
      <alignment wrapText="1"/>
    </xf>
    <xf numFmtId="0" fontId="82" fillId="0" borderId="33" xfId="20" applyFont="1" applyAlignment="1">
      <alignment wrapText="1"/>
    </xf>
    <xf numFmtId="172" fontId="102" fillId="3" borderId="7" xfId="15" applyNumberFormat="1" applyFont="1" applyFill="1" applyBorder="1" applyAlignment="1">
      <alignment horizontal="center" vertical="center" wrapText="1"/>
    </xf>
    <xf numFmtId="172" fontId="102" fillId="0" borderId="8" xfId="15" quotePrefix="1" applyNumberFormat="1" applyFont="1" applyBorder="1" applyAlignment="1">
      <alignment horizontal="center" vertical="center" wrapText="1"/>
    </xf>
    <xf numFmtId="172" fontId="102" fillId="0" borderId="8" xfId="15" applyNumberFormat="1" applyFont="1" applyBorder="1" applyAlignment="1">
      <alignment horizontal="center" vertical="center" wrapText="1"/>
    </xf>
    <xf numFmtId="172" fontId="102" fillId="0" borderId="9" xfId="15" applyNumberFormat="1" applyFont="1" applyBorder="1" applyAlignment="1">
      <alignment horizontal="center" vertical="center" wrapText="1"/>
    </xf>
    <xf numFmtId="172" fontId="102" fillId="3" borderId="9" xfId="15" applyNumberFormat="1" applyFont="1" applyFill="1" applyBorder="1" applyAlignment="1">
      <alignment horizontal="center" vertical="center" wrapText="1"/>
    </xf>
    <xf numFmtId="169" fontId="102" fillId="0" borderId="10" xfId="15" applyNumberFormat="1" applyFont="1" applyBorder="1" applyAlignment="1">
      <alignment horizontal="center" vertical="center"/>
    </xf>
    <xf numFmtId="169" fontId="102" fillId="0" borderId="11" xfId="15" quotePrefix="1" applyNumberFormat="1" applyFont="1" applyBorder="1" applyAlignment="1">
      <alignment horizontal="left" vertical="center"/>
    </xf>
    <xf numFmtId="169" fontId="81" fillId="0" borderId="11" xfId="15" applyNumberFormat="1" applyFont="1" applyBorder="1" applyAlignment="1">
      <alignment vertical="center"/>
    </xf>
    <xf numFmtId="169" fontId="81" fillId="0" borderId="12" xfId="15" applyNumberFormat="1" applyFont="1" applyBorder="1" applyAlignment="1">
      <alignment vertical="center"/>
    </xf>
    <xf numFmtId="173" fontId="102" fillId="0" borderId="13" xfId="15" applyNumberFormat="1" applyFont="1" applyBorder="1" applyAlignment="1">
      <alignment horizontal="center" vertical="center" wrapText="1"/>
    </xf>
    <xf numFmtId="169" fontId="81" fillId="0" borderId="14" xfId="15" applyNumberFormat="1" applyFont="1" applyBorder="1" applyAlignment="1">
      <alignment vertical="center"/>
    </xf>
    <xf numFmtId="174" fontId="81" fillId="0" borderId="13" xfId="15" applyNumberFormat="1" applyFont="1" applyBorder="1" applyAlignment="1">
      <alignment vertical="center"/>
    </xf>
    <xf numFmtId="174" fontId="81" fillId="0" borderId="13" xfId="15" applyNumberFormat="1" applyFont="1" applyBorder="1" applyAlignment="1">
      <alignment horizontal="right" vertical="center"/>
    </xf>
    <xf numFmtId="169" fontId="81" fillId="0" borderId="1" xfId="15" applyNumberFormat="1" applyFont="1" applyBorder="1" applyAlignment="1">
      <alignment vertical="center"/>
    </xf>
    <xf numFmtId="169" fontId="81" fillId="0" borderId="13" xfId="15" applyNumberFormat="1" applyFont="1" applyBorder="1" applyAlignment="1">
      <alignment vertical="center"/>
    </xf>
    <xf numFmtId="169" fontId="103" fillId="0" borderId="13" xfId="15" applyNumberFormat="1" applyFont="1" applyBorder="1" applyAlignment="1" applyProtection="1">
      <alignment vertical="center"/>
      <protection locked="0"/>
    </xf>
    <xf numFmtId="169" fontId="104" fillId="0" borderId="13" xfId="15" applyNumberFormat="1" applyFont="1" applyBorder="1" applyAlignment="1" applyProtection="1">
      <alignment vertical="center"/>
      <protection locked="0"/>
    </xf>
    <xf numFmtId="169" fontId="81" fillId="0" borderId="13" xfId="15" applyNumberFormat="1" applyFont="1" applyBorder="1" applyAlignment="1" applyProtection="1">
      <alignment vertical="center"/>
      <protection locked="0"/>
    </xf>
    <xf numFmtId="169" fontId="81" fillId="0" borderId="15" xfId="15" applyNumberFormat="1" applyFont="1" applyBorder="1" applyAlignment="1">
      <alignment vertical="center"/>
    </xf>
    <xf numFmtId="174" fontId="81" fillId="0" borderId="16" xfId="15" applyNumberFormat="1" applyFont="1" applyBorder="1" applyAlignment="1">
      <alignment vertical="center"/>
    </xf>
    <xf numFmtId="169" fontId="81" fillId="0" borderId="17" xfId="15" applyNumberFormat="1" applyFont="1" applyBorder="1" applyAlignment="1">
      <alignment vertical="center"/>
    </xf>
    <xf numFmtId="169" fontId="81" fillId="0" borderId="18" xfId="15" applyNumberFormat="1" applyFont="1" applyBorder="1" applyAlignment="1">
      <alignment vertical="center"/>
    </xf>
    <xf numFmtId="169" fontId="103" fillId="0" borderId="18" xfId="15" applyNumberFormat="1" applyFont="1" applyBorder="1" applyAlignment="1" applyProtection="1">
      <alignment vertical="center"/>
      <protection locked="0"/>
    </xf>
    <xf numFmtId="169" fontId="104" fillId="0" borderId="18" xfId="15" applyNumberFormat="1" applyFont="1" applyBorder="1" applyAlignment="1" applyProtection="1">
      <alignment vertical="center"/>
      <protection locked="0"/>
    </xf>
    <xf numFmtId="169" fontId="81" fillId="0" borderId="18" xfId="15" applyNumberFormat="1" applyFont="1" applyBorder="1" applyAlignment="1" applyProtection="1">
      <alignment vertical="center"/>
      <protection locked="0"/>
    </xf>
    <xf numFmtId="169" fontId="102" fillId="0" borderId="7" xfId="15" applyNumberFormat="1" applyFont="1" applyBorder="1" applyAlignment="1">
      <alignment horizontal="right" vertical="center"/>
    </xf>
    <xf numFmtId="174" fontId="102" fillId="0" borderId="8" xfId="15" applyNumberFormat="1" applyFont="1" applyBorder="1" applyAlignment="1">
      <alignment vertical="center"/>
    </xf>
    <xf numFmtId="174" fontId="102" fillId="0" borderId="9" xfId="15" applyNumberFormat="1" applyFont="1" applyBorder="1" applyAlignment="1">
      <alignment vertical="center"/>
    </xf>
    <xf numFmtId="174" fontId="105" fillId="0" borderId="9" xfId="15" applyNumberFormat="1" applyFont="1" applyBorder="1" applyAlignment="1">
      <alignment vertical="center"/>
    </xf>
    <xf numFmtId="174" fontId="81" fillId="0" borderId="11" xfId="15" applyNumberFormat="1" applyFont="1" applyBorder="1" applyAlignment="1">
      <alignment vertical="center"/>
    </xf>
    <xf numFmtId="169" fontId="81" fillId="0" borderId="19" xfId="15" applyNumberFormat="1" applyFont="1" applyBorder="1" applyAlignment="1">
      <alignment vertical="center"/>
    </xf>
    <xf numFmtId="173" fontId="102" fillId="0" borderId="20" xfId="15" applyNumberFormat="1" applyFont="1" applyBorder="1" applyAlignment="1">
      <alignment horizontal="center" vertical="center" wrapText="1"/>
    </xf>
    <xf numFmtId="173" fontId="105" fillId="0" borderId="20" xfId="15" applyNumberFormat="1" applyFont="1" applyBorder="1" applyAlignment="1">
      <alignment horizontal="center" vertical="center" wrapText="1"/>
    </xf>
    <xf numFmtId="169" fontId="102" fillId="0" borderId="14" xfId="15" applyNumberFormat="1" applyFont="1" applyBorder="1" applyAlignment="1">
      <alignment vertical="center"/>
    </xf>
    <xf numFmtId="173" fontId="105" fillId="0" borderId="13" xfId="15" applyNumberFormat="1" applyFont="1" applyBorder="1" applyAlignment="1">
      <alignment horizontal="center" vertical="center" wrapText="1"/>
    </xf>
    <xf numFmtId="173" fontId="106" fillId="0" borderId="13" xfId="15" applyNumberFormat="1" applyFont="1" applyBorder="1" applyAlignment="1">
      <alignment horizontal="center" vertical="center" wrapText="1"/>
    </xf>
    <xf numFmtId="169" fontId="81" fillId="0" borderId="21" xfId="15" applyNumberFormat="1" applyFont="1" applyBorder="1" applyAlignment="1">
      <alignment vertical="center"/>
    </xf>
    <xf numFmtId="169" fontId="103" fillId="0" borderId="21" xfId="15" applyNumberFormat="1" applyFont="1" applyBorder="1" applyAlignment="1" applyProtection="1">
      <alignment vertical="center"/>
      <protection locked="0"/>
    </xf>
    <xf numFmtId="169" fontId="107" fillId="0" borderId="21" xfId="15" applyNumberFormat="1" applyFont="1" applyBorder="1" applyAlignment="1" applyProtection="1">
      <alignment vertical="center"/>
      <protection locked="0"/>
    </xf>
    <xf numFmtId="169" fontId="81" fillId="0" borderId="21" xfId="15" applyNumberFormat="1" applyFont="1" applyBorder="1" applyAlignment="1" applyProtection="1">
      <alignment vertical="center"/>
      <protection locked="0"/>
    </xf>
    <xf numFmtId="173" fontId="81" fillId="0" borderId="21" xfId="15" applyNumberFormat="1" applyFont="1" applyBorder="1" applyAlignment="1" applyProtection="1">
      <alignment vertical="center"/>
      <protection locked="0"/>
    </xf>
    <xf numFmtId="169" fontId="81" fillId="0" borderId="15" xfId="15" applyNumberFormat="1" applyFont="1" applyBorder="1" applyAlignment="1">
      <alignment horizontal="right" vertical="center"/>
    </xf>
    <xf numFmtId="174" fontId="81" fillId="0" borderId="22" xfId="15" applyNumberFormat="1" applyFont="1" applyBorder="1" applyAlignment="1">
      <alignment vertical="center"/>
    </xf>
    <xf numFmtId="174" fontId="81" fillId="0" borderId="23" xfId="15" applyNumberFormat="1" applyFont="1" applyBorder="1" applyAlignment="1">
      <alignment vertical="center"/>
    </xf>
    <xf numFmtId="174" fontId="103" fillId="0" borderId="23" xfId="15" applyNumberFormat="1" applyFont="1" applyBorder="1" applyAlignment="1">
      <alignment vertical="center"/>
    </xf>
    <xf numFmtId="43" fontId="102" fillId="0" borderId="9" xfId="15" applyNumberFormat="1" applyFont="1" applyBorder="1" applyAlignment="1">
      <alignment vertical="center"/>
    </xf>
    <xf numFmtId="169" fontId="102" fillId="0" borderId="10" xfId="15" applyNumberFormat="1" applyFont="1" applyBorder="1" applyAlignment="1">
      <alignment vertical="center"/>
    </xf>
    <xf numFmtId="169" fontId="81" fillId="0" borderId="14" xfId="15" quotePrefix="1" applyNumberFormat="1" applyFont="1" applyBorder="1" applyAlignment="1">
      <alignment horizontal="left" vertical="center"/>
    </xf>
    <xf numFmtId="169" fontId="81" fillId="0" borderId="15" xfId="15" quotePrefix="1" applyNumberFormat="1" applyFont="1" applyBorder="1" applyAlignment="1">
      <alignment horizontal="left" vertical="center"/>
    </xf>
    <xf numFmtId="169" fontId="102" fillId="0" borderId="25" xfId="15" applyNumberFormat="1" applyFont="1" applyBorder="1" applyAlignment="1">
      <alignment horizontal="right" vertical="center"/>
    </xf>
    <xf numFmtId="174" fontId="102" fillId="0" borderId="18" xfId="15" applyNumberFormat="1" applyFont="1" applyBorder="1" applyAlignment="1">
      <alignment vertical="center"/>
    </xf>
    <xf numFmtId="174" fontId="102" fillId="0" borderId="26" xfId="15" applyNumberFormat="1" applyFont="1" applyBorder="1" applyAlignment="1">
      <alignment vertical="center"/>
    </xf>
    <xf numFmtId="174" fontId="105" fillId="0" borderId="26" xfId="15" applyNumberFormat="1" applyFont="1" applyBorder="1" applyAlignment="1">
      <alignment vertical="center"/>
    </xf>
    <xf numFmtId="174" fontId="102" fillId="0" borderId="11" xfId="15" applyNumberFormat="1" applyFont="1" applyBorder="1" applyAlignment="1">
      <alignment vertical="center"/>
    </xf>
    <xf numFmtId="169" fontId="102" fillId="0" borderId="19" xfId="15" applyNumberFormat="1" applyFont="1" applyBorder="1" applyAlignment="1">
      <alignment vertical="center"/>
    </xf>
    <xf numFmtId="174" fontId="81" fillId="0" borderId="16" xfId="15" quotePrefix="1" applyNumberFormat="1" applyFont="1" applyBorder="1" applyAlignment="1">
      <alignment horizontal="right" vertical="center"/>
    </xf>
    <xf numFmtId="169" fontId="104" fillId="0" borderId="21" xfId="15" applyNumberFormat="1" applyFont="1" applyBorder="1" applyAlignment="1" applyProtection="1">
      <alignment vertical="center"/>
      <protection locked="0"/>
    </xf>
    <xf numFmtId="169" fontId="102" fillId="9" borderId="25" xfId="15" applyNumberFormat="1" applyFont="1" applyFill="1" applyBorder="1" applyAlignment="1">
      <alignment horizontal="right" vertical="center"/>
    </xf>
    <xf numFmtId="174" fontId="102" fillId="9" borderId="27" xfId="15" applyNumberFormat="1" applyFont="1" applyFill="1" applyBorder="1" applyAlignment="1">
      <alignment vertical="center"/>
    </xf>
    <xf numFmtId="174" fontId="102" fillId="9" borderId="28" xfId="15" applyNumberFormat="1" applyFont="1" applyFill="1" applyBorder="1" applyAlignment="1">
      <alignment vertical="center"/>
    </xf>
    <xf numFmtId="174" fontId="105" fillId="9" borderId="28" xfId="15" applyNumberFormat="1" applyFont="1" applyFill="1" applyBorder="1" applyAlignment="1">
      <alignment vertical="center"/>
    </xf>
    <xf numFmtId="174" fontId="105" fillId="9" borderId="23" xfId="15" applyNumberFormat="1" applyFont="1" applyFill="1" applyBorder="1" applyAlignment="1">
      <alignment vertical="center"/>
    </xf>
    <xf numFmtId="169" fontId="102" fillId="10" borderId="7" xfId="15" applyNumberFormat="1" applyFont="1" applyFill="1" applyBorder="1" applyAlignment="1">
      <alignment horizontal="right" vertical="center"/>
    </xf>
    <xf numFmtId="174" fontId="102" fillId="10" borderId="8" xfId="15" applyNumberFormat="1" applyFont="1" applyFill="1" applyBorder="1" applyAlignment="1">
      <alignment vertical="center"/>
    </xf>
    <xf numFmtId="174" fontId="102" fillId="10" borderId="9" xfId="15" applyNumberFormat="1" applyFont="1" applyFill="1" applyBorder="1" applyAlignment="1">
      <alignment vertical="center"/>
    </xf>
    <xf numFmtId="173" fontId="102" fillId="10" borderId="29" xfId="15" applyNumberFormat="1" applyFont="1" applyFill="1" applyBorder="1" applyAlignment="1">
      <alignment horizontal="right" vertical="center"/>
    </xf>
    <xf numFmtId="173" fontId="105" fillId="10" borderId="29" xfId="15" applyNumberFormat="1" applyFont="1" applyFill="1" applyBorder="1" applyAlignment="1">
      <alignment horizontal="right" vertical="center"/>
    </xf>
    <xf numFmtId="174" fontId="105" fillId="10" borderId="44" xfId="15" applyNumberFormat="1" applyFont="1" applyFill="1" applyBorder="1" applyAlignment="1">
      <alignment vertical="center"/>
    </xf>
    <xf numFmtId="174" fontId="105" fillId="10" borderId="9" xfId="15" applyNumberFormat="1" applyFont="1" applyFill="1" applyBorder="1" applyAlignment="1">
      <alignment vertical="center"/>
    </xf>
    <xf numFmtId="169" fontId="102" fillId="0" borderId="30" xfId="15" applyNumberFormat="1" applyFont="1" applyBorder="1" applyAlignment="1">
      <alignment horizontal="center" vertical="center"/>
    </xf>
    <xf numFmtId="174" fontId="102" fillId="0" borderId="20" xfId="15" applyNumberFormat="1" applyFont="1" applyBorder="1" applyAlignment="1">
      <alignment vertical="center"/>
    </xf>
    <xf numFmtId="170" fontId="102" fillId="0" borderId="13" xfId="15" applyNumberFormat="1" applyFont="1" applyBorder="1" applyAlignment="1">
      <alignment horizontal="center" vertical="center" wrapText="1"/>
    </xf>
    <xf numFmtId="170" fontId="105" fillId="0" borderId="13" xfId="15" applyNumberFormat="1" applyFont="1" applyBorder="1" applyAlignment="1">
      <alignment horizontal="center" vertical="center" wrapText="1"/>
    </xf>
    <xf numFmtId="169" fontId="103" fillId="0" borderId="13" xfId="15" applyNumberFormat="1" applyFont="1" applyBorder="1" applyAlignment="1">
      <alignment vertical="center"/>
    </xf>
    <xf numFmtId="174" fontId="81" fillId="0" borderId="17" xfId="15" applyNumberFormat="1" applyFont="1" applyBorder="1" applyAlignment="1">
      <alignment vertical="center"/>
    </xf>
    <xf numFmtId="174" fontId="103" fillId="0" borderId="17" xfId="15" applyNumberFormat="1" applyFont="1" applyBorder="1" applyAlignment="1">
      <alignment vertical="center"/>
    </xf>
    <xf numFmtId="169" fontId="102" fillId="0" borderId="31" xfId="15" applyNumberFormat="1" applyFont="1" applyBorder="1" applyAlignment="1">
      <alignment horizontal="right" vertical="center"/>
    </xf>
    <xf numFmtId="174" fontId="102" fillId="0" borderId="32" xfId="15" applyNumberFormat="1" applyFont="1" applyBorder="1" applyAlignment="1">
      <alignment vertical="center"/>
    </xf>
    <xf numFmtId="174" fontId="102" fillId="0" borderId="32" xfId="15" applyNumberFormat="1" applyFont="1" applyBorder="1" applyAlignment="1">
      <alignment horizontal="center" vertical="center"/>
    </xf>
    <xf numFmtId="169" fontId="81" fillId="0" borderId="0" xfId="15" applyNumberFormat="1" applyFont="1"/>
    <xf numFmtId="0" fontId="81" fillId="0" borderId="0" xfId="15" applyFont="1" applyAlignment="1">
      <alignment wrapText="1"/>
    </xf>
    <xf numFmtId="0" fontId="102" fillId="0" borderId="0" xfId="0" applyFont="1" applyAlignment="1">
      <alignment wrapText="1"/>
    </xf>
    <xf numFmtId="0" fontId="81" fillId="0" borderId="0" xfId="13" applyFont="1"/>
    <xf numFmtId="0" fontId="82" fillId="0" borderId="0" xfId="8" applyFont="1"/>
    <xf numFmtId="0" fontId="81" fillId="0" borderId="0" xfId="3" applyFont="1" applyAlignment="1">
      <alignment vertical="center"/>
    </xf>
    <xf numFmtId="0" fontId="102" fillId="0" borderId="0" xfId="3" applyFont="1"/>
    <xf numFmtId="0" fontId="81" fillId="0" borderId="0" xfId="3" applyFont="1" applyAlignment="1">
      <alignment horizontal="center"/>
    </xf>
    <xf numFmtId="0" fontId="101" fillId="0" borderId="0" xfId="8" applyFont="1" applyAlignment="1">
      <alignment horizontal="center"/>
    </xf>
    <xf numFmtId="164" fontId="81" fillId="0" borderId="0" xfId="3" applyNumberFormat="1" applyFont="1" applyAlignment="1">
      <alignment horizontal="center"/>
    </xf>
    <xf numFmtId="164" fontId="81" fillId="0" borderId="0" xfId="10" applyNumberFormat="1" applyFont="1" applyAlignment="1">
      <alignment horizontal="center"/>
    </xf>
    <xf numFmtId="0" fontId="81" fillId="0" borderId="0" xfId="10" applyFont="1" applyAlignment="1">
      <alignment horizontal="center"/>
    </xf>
    <xf numFmtId="0" fontId="81" fillId="0" borderId="0" xfId="10" applyFont="1"/>
    <xf numFmtId="0" fontId="102" fillId="0" borderId="0" xfId="2" applyFont="1"/>
    <xf numFmtId="0" fontId="81" fillId="0" borderId="0" xfId="2" applyFont="1" applyAlignment="1">
      <alignment horizontal="center"/>
    </xf>
    <xf numFmtId="0" fontId="81" fillId="0" borderId="0" xfId="2" applyFont="1"/>
    <xf numFmtId="0" fontId="108" fillId="0" borderId="0" xfId="2" applyFont="1"/>
    <xf numFmtId="164" fontId="82" fillId="45" borderId="33" xfId="20" applyNumberFormat="1" applyFont="1" applyFill="1"/>
    <xf numFmtId="0" fontId="81" fillId="0" borderId="0" xfId="0" applyFont="1" applyAlignment="1">
      <alignment vertical="top"/>
    </xf>
    <xf numFmtId="164" fontId="81" fillId="0" borderId="0" xfId="2" applyNumberFormat="1" applyFont="1"/>
    <xf numFmtId="0" fontId="109" fillId="0" borderId="0" xfId="8" applyFont="1" applyAlignment="1">
      <alignment horizontal="center"/>
    </xf>
    <xf numFmtId="0" fontId="101" fillId="0" borderId="0" xfId="8" applyFont="1" applyAlignment="1">
      <alignment vertical="center"/>
    </xf>
    <xf numFmtId="0" fontId="102" fillId="0" borderId="0" xfId="19" applyFont="1"/>
    <xf numFmtId="0" fontId="81" fillId="0" borderId="0" xfId="19" applyFont="1"/>
    <xf numFmtId="176" fontId="81" fillId="0" borderId="0" xfId="23" applyNumberFormat="1" applyFont="1"/>
    <xf numFmtId="164" fontId="81" fillId="0" borderId="0" xfId="19" applyNumberFormat="1" applyFont="1"/>
    <xf numFmtId="0" fontId="81" fillId="6" borderId="0" xfId="6" applyFont="1" applyFill="1"/>
    <xf numFmtId="0" fontId="102" fillId="0" borderId="0" xfId="0" applyFont="1" applyAlignment="1">
      <alignment horizontal="left"/>
    </xf>
    <xf numFmtId="0" fontId="102" fillId="0" borderId="0" xfId="21" applyFont="1"/>
    <xf numFmtId="0" fontId="81" fillId="0" borderId="0" xfId="15" applyFont="1"/>
    <xf numFmtId="175" fontId="81" fillId="6" borderId="0" xfId="21" applyNumberFormat="1" applyFont="1" applyFill="1"/>
    <xf numFmtId="179" fontId="81" fillId="6" borderId="0" xfId="21" applyNumberFormat="1" applyFont="1" applyFill="1"/>
    <xf numFmtId="0" fontId="110" fillId="0" borderId="0" xfId="8" applyFont="1"/>
    <xf numFmtId="0" fontId="109" fillId="0" borderId="0" xfId="8" applyFont="1"/>
    <xf numFmtId="0" fontId="101" fillId="0" borderId="0" xfId="8" applyFont="1" applyAlignment="1">
      <alignment horizontal="left"/>
    </xf>
    <xf numFmtId="175" fontId="81" fillId="0" borderId="0" xfId="14" applyNumberFormat="1" applyFont="1" applyFill="1" applyBorder="1" applyAlignment="1">
      <alignment horizontal="center"/>
    </xf>
    <xf numFmtId="0" fontId="82" fillId="0" borderId="0" xfId="8" applyFont="1" applyAlignment="1">
      <alignment horizontal="left"/>
    </xf>
    <xf numFmtId="0" fontId="101" fillId="0" borderId="0" xfId="8" quotePrefix="1" applyFont="1"/>
    <xf numFmtId="175" fontId="102" fillId="0" borderId="0" xfId="14" applyNumberFormat="1" applyFont="1" applyFill="1" applyBorder="1" applyAlignment="1">
      <alignment horizontal="center"/>
    </xf>
    <xf numFmtId="173" fontId="101" fillId="0" borderId="0" xfId="8" applyNumberFormat="1" applyFont="1" applyAlignment="1">
      <alignment horizontal="center"/>
    </xf>
    <xf numFmtId="175" fontId="81" fillId="0" borderId="0" xfId="14" applyNumberFormat="1" applyFont="1" applyFill="1" applyBorder="1"/>
    <xf numFmtId="175" fontId="82" fillId="0" borderId="0" xfId="8" applyNumberFormat="1" applyFont="1"/>
    <xf numFmtId="177" fontId="81" fillId="0" borderId="0" xfId="14" applyNumberFormat="1" applyFont="1" applyFill="1" applyBorder="1"/>
    <xf numFmtId="177" fontId="102" fillId="0" borderId="0" xfId="14" applyNumberFormat="1" applyFont="1" applyFill="1" applyBorder="1"/>
    <xf numFmtId="0" fontId="101" fillId="46" borderId="0" xfId="8" applyFont="1" applyFill="1"/>
    <xf numFmtId="180" fontId="102" fillId="46" borderId="0" xfId="14" applyNumberFormat="1" applyFont="1" applyFill="1" applyBorder="1" applyAlignment="1">
      <alignment horizontal="center"/>
    </xf>
    <xf numFmtId="0" fontId="112" fillId="0" borderId="31" xfId="8" applyFont="1" applyBorder="1" applyAlignment="1">
      <alignment horizontal="left"/>
    </xf>
    <xf numFmtId="177" fontId="114" fillId="0" borderId="43" xfId="14" applyNumberFormat="1" applyFont="1" applyFill="1" applyBorder="1" applyAlignment="1">
      <alignment horizontal="center"/>
    </xf>
    <xf numFmtId="0" fontId="112" fillId="0" borderId="0" xfId="8" applyFont="1"/>
    <xf numFmtId="175" fontId="114" fillId="0" borderId="43" xfId="14" applyNumberFormat="1" applyFont="1" applyBorder="1" applyAlignment="1">
      <alignment horizontal="center"/>
    </xf>
    <xf numFmtId="175" fontId="114" fillId="0" borderId="0" xfId="14" applyNumberFormat="1" applyFont="1" applyAlignment="1">
      <alignment horizontal="center"/>
    </xf>
    <xf numFmtId="178" fontId="84" fillId="0" borderId="43" xfId="23" applyNumberFormat="1" applyFont="1" applyFill="1" applyBorder="1"/>
    <xf numFmtId="0" fontId="112" fillId="0" borderId="0" xfId="8" applyFont="1" applyAlignment="1">
      <alignment horizontal="center"/>
    </xf>
    <xf numFmtId="0" fontId="93" fillId="4" borderId="0" xfId="3" applyFont="1" applyFill="1" applyAlignment="1">
      <alignment horizontal="center" vertical="center"/>
    </xf>
    <xf numFmtId="0" fontId="96" fillId="0" borderId="0" xfId="3" applyFont="1"/>
    <xf numFmtId="164" fontId="96" fillId="0" borderId="0" xfId="3" applyNumberFormat="1" applyFont="1"/>
    <xf numFmtId="164" fontId="96" fillId="0" borderId="0" xfId="3" applyNumberFormat="1" applyFont="1" applyAlignment="1">
      <alignment horizontal="right"/>
    </xf>
    <xf numFmtId="164" fontId="96" fillId="0" borderId="0" xfId="0" applyNumberFormat="1" applyFont="1" applyAlignment="1">
      <alignment horizontal="right"/>
    </xf>
    <xf numFmtId="164" fontId="96" fillId="0" borderId="0" xfId="0" quotePrefix="1" applyNumberFormat="1" applyFont="1" applyAlignment="1">
      <alignment horizontal="right"/>
    </xf>
    <xf numFmtId="0" fontId="97" fillId="0" borderId="33" xfId="20" applyFont="1" applyFill="1" applyAlignment="1">
      <alignment horizontal="left"/>
    </xf>
    <xf numFmtId="164" fontId="97" fillId="0" borderId="33" xfId="20" applyNumberFormat="1" applyFont="1" applyFill="1" applyAlignment="1">
      <alignment horizontal="right"/>
    </xf>
    <xf numFmtId="164" fontId="97" fillId="0" borderId="33" xfId="20" applyNumberFormat="1" applyFont="1" applyFill="1" applyAlignment="1">
      <alignment horizontal="right" vertical="center"/>
    </xf>
    <xf numFmtId="0" fontId="96" fillId="0" borderId="0" xfId="0" applyFont="1" applyAlignment="1">
      <alignment horizontal="left"/>
    </xf>
    <xf numFmtId="6" fontId="96" fillId="0" borderId="0" xfId="0" applyNumberFormat="1" applyFont="1"/>
    <xf numFmtId="164" fontId="115" fillId="0" borderId="0" xfId="64" applyNumberFormat="1" applyFont="1" applyAlignment="1">
      <alignment horizontal="right"/>
    </xf>
    <xf numFmtId="6" fontId="116" fillId="0" borderId="4" xfId="0" applyNumberFormat="1" applyFont="1" applyBorder="1"/>
    <xf numFmtId="0" fontId="93" fillId="4" borderId="0" xfId="5" applyNumberFormat="1" applyFont="1" applyFill="1" applyBorder="1" applyAlignment="1">
      <alignment horizontal="center" vertical="center"/>
    </xf>
    <xf numFmtId="49" fontId="93" fillId="4" borderId="0" xfId="5" applyNumberFormat="1" applyFont="1" applyFill="1" applyBorder="1" applyAlignment="1">
      <alignment horizontal="center" vertical="center"/>
    </xf>
    <xf numFmtId="0" fontId="96" fillId="0" borderId="0" xfId="3" applyFont="1" applyAlignment="1">
      <alignment horizontal="left"/>
    </xf>
    <xf numFmtId="164" fontId="96" fillId="0" borderId="0" xfId="0" applyNumberFormat="1" applyFont="1" applyAlignment="1">
      <alignment horizontal="center"/>
    </xf>
    <xf numFmtId="164" fontId="96" fillId="6" borderId="0" xfId="0" applyNumberFormat="1" applyFont="1" applyFill="1" applyAlignment="1">
      <alignment horizontal="right"/>
    </xf>
    <xf numFmtId="164" fontId="97" fillId="0" borderId="33" xfId="20" applyNumberFormat="1" applyFont="1" applyFill="1" applyAlignment="1"/>
    <xf numFmtId="164" fontId="97" fillId="0" borderId="33" xfId="20" applyNumberFormat="1" applyFont="1" applyFill="1" applyAlignment="1">
      <alignment horizontal="center"/>
    </xf>
    <xf numFmtId="0" fontId="93" fillId="4" borderId="0" xfId="12" applyFont="1" applyFill="1" applyAlignment="1">
      <alignment horizontal="center" vertical="center"/>
    </xf>
    <xf numFmtId="0" fontId="115" fillId="0" borderId="0" xfId="8" applyFont="1"/>
    <xf numFmtId="164" fontId="115" fillId="0" borderId="0" xfId="0" applyNumberFormat="1" applyFont="1"/>
    <xf numFmtId="0" fontId="97" fillId="0" borderId="33" xfId="20" applyFont="1"/>
    <xf numFmtId="164" fontId="97" fillId="0" borderId="33" xfId="20" applyNumberFormat="1" applyFont="1"/>
    <xf numFmtId="0" fontId="81" fillId="0" borderId="0" xfId="3" applyFont="1" applyAlignment="1">
      <alignment horizontal="left" wrapText="1"/>
    </xf>
    <xf numFmtId="0" fontId="9" fillId="6" borderId="0" xfId="8" applyFill="1" applyAlignment="1">
      <alignment horizontal="left" vertical="top"/>
    </xf>
    <xf numFmtId="0" fontId="10" fillId="6" borderId="0" xfId="8" applyFont="1" applyFill="1" applyAlignment="1">
      <alignment horizontal="left" vertical="top"/>
    </xf>
    <xf numFmtId="171" fontId="13" fillId="6" borderId="0" xfId="16" applyNumberFormat="1" applyFont="1" applyFill="1" applyAlignment="1">
      <alignment horizontal="left" vertical="top"/>
    </xf>
    <xf numFmtId="0" fontId="81" fillId="0" borderId="0" xfId="15" applyFont="1" applyAlignment="1">
      <alignment vertical="center" wrapText="1"/>
    </xf>
    <xf numFmtId="0" fontId="81" fillId="0" borderId="0" xfId="3" applyFont="1" applyAlignment="1">
      <alignment horizontal="left"/>
    </xf>
    <xf numFmtId="0" fontId="119" fillId="0" borderId="0" xfId="0" applyFont="1" applyAlignment="1">
      <alignment horizontal="left" vertical="top" wrapText="1"/>
    </xf>
    <xf numFmtId="0" fontId="82" fillId="0" borderId="0" xfId="8" applyFont="1" applyAlignment="1">
      <alignment horizontal="left"/>
    </xf>
    <xf numFmtId="0" fontId="112" fillId="0" borderId="31" xfId="8" applyFont="1" applyBorder="1" applyAlignment="1">
      <alignment horizontal="left"/>
    </xf>
    <xf numFmtId="0" fontId="112" fillId="0" borderId="42" xfId="8" applyFont="1" applyBorder="1" applyAlignment="1">
      <alignment horizontal="left"/>
    </xf>
    <xf numFmtId="0" fontId="112" fillId="0" borderId="0" xfId="8" applyFont="1" applyAlignment="1">
      <alignment horizontal="left"/>
    </xf>
    <xf numFmtId="0" fontId="82" fillId="46" borderId="0" xfId="8" applyFont="1" applyFill="1" applyAlignment="1">
      <alignment horizontal="left"/>
    </xf>
    <xf numFmtId="0" fontId="111" fillId="0" borderId="0" xfId="19" applyFont="1" applyAlignment="1">
      <alignment horizontal="left" vertical="top"/>
    </xf>
    <xf numFmtId="0" fontId="9" fillId="0" borderId="0" xfId="8" applyAlignment="1">
      <alignment horizontal="left"/>
    </xf>
    <xf numFmtId="0" fontId="101" fillId="0" borderId="0" xfId="8" applyFont="1" applyAlignment="1">
      <alignment horizontal="left"/>
    </xf>
    <xf numFmtId="0" fontId="101" fillId="0" borderId="0" xfId="8" quotePrefix="1" applyFont="1" applyAlignment="1">
      <alignment horizontal="left"/>
    </xf>
    <xf numFmtId="0" fontId="82" fillId="0" borderId="0" xfId="8" quotePrefix="1" applyFont="1" applyAlignment="1">
      <alignment horizontal="left"/>
    </xf>
    <xf numFmtId="0" fontId="81" fillId="0" borderId="0" xfId="15" applyFont="1" applyAlignment="1">
      <alignment vertical="center" wrapText="1"/>
    </xf>
    <xf numFmtId="0" fontId="81" fillId="0" borderId="0" xfId="21" applyFont="1" applyAlignment="1">
      <alignment horizontal="left" wrapText="1"/>
    </xf>
    <xf numFmtId="0" fontId="81" fillId="0" borderId="0" xfId="3" applyFont="1" applyAlignment="1">
      <alignment horizontal="left" vertical="center" wrapText="1"/>
    </xf>
    <xf numFmtId="0" fontId="81" fillId="0" borderId="0" xfId="15" applyFont="1" applyAlignment="1">
      <alignment horizontal="left" vertical="center" wrapText="1"/>
    </xf>
    <xf numFmtId="0" fontId="92" fillId="0" borderId="0" xfId="4" applyFont="1" applyAlignment="1">
      <alignment horizontal="left" vertical="top"/>
    </xf>
    <xf numFmtId="0" fontId="81" fillId="0" borderId="0" xfId="3" applyFont="1" applyAlignment="1">
      <alignment horizontal="left" wrapText="1"/>
    </xf>
    <xf numFmtId="0" fontId="93" fillId="4" borderId="0" xfId="0" applyFont="1" applyFill="1" applyAlignment="1">
      <alignment horizontal="center" vertical="center"/>
    </xf>
    <xf numFmtId="0" fontId="81" fillId="0" borderId="0" xfId="0" applyFont="1" applyAlignment="1">
      <alignment horizontal="left" wrapText="1"/>
    </xf>
    <xf numFmtId="0" fontId="92" fillId="0" borderId="0" xfId="8" applyFont="1" applyAlignment="1">
      <alignment vertical="top"/>
    </xf>
    <xf numFmtId="0" fontId="101" fillId="0" borderId="0" xfId="0" applyFont="1" applyAlignment="1">
      <alignment horizontal="left" wrapText="1"/>
    </xf>
    <xf numFmtId="0" fontId="39" fillId="0" borderId="0" xfId="3" applyFont="1" applyAlignment="1">
      <alignment horizontal="left" wrapText="1"/>
    </xf>
    <xf numFmtId="0" fontId="92" fillId="0" borderId="0" xfId="3" applyFont="1" applyAlignment="1">
      <alignment vertical="top"/>
    </xf>
    <xf numFmtId="0" fontId="39" fillId="0" borderId="0" xfId="0" applyFont="1" applyAlignment="1">
      <alignment horizontal="left" vertical="top" wrapText="1"/>
    </xf>
    <xf numFmtId="0" fontId="81" fillId="0" borderId="0" xfId="3" applyFont="1" applyAlignment="1">
      <alignment horizontal="left" vertical="top" wrapText="1"/>
    </xf>
    <xf numFmtId="0" fontId="81" fillId="0" borderId="0" xfId="0" applyFont="1" applyAlignment="1">
      <alignment horizontal="left" vertical="top" wrapText="1"/>
    </xf>
    <xf numFmtId="0" fontId="81" fillId="0" borderId="0" xfId="13" applyFont="1" applyAlignment="1">
      <alignment wrapText="1"/>
    </xf>
    <xf numFmtId="0" fontId="81" fillId="0" borderId="0" xfId="13" applyFont="1" applyAlignment="1">
      <alignment horizontal="left"/>
    </xf>
    <xf numFmtId="0" fontId="38" fillId="0" borderId="2" xfId="13" applyFont="1" applyBorder="1" applyAlignment="1">
      <alignment horizontal="left" wrapText="1"/>
    </xf>
    <xf numFmtId="0" fontId="38" fillId="0" borderId="2" xfId="13" applyFont="1" applyBorder="1" applyAlignment="1">
      <alignment wrapText="1"/>
    </xf>
    <xf numFmtId="0" fontId="102" fillId="0" borderId="2" xfId="13" applyFont="1" applyBorder="1" applyAlignment="1">
      <alignment wrapText="1"/>
    </xf>
    <xf numFmtId="0" fontId="81" fillId="0" borderId="0" xfId="13" applyFont="1" applyAlignment="1">
      <alignment horizontal="left" wrapText="1"/>
    </xf>
    <xf numFmtId="0" fontId="81" fillId="0" borderId="0" xfId="0" applyFont="1" applyAlignment="1">
      <alignment horizontal="left"/>
    </xf>
    <xf numFmtId="169" fontId="81" fillId="0" borderId="0" xfId="15" applyNumberFormat="1" applyFont="1" applyAlignment="1">
      <alignment horizontal="left" vertical="center" wrapText="1"/>
    </xf>
    <xf numFmtId="169" fontId="55" fillId="0" borderId="6" xfId="15" applyNumberFormat="1" applyFont="1" applyBorder="1"/>
    <xf numFmtId="169" fontId="57" fillId="0" borderId="6" xfId="15" applyNumberFormat="1" applyFont="1" applyBorder="1"/>
    <xf numFmtId="0" fontId="25" fillId="0" borderId="6" xfId="15" applyFont="1" applyBorder="1"/>
    <xf numFmtId="169" fontId="58" fillId="0" borderId="0" xfId="15" applyNumberFormat="1" applyFont="1" applyAlignment="1">
      <alignment horizontal="left" vertical="top" wrapText="1"/>
    </xf>
    <xf numFmtId="0" fontId="3" fillId="0" borderId="0" xfId="15" applyAlignment="1">
      <alignment horizontal="left" vertical="top" wrapText="1"/>
    </xf>
    <xf numFmtId="169" fontId="81" fillId="0" borderId="0" xfId="15" applyNumberFormat="1" applyFont="1" applyAlignment="1">
      <alignment vertical="center" wrapText="1"/>
    </xf>
  </cellXfs>
  <cellStyles count="72">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30" builtinId="27" customBuiltin="1"/>
    <cellStyle name="Calculation" xfId="34" builtinId="22" customBuiltin="1"/>
    <cellStyle name="Check Cell" xfId="36" builtinId="23" customBuiltin="1"/>
    <cellStyle name="Comma" xfId="14" builtinId="3"/>
    <cellStyle name="Comma 2" xfId="16" xr:uid="{00000000-0005-0000-0000-000001000000}"/>
    <cellStyle name="Comma 2 2" xfId="71" xr:uid="{5F6FF4F2-CFC2-48BC-8002-9ADB69EB2032}"/>
    <cellStyle name="Currency" xfId="23" builtinId="4"/>
    <cellStyle name="Currency 2" xfId="5" xr:uid="{00000000-0005-0000-0000-000002000000}"/>
    <cellStyle name="Currency 3" xfId="11" xr:uid="{00000000-0005-0000-0000-000003000000}"/>
    <cellStyle name="Currency 3 2" xfId="66" xr:uid="{FBF258D4-1780-4F25-BA75-C04F3AE1D13F}"/>
    <cellStyle name="Currency 4" xfId="64" xr:uid="{75647B01-64CD-40C6-9B6B-7AF3151DA7E8}"/>
    <cellStyle name="Explanatory Text" xfId="38" builtinId="53" customBuiltin="1"/>
    <cellStyle name="Good" xfId="29" builtinId="26" customBuiltin="1"/>
    <cellStyle name="Heading 1" xfId="25" builtinId="16" customBuiltin="1"/>
    <cellStyle name="Heading 2" xfId="26" builtinId="17" customBuiltin="1"/>
    <cellStyle name="Heading 3" xfId="27" builtinId="18" customBuiltin="1"/>
    <cellStyle name="Heading 4" xfId="28" builtinId="19" customBuiltin="1"/>
    <cellStyle name="Input" xfId="32" builtinId="20" customBuiltin="1"/>
    <cellStyle name="Linked Cell" xfId="35" builtinId="24" customBuiltin="1"/>
    <cellStyle name="Neutral" xfId="31" builtinId="28" customBuiltin="1"/>
    <cellStyle name="Normal" xfId="0" builtinId="0"/>
    <cellStyle name="Normal 2" xfId="2" xr:uid="{00000000-0005-0000-0000-000005000000}"/>
    <cellStyle name="Normal 2 2" xfId="10" xr:uid="{00000000-0005-0000-0000-000006000000}"/>
    <cellStyle name="Normal 2 2 2" xfId="21" xr:uid="{D03CCFD8-5251-4696-A9E1-C12CF9989567}"/>
    <cellStyle name="Normal 2 3" xfId="15" xr:uid="{00000000-0005-0000-0000-000007000000}"/>
    <cellStyle name="Normal 3" xfId="6" xr:uid="{00000000-0005-0000-0000-000008000000}"/>
    <cellStyle name="Normal 3 2" xfId="19" xr:uid="{00000000-0005-0000-0000-000009000000}"/>
    <cellStyle name="Normal 4" xfId="7" xr:uid="{00000000-0005-0000-0000-00000A000000}"/>
    <cellStyle name="Normal 5" xfId="8" xr:uid="{00000000-0005-0000-0000-00000B000000}"/>
    <cellStyle name="Normal 5 2" xfId="12" xr:uid="{00000000-0005-0000-0000-00000C000000}"/>
    <cellStyle name="Normal 5 3" xfId="22" xr:uid="{99DC4FC5-1DAF-4A73-A7ED-B66A3830C839}"/>
    <cellStyle name="Normal 5 4" xfId="69" xr:uid="{071E15F7-C6B8-4865-96FD-8D076DC89746}"/>
    <cellStyle name="Normal 6" xfId="17" xr:uid="{00000000-0005-0000-0000-00000D000000}"/>
    <cellStyle name="Normal 6 2" xfId="70" xr:uid="{9EBBF8B7-BCE9-419E-AB0D-8DD6003624BB}"/>
    <cellStyle name="Normal 7" xfId="18" xr:uid="{00000000-0005-0000-0000-00000E000000}"/>
    <cellStyle name="Normal 7 2" xfId="68" xr:uid="{E420F519-EA29-4773-89BF-E21088540FE0}"/>
    <cellStyle name="Normal 8" xfId="63" xr:uid="{71A95011-10FC-4E4F-8B07-8863C1597BBF}"/>
    <cellStyle name="Normal_78 - 04 FW spending report Spring 05Revised" xfId="13" xr:uid="{00000000-0005-0000-0000-00000F000000}"/>
    <cellStyle name="Normal_Gov Report File" xfId="3" xr:uid="{00000000-0005-0000-0000-000010000000}"/>
    <cellStyle name="Normal_Sheet1" xfId="4" xr:uid="{00000000-0005-0000-0000-000011000000}"/>
    <cellStyle name="Note 2" xfId="9" xr:uid="{00000000-0005-0000-0000-000012000000}"/>
    <cellStyle name="Note 2 2" xfId="67" xr:uid="{2517521B-D28D-4C14-B9DF-22D6E900F291}"/>
    <cellStyle name="Note 3" xfId="65" xr:uid="{E78F0AF6-1434-4371-80AA-39B6C0948DB6}"/>
    <cellStyle name="Output" xfId="33" builtinId="21" customBuiltin="1"/>
    <cellStyle name="Percent" xfId="1" builtinId="5"/>
    <cellStyle name="Title" xfId="24" builtinId="15" customBuiltin="1"/>
    <cellStyle name="Total" xfId="20" builtinId="25" customBuiltin="1"/>
    <cellStyle name="Warning Text" xfId="37" builtinId="11" customBuiltin="1"/>
  </cellStyles>
  <dxfs count="0"/>
  <tableStyles count="0" defaultTableStyle="TableStyleMedium9" defaultPivotStyle="PivotStyleLight16"/>
  <colors>
    <mruColors>
      <color rgb="FF77933C"/>
      <color rgb="FFE6B9B8"/>
      <color rgb="FF856BA5"/>
      <color rgb="FF4F81BD"/>
      <color rgb="FFF68B32"/>
      <color rgb="FFF4E89E"/>
      <color rgb="FF9BBB59"/>
      <color rgb="FFC0504D"/>
      <color rgb="FFFFFF66"/>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8276356759751"/>
          <c:y val="0.13263061836990095"/>
          <c:w val="0.70512621786151075"/>
          <c:h val="0.9504524178655509"/>
        </c:manualLayout>
      </c:layout>
      <c:pieChart>
        <c:varyColors val="1"/>
        <c:ser>
          <c:idx val="0"/>
          <c:order val="0"/>
          <c:tx>
            <c:strRef>
              <c:f>'1A_ByArea'!$E$5:$E$9</c:f>
              <c:strCache>
                <c:ptCount val="5"/>
                <c:pt idx="0">
                  <c:v>Direct F&amp;W Program</c:v>
                </c:pt>
                <c:pt idx="1">
                  <c:v>Forgone Revenue (est.)</c:v>
                </c:pt>
                <c:pt idx="2">
                  <c:v>Reimbursable Expenses</c:v>
                </c:pt>
                <c:pt idx="3">
                  <c:v>Fixed Expenses</c:v>
                </c:pt>
                <c:pt idx="4">
                  <c:v>Power Purchases for Fish Enhancement (est.)</c:v>
                </c:pt>
              </c:strCache>
            </c:strRef>
          </c:tx>
          <c:spPr>
            <a:ln>
              <a:noFill/>
            </a:ln>
            <a:effectLst>
              <a:outerShdw blurRad="50800" dist="38100" dir="2700000" algn="tl" rotWithShape="0">
                <a:prstClr val="black">
                  <a:alpha val="40000"/>
                </a:prstClr>
              </a:outerShdw>
            </a:effectLst>
          </c:spPr>
          <c:dPt>
            <c:idx val="0"/>
            <c:bubble3D val="0"/>
            <c:spPr>
              <a:solidFill>
                <a:srgbClr val="4F81BD"/>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E64C-4B75-ACC6-D985A14E3F5E}"/>
              </c:ext>
            </c:extLst>
          </c:dPt>
          <c:dPt>
            <c:idx val="1"/>
            <c:bubble3D val="0"/>
            <c:spPr>
              <a:solidFill>
                <a:srgbClr val="E6B9B8"/>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E64C-4B75-ACC6-D985A14E3F5E}"/>
              </c:ext>
            </c:extLst>
          </c:dPt>
          <c:dPt>
            <c:idx val="2"/>
            <c:bubble3D val="0"/>
            <c:spPr>
              <a:solidFill>
                <a:srgbClr val="77933C"/>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E64C-4B75-ACC6-D985A14E3F5E}"/>
              </c:ext>
            </c:extLst>
          </c:dPt>
          <c:dPt>
            <c:idx val="3"/>
            <c:bubble3D val="0"/>
            <c:spPr>
              <a:solidFill>
                <a:srgbClr val="856BA5"/>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E64C-4B75-ACC6-D985A14E3F5E}"/>
              </c:ext>
            </c:extLst>
          </c:dPt>
          <c:dPt>
            <c:idx val="4"/>
            <c:bubble3D val="0"/>
            <c:spPr>
              <a:solidFill>
                <a:srgbClr val="F68B32"/>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E64C-4B75-ACC6-D985A14E3F5E}"/>
              </c:ext>
            </c:extLst>
          </c:dPt>
          <c:dPt>
            <c:idx val="5"/>
            <c:bubble3D val="0"/>
            <c:spPr>
              <a:solidFill>
                <a:schemeClr val="accent6"/>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E64C-4B75-ACC6-D985A14E3F5E}"/>
              </c:ext>
            </c:extLst>
          </c:dPt>
          <c:dPt>
            <c:idx val="6"/>
            <c:bubble3D val="0"/>
            <c:spPr>
              <a:solidFill>
                <a:schemeClr val="accent1">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E64C-4B75-ACC6-D985A14E3F5E}"/>
              </c:ext>
            </c:extLst>
          </c:dPt>
          <c:dPt>
            <c:idx val="7"/>
            <c:bubble3D val="0"/>
            <c:spPr>
              <a:solidFill>
                <a:schemeClr val="accent2">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F-E64C-4B75-ACC6-D985A14E3F5E}"/>
              </c:ext>
            </c:extLst>
          </c:dPt>
          <c:dPt>
            <c:idx val="8"/>
            <c:bubble3D val="0"/>
            <c:spPr>
              <a:solidFill>
                <a:schemeClr val="accent3">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1-E64C-4B75-ACC6-D985A14E3F5E}"/>
              </c:ext>
            </c:extLst>
          </c:dPt>
          <c:dPt>
            <c:idx val="9"/>
            <c:bubble3D val="0"/>
            <c:spPr>
              <a:solidFill>
                <a:schemeClr val="accent4">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3-E64C-4B75-ACC6-D985A14E3F5E}"/>
              </c:ext>
            </c:extLst>
          </c:dPt>
          <c:dPt>
            <c:idx val="10"/>
            <c:bubble3D val="0"/>
            <c:spPr>
              <a:solidFill>
                <a:schemeClr val="accent5">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5-E64C-4B75-ACC6-D985A14E3F5E}"/>
              </c:ext>
            </c:extLst>
          </c:dPt>
          <c:dPt>
            <c:idx val="11"/>
            <c:bubble3D val="0"/>
            <c:spPr>
              <a:solidFill>
                <a:schemeClr val="accent6">
                  <a:lumMod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7-E64C-4B75-ACC6-D985A14E3F5E}"/>
              </c:ext>
            </c:extLst>
          </c:dPt>
          <c:dLbls>
            <c:dLbl>
              <c:idx val="0"/>
              <c:layout>
                <c:manualLayout>
                  <c:x val="-0.18199500298480478"/>
                  <c:y val="3.8612551329600876E-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fld id="{B5A815E0-2D3C-4411-996F-4735A71D36B4}" type="CATEGORYNAME">
                      <a:rPr lang="en-US" sz="100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[CATEGORY NAME]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fld id="{8205AE6F-5238-4708-A4EE-494ABCA3D89C}" type="VALU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[VALUE]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fld id="{264E9303-758B-46B8-BAC6-DB5110E070BB}" type="PERCENTAG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[PERCENTAGE]</a:t>
                    </a:fld>
                    <a:endParaRPr lang="en-US" sz="1000" baseline="0">
                      <a:latin typeface="Calibri Light" panose="020F0302020204030204" pitchFamily="34" charset="0"/>
                      <a:ea typeface="Calibri Light" panose="020F0302020204030204" pitchFamily="34" charset="0"/>
                      <a:cs typeface="Calibri Light" panose="020F0302020204030204" pitchFamily="34" charset="0"/>
                    </a:endParaRPr>
                  </a:p>
                </c:rich>
              </c:tx>
              <c:numFmt formatCode="0.0%" sourceLinked="0"/>
              <c:spPr>
                <a:solidFill>
                  <a:schemeClr val="bg1">
                    <a:lumMod val="95000"/>
                  </a:schemeClr>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1-E64C-4B75-ACC6-D985A14E3F5E}"/>
                </c:ext>
              </c:extLst>
            </c:dLbl>
            <c:dLbl>
              <c:idx val="1"/>
              <c:layout>
                <c:manualLayout>
                  <c:x val="-0.17502562587273474"/>
                  <c:y val="-0.1182490333894408"/>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fld id="{FC94EDB2-DA15-424F-A386-16C3522B25A2}" type="CATEGORYNAME">
                      <a:rPr lang="en-US" sz="100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[CATEGORY NAME]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fld id="{6105BC2E-6533-45B1-9579-FD1B0A27962E}" type="VALU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[VALUE]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fld id="{8C50FA57-91C4-4D73-AA6A-CC357BDECE9A}" type="PERCENTAG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[PERCENTAGE]</a:t>
                    </a:fld>
                    <a:endParaRPr lang="en-US" sz="1000" baseline="0">
                      <a:latin typeface="Calibri Light" panose="020F0302020204030204" pitchFamily="34" charset="0"/>
                      <a:ea typeface="Calibri Light" panose="020F0302020204030204" pitchFamily="34" charset="0"/>
                      <a:cs typeface="Calibri Light" panose="020F0302020204030204" pitchFamily="34" charset="0"/>
                    </a:endParaRPr>
                  </a:p>
                </c:rich>
              </c:tx>
              <c:spPr>
                <a:solidFill>
                  <a:schemeClr val="bg1">
                    <a:lumMod val="95000"/>
                  </a:schemeClr>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878346253165365"/>
                      <c:h val="6.2034726630343547E-2"/>
                    </c:manualLayout>
                  </c15:layout>
                  <c15:dlblFieldTable/>
                  <c15:showDataLabelsRange val="0"/>
                </c:ext>
                <c:ext xmlns:c16="http://schemas.microsoft.com/office/drawing/2014/chart" uri="{C3380CC4-5D6E-409C-BE32-E72D297353CC}">
                  <c16:uniqueId val="{00000003-E64C-4B75-ACC6-D985A14E3F5E}"/>
                </c:ext>
              </c:extLst>
            </c:dLbl>
            <c:dLbl>
              <c:idx val="2"/>
              <c:layout>
                <c:manualLayout>
                  <c:x val="-0.17360682777756831"/>
                  <c:y val="-0.11428381324514762"/>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fld id="{9FB2BAD5-EBF7-4404-B501-1CA577056DBF}" type="CATEGORYNAME">
                      <a:rPr lang="en-US" sz="100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[CATEGORY NAME]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fld id="{99A63E8E-5416-4954-83FA-62B17C16D167}" type="VALU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[VALUE]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fld id="{F71AE120-651E-42ED-A588-0973D35F11E3}" type="PERCENTAG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[PERCENTAGE]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(2)</a:t>
                    </a:r>
                  </a:p>
                </c:rich>
              </c:tx>
              <c:numFmt formatCode="0.0%" sourceLinked="0"/>
              <c:spPr>
                <a:solidFill>
                  <a:schemeClr val="bg1">
                    <a:lumMod val="95000"/>
                  </a:schemeClr>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1653312056523358"/>
                      <c:h val="7.0156036847583134E-2"/>
                    </c:manualLayout>
                  </c15:layout>
                  <c15:dlblFieldTable/>
                  <c15:showDataLabelsRange val="0"/>
                </c:ext>
                <c:ext xmlns:c16="http://schemas.microsoft.com/office/drawing/2014/chart" uri="{C3380CC4-5D6E-409C-BE32-E72D297353CC}">
                  <c16:uniqueId val="{00000005-E64C-4B75-ACC6-D985A14E3F5E}"/>
                </c:ext>
              </c:extLst>
            </c:dLbl>
            <c:dLbl>
              <c:idx val="3"/>
              <c:layout>
                <c:manualLayout>
                  <c:x val="-6.0895079590070081E-2"/>
                  <c:y val="-0.10493366270850715"/>
                </c:manualLayout>
              </c:layout>
              <c:tx>
                <c:rich>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fld id="{988E315E-EBD4-4B61-AF49-5C15E98F70E6}" type="CATEGORYNAME">
                      <a:rPr lang="en-US" sz="100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[CATEGORY NAME]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br>
                      <a:rPr lang="en-US" sz="1000" baseline="0">
                        <a:latin typeface="Calibri Light" panose="020F0302020204030204" pitchFamily="34" charset="0"/>
                        <a:ea typeface="Calibri Light" panose="020F0302020204030204" pitchFamily="34" charset="0"/>
                        <a:cs typeface="Calibri Light" panose="020F0302020204030204" pitchFamily="34" charset="0"/>
                      </a:rPr>
                    </a:br>
                    <a:fld id="{3B0FB5E1-00F7-4353-97AB-766C964E6E2D}" type="VALU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[VALUE]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fld id="{14DB1AFF-DA5E-48D4-AD92-16C83C3C8D7D}" type="PERCENTAG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[PERCENTAGE]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(3)</a:t>
                    </a:r>
                  </a:p>
                </c:rich>
              </c:tx>
              <c:numFmt formatCode="0.0%" sourceLinked="0"/>
              <c:spPr>
                <a:solidFill>
                  <a:schemeClr val="bg1">
                    <a:lumMod val="95000"/>
                  </a:schemeClr>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8297524139936397"/>
                      <c:h val="6.5612985245942418E-2"/>
                    </c:manualLayout>
                  </c15:layout>
                  <c15:dlblFieldTable/>
                  <c15:showDataLabelsRange val="0"/>
                </c:ext>
                <c:ext xmlns:c16="http://schemas.microsoft.com/office/drawing/2014/chart" uri="{C3380CC4-5D6E-409C-BE32-E72D297353CC}">
                  <c16:uniqueId val="{00000007-E64C-4B75-ACC6-D985A14E3F5E}"/>
                </c:ext>
              </c:extLst>
            </c:dLbl>
            <c:dLbl>
              <c:idx val="4"/>
              <c:layout>
                <c:manualLayout>
                  <c:x val="0.23766917140884344"/>
                  <c:y val="0.10538626365781363"/>
                </c:manualLayout>
              </c:layout>
              <c:tx>
                <c:rich>
                  <a:bodyPr rot="0" spcFirstLastPara="1" vertOverflow="clip" horzOverflow="clip" vert="horz" wrap="square" lIns="38100" tIns="19050" rIns="38100" bIns="19050" anchor="ctr" anchorCtr="1">
                    <a:no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fld id="{03DCF6FB-3B78-45AD-8692-518E2127E295}" type="CATEGORYNAME">
                      <a:rPr lang="en-US" sz="100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[CATEGORY NAME]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fld id="{D42F5673-2C1C-457A-870A-7062BEAD0AE5}" type="VALU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[VALUE]</a:t>
                    </a:fld>
                    <a:r>
                      <a:rPr lang="en-US" sz="1000" baseline="0">
                        <a:latin typeface="Calibri Light" panose="020F0302020204030204" pitchFamily="34" charset="0"/>
                        <a:ea typeface="Calibri Light" panose="020F0302020204030204" pitchFamily="34" charset="0"/>
                        <a:cs typeface="Calibri Light" panose="020F0302020204030204" pitchFamily="34" charset="0"/>
                      </a:rPr>
                      <a:t>, </a:t>
                    </a:r>
                    <a:fld id="{CB1BFC0D-57A8-44C0-9E9C-66AA27A8ABD6}" type="PERCENTAGE">
                      <a:rPr lang="en-US" sz="1000" baseline="0">
                        <a:latin typeface="Calibri Light" panose="020F0302020204030204" pitchFamily="34" charset="0"/>
                        <a:ea typeface="Calibri Light" panose="020F0302020204030204" pitchFamily="34" charset="0"/>
                        <a:cs typeface="Calibri Light" panose="020F0302020204030204" pitchFamily="34" charset="0"/>
                      </a:rPr>
                      <a:pPr>
                        <a:defRPr sz="1000">
                          <a:latin typeface="Calibri Light" panose="020F0302020204030204" pitchFamily="34" charset="0"/>
                          <a:ea typeface="Calibri Light" panose="020F0302020204030204" pitchFamily="34" charset="0"/>
                          <a:cs typeface="Calibri Light" panose="020F0302020204030204" pitchFamily="34" charset="0"/>
                        </a:defRPr>
                      </a:pPr>
                      <a:t>[PERCENTAGE]</a:t>
                    </a:fld>
                    <a:endParaRPr lang="en-US" sz="1000" baseline="0">
                      <a:latin typeface="Calibri Light" panose="020F0302020204030204" pitchFamily="34" charset="0"/>
                      <a:ea typeface="Calibri Light" panose="020F0302020204030204" pitchFamily="34" charset="0"/>
                      <a:cs typeface="Calibri Light" panose="020F0302020204030204" pitchFamily="34" charset="0"/>
                    </a:endParaRPr>
                  </a:p>
                </c:rich>
              </c:tx>
              <c:numFmt formatCode="0.0%" sourceLinked="0"/>
              <c:spPr>
                <a:xfrm>
                  <a:off x="2058244" y="1518676"/>
                  <a:ext cx="1470299" cy="543671"/>
                </a:xfrm>
                <a:solidFill>
                  <a:sysClr val="window" lastClr="FFFFFF">
                    <a:lumMod val="95000"/>
                  </a:sysClr>
                </a:solidFill>
                <a:ln w="9525" cap="flat" cmpd="sng" algn="ctr">
                  <a:solidFill>
                    <a:sysClr val="windowText" lastClr="000000">
                      <a:lumMod val="25000"/>
                      <a:lumOff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no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2916744246000487"/>
                      <c:h val="9.6909916697659956E-2"/>
                    </c:manualLayout>
                  </c15:layout>
                  <c15:dlblFieldTable/>
                  <c15:showDataLabelsRange val="0"/>
                </c:ext>
                <c:ext xmlns:c16="http://schemas.microsoft.com/office/drawing/2014/chart" uri="{C3380CC4-5D6E-409C-BE32-E72D297353CC}">
                  <c16:uniqueId val="{00000009-E64C-4B75-ACC6-D985A14E3F5E}"/>
                </c:ext>
              </c:extLst>
            </c:dLbl>
            <c:dLbl>
              <c:idx val="6"/>
              <c:layout>
                <c:manualLayout>
                  <c:x val="-0.17630064449414934"/>
                  <c:y val="-0.1165756307488591"/>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E64C-4B75-ACC6-D985A14E3F5E}"/>
                </c:ext>
              </c:extLst>
            </c:dLbl>
            <c:dLbl>
              <c:idx val="8"/>
              <c:layout>
                <c:manualLayout>
                  <c:x val="0.24141907265744852"/>
                  <c:y val="0.1187952948509855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E64C-4B75-ACC6-D985A14E3F5E}"/>
                </c:ext>
              </c:extLst>
            </c:dLbl>
            <c:numFmt formatCode="0.0%" sourceLinked="0"/>
            <c:spPr>
              <a:solidFill>
                <a:schemeClr val="bg1">
                  <a:lumMod val="95000"/>
                </a:schemeClr>
              </a:solidFill>
              <a:ln>
                <a:solidFill>
                  <a:sysClr val="windowText" lastClr="000000">
                    <a:lumMod val="25000"/>
                    <a:lumOff val="75000"/>
                  </a:sysClr>
                </a:solid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dk1">
                        <a:lumMod val="65000"/>
                        <a:lumOff val="35000"/>
                      </a:schemeClr>
                    </a:solidFill>
                    <a:latin typeface="Calibri Light" panose="020F0302020204030204" pitchFamily="34" charset="0"/>
                    <a:ea typeface="Calibri Light" panose="020F0302020204030204" pitchFamily="34" charset="0"/>
                    <a:cs typeface="Calibri Light" panose="020F0302020204030204" pitchFamily="34" charset="0"/>
                  </a:defRPr>
                </a:pPr>
                <a:endParaRPr lang="en-US"/>
              </a:p>
            </c:txPr>
            <c:dLblPos val="inEnd"/>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'1A_ByArea'!$E$5:$E$9</c:f>
              <c:strCache>
                <c:ptCount val="5"/>
                <c:pt idx="0">
                  <c:v>Direct F&amp;W Program</c:v>
                </c:pt>
                <c:pt idx="1">
                  <c:v>Forgone Revenue (est.)</c:v>
                </c:pt>
                <c:pt idx="2">
                  <c:v>Reimbursable Expenses</c:v>
                </c:pt>
                <c:pt idx="3">
                  <c:v>Fixed Expenses</c:v>
                </c:pt>
                <c:pt idx="4">
                  <c:v>Power Purchases for Fish Enhancement (est.)</c:v>
                </c:pt>
              </c:strCache>
            </c:strRef>
          </c:cat>
          <c:val>
            <c:numRef>
              <c:f>'1A_ByArea'!$G$5:$G$9</c:f>
              <c:numCache>
                <c:formatCode>"$"#.#,,"M"</c:formatCode>
                <c:ptCount val="5"/>
                <c:pt idx="0">
                  <c:v>270800000</c:v>
                </c:pt>
                <c:pt idx="1">
                  <c:v>36600000</c:v>
                </c:pt>
                <c:pt idx="2">
                  <c:v>103800000</c:v>
                </c:pt>
                <c:pt idx="3">
                  <c:v>101200000</c:v>
                </c:pt>
                <c:pt idx="4">
                  <c:v>856200000</c:v>
                </c:pt>
              </c:numCache>
            </c:numRef>
          </c:val>
          <c:extLst>
            <c:ext xmlns:c16="http://schemas.microsoft.com/office/drawing/2014/chart" uri="{C3380CC4-5D6E-409C-BE32-E72D297353CC}">
              <c16:uniqueId val="{00000018-E64C-4B75-ACC6-D985A14E3F5E}"/>
            </c:ext>
          </c:extLst>
        </c:ser>
        <c:dLbls>
          <c:showLegendKey val="0"/>
          <c:showVal val="0"/>
          <c:showCatName val="0"/>
          <c:showSerName val="0"/>
          <c:showPercent val="0"/>
          <c:showBubbleSize val="0"/>
          <c:showLeaderLines val="0"/>
        </c:dLbls>
        <c:firstSliceAng val="4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935925248899673E-2"/>
          <c:y val="3.0141148759477817E-2"/>
          <c:w val="0.90054839126071695"/>
          <c:h val="0.88462877552332686"/>
        </c:manualLayout>
      </c:layout>
      <c:barChart>
        <c:barDir val="col"/>
        <c:grouping val="clustered"/>
        <c:varyColors val="0"/>
        <c:ser>
          <c:idx val="0"/>
          <c:order val="0"/>
          <c:tx>
            <c:v>Expense</c:v>
          </c:tx>
          <c:spPr>
            <a:effectLst>
              <a:outerShdw blurRad="50800" dist="12700" algn="l" rotWithShape="0">
                <a:prstClr val="black">
                  <a:alpha val="40000"/>
                </a:prstClr>
              </a:outerShdw>
            </a:effectLst>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Table'!$AK$2:$AT$2</c:f>
              <c:numCache>
                <c:formatCode>0_);\(0\)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'BPA Costs Table'!$AK$9:$AT$9</c:f>
              <c:numCache>
                <c:formatCode>0.0_);\(0.0\)</c:formatCode>
                <c:ptCount val="10"/>
                <c:pt idx="0">
                  <c:v>258.17721182999998</c:v>
                </c:pt>
                <c:pt idx="1">
                  <c:v>258.14218992999997</c:v>
                </c:pt>
                <c:pt idx="2">
                  <c:v>254.7</c:v>
                </c:pt>
                <c:pt idx="3">
                  <c:v>258.70465134000005</c:v>
                </c:pt>
                <c:pt idx="4">
                  <c:v>240.38390317</c:v>
                </c:pt>
                <c:pt idx="5">
                  <c:v>238.07312463000002</c:v>
                </c:pt>
                <c:pt idx="6">
                  <c:v>253.6</c:v>
                </c:pt>
                <c:pt idx="7">
                  <c:v>249.43191873000001</c:v>
                </c:pt>
                <c:pt idx="8">
                  <c:v>260.89999999999998</c:v>
                </c:pt>
                <c:pt idx="9">
                  <c:v>270.8</c:v>
                </c:pt>
              </c:numCache>
            </c:numRef>
          </c:val>
          <c:extLst>
            <c:ext xmlns:c16="http://schemas.microsoft.com/office/drawing/2014/chart" uri="{C3380CC4-5D6E-409C-BE32-E72D297353CC}">
              <c16:uniqueId val="{00000000-5C01-4D1C-9853-5F4AC0F181B4}"/>
            </c:ext>
          </c:extLst>
        </c:ser>
        <c:ser>
          <c:idx val="1"/>
          <c:order val="1"/>
          <c:tx>
            <c:v>Capital</c:v>
          </c:tx>
          <c:spPr>
            <a:effectLst>
              <a:outerShdw blurRad="50800" dist="12700" algn="l" rotWithShape="0">
                <a:prstClr val="black">
                  <a:alpha val="40000"/>
                </a:prstClr>
              </a:outerShdw>
            </a:effectLst>
          </c:spPr>
          <c:invertIfNegative val="0"/>
          <c:dLbls>
            <c:numFmt formatCode="\ #,##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Table'!$AK$2:$AT$2</c:f>
              <c:numCache>
                <c:formatCode>0_);\(0\)</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'BPA Costs Table'!$AK$4:$AT$4</c:f>
              <c:numCache>
                <c:formatCode>0.0_);\(0.0\)</c:formatCode>
                <c:ptCount val="10"/>
                <c:pt idx="0">
                  <c:v>21.373337419999999</c:v>
                </c:pt>
                <c:pt idx="1">
                  <c:v>16.02998393</c:v>
                </c:pt>
                <c:pt idx="2">
                  <c:v>5.4</c:v>
                </c:pt>
                <c:pt idx="3">
                  <c:v>30.668736860000003</c:v>
                </c:pt>
                <c:pt idx="4">
                  <c:v>22.312997709999998</c:v>
                </c:pt>
                <c:pt idx="5">
                  <c:v>40.184699219999999</c:v>
                </c:pt>
                <c:pt idx="6">
                  <c:v>41.9</c:v>
                </c:pt>
                <c:pt idx="7">
                  <c:v>16.119304669999998</c:v>
                </c:pt>
                <c:pt idx="8">
                  <c:v>14.6</c:v>
                </c:pt>
                <c:pt idx="9">
                  <c:v>27.8</c:v>
                </c:pt>
              </c:numCache>
            </c:numRef>
          </c:val>
          <c:extLst>
            <c:ext xmlns:c16="http://schemas.microsoft.com/office/drawing/2014/chart" uri="{C3380CC4-5D6E-409C-BE32-E72D297353CC}">
              <c16:uniqueId val="{00000001-5C01-4D1C-9853-5F4AC0F181B4}"/>
            </c:ext>
          </c:extLst>
        </c:ser>
        <c:dLbls>
          <c:showLegendKey val="0"/>
          <c:showVal val="0"/>
          <c:showCatName val="0"/>
          <c:showSerName val="0"/>
          <c:showPercent val="0"/>
          <c:showBubbleSize val="0"/>
        </c:dLbls>
        <c:gapWidth val="76"/>
        <c:axId val="483676240"/>
        <c:axId val="483676632"/>
      </c:barChart>
      <c:catAx>
        <c:axId val="483676240"/>
        <c:scaling>
          <c:orientation val="minMax"/>
        </c:scaling>
        <c:delete val="0"/>
        <c:axPos val="b"/>
        <c:numFmt formatCode="0_);\(0\)" sourceLinked="1"/>
        <c:majorTickMark val="out"/>
        <c:minorTickMark val="none"/>
        <c:tickLblPos val="nextTo"/>
        <c:crossAx val="483676632"/>
        <c:crosses val="autoZero"/>
        <c:auto val="1"/>
        <c:lblAlgn val="ctr"/>
        <c:lblOffset val="100"/>
        <c:tickLblSkip val="1"/>
        <c:tickMarkSkip val="1"/>
        <c:noMultiLvlLbl val="0"/>
      </c:catAx>
      <c:valAx>
        <c:axId val="483676632"/>
        <c:scaling>
          <c:orientation val="minMax"/>
          <c:min val="0"/>
        </c:scaling>
        <c:delete val="0"/>
        <c:axPos val="l"/>
        <c:majorGridlines>
          <c:spPr>
            <a:ln>
              <a:solidFill>
                <a:schemeClr val="bg1">
                  <a:lumMod val="65000"/>
                </a:schemeClr>
              </a:solidFill>
            </a:ln>
          </c:spPr>
        </c:majorGridlines>
        <c:title>
          <c:tx>
            <c:rich>
              <a:bodyPr/>
              <a:lstStyle/>
              <a:p>
                <a:pPr>
                  <a:defRPr b="0"/>
                </a:pPr>
                <a:r>
                  <a:rPr lang="en-US" b="0"/>
                  <a:t>(Millions)</a:t>
                </a:r>
              </a:p>
            </c:rich>
          </c:tx>
          <c:layout>
            <c:manualLayout>
              <c:xMode val="edge"/>
              <c:yMode val="edge"/>
              <c:x val="1.3119935893787999E-2"/>
              <c:y val="0.40957591922166875"/>
            </c:manualLayout>
          </c:layout>
          <c:overlay val="0"/>
        </c:title>
        <c:numFmt formatCode="&quot;$&quot;#,##0" sourceLinked="0"/>
        <c:majorTickMark val="out"/>
        <c:minorTickMark val="none"/>
        <c:tickLblPos val="nextTo"/>
        <c:spPr>
          <a:ln>
            <a:solidFill>
              <a:schemeClr val="bg1">
                <a:lumMod val="65000"/>
              </a:schemeClr>
            </a:solidFill>
          </a:ln>
        </c:spPr>
        <c:crossAx val="483676240"/>
        <c:crosses val="autoZero"/>
        <c:crossBetween val="between"/>
      </c:valAx>
      <c:spPr>
        <a:ln>
          <a:solidFill>
            <a:sysClr val="window" lastClr="FFFFFF">
              <a:lumMod val="65000"/>
            </a:sysClr>
          </a:solidFill>
        </a:ln>
      </c:spPr>
    </c:plotArea>
    <c:legend>
      <c:legendPos val="l"/>
      <c:layout>
        <c:manualLayout>
          <c:xMode val="edge"/>
          <c:yMode val="edge"/>
          <c:x val="0.12912743864277204"/>
          <c:y val="4.4988089714970016E-2"/>
          <c:w val="0.15055364245519021"/>
          <c:h val="5.614136799561132E-2"/>
        </c:manualLayout>
      </c:layout>
      <c:overlay val="0"/>
    </c:legend>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69040221885887"/>
          <c:y val="0.12389973326089201"/>
          <c:w val="0.57037494370507791"/>
          <c:h val="0.90055736595992586"/>
        </c:manualLayout>
      </c:layout>
      <c:pieChart>
        <c:varyColors val="1"/>
        <c:ser>
          <c:idx val="0"/>
          <c:order val="0"/>
          <c:spPr>
            <a:ln>
              <a:noFill/>
            </a:ln>
            <a:effectLst>
              <a:outerShdw blurRad="50800" dist="38100" dir="2700000" algn="tl" rotWithShape="0">
                <a:prstClr val="black">
                  <a:alpha val="40000"/>
                </a:prstClr>
              </a:outerShdw>
            </a:effectLst>
          </c:spPr>
          <c:dPt>
            <c:idx val="0"/>
            <c:bubble3D val="0"/>
            <c:spPr>
              <a:solidFill>
                <a:schemeClr val="accent6">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3BE0-4A11-8860-B248826CDFA7}"/>
              </c:ext>
            </c:extLst>
          </c:dPt>
          <c:dPt>
            <c:idx val="1"/>
            <c:bubble3D val="0"/>
            <c:spPr>
              <a:solidFill>
                <a:schemeClr val="tx2">
                  <a:lumMod val="40000"/>
                  <a:lumOff val="6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3BE0-4A11-8860-B248826CDFA7}"/>
              </c:ext>
            </c:extLst>
          </c:dPt>
          <c:dPt>
            <c:idx val="2"/>
            <c:bubble3D val="0"/>
            <c:spPr>
              <a:solidFill>
                <a:schemeClr val="accent3">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3BE0-4A11-8860-B248826CDFA7}"/>
              </c:ext>
            </c:extLst>
          </c:dPt>
          <c:dPt>
            <c:idx val="3"/>
            <c:bubble3D val="0"/>
            <c:spPr>
              <a:solidFill>
                <a:schemeClr val="bg1">
                  <a:lumMod val="85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3BE0-4A11-8860-B248826CDFA7}"/>
              </c:ext>
            </c:extLst>
          </c:dPt>
          <c:dPt>
            <c:idx val="4"/>
            <c:bubble3D val="0"/>
            <c:spPr>
              <a:solidFill>
                <a:schemeClr val="accent2">
                  <a:lumMod val="60000"/>
                  <a:lumOff val="40000"/>
                </a:schemeClr>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3BE0-4A11-8860-B248826CDFA7}"/>
              </c:ext>
            </c:extLst>
          </c:dPt>
          <c:dPt>
            <c:idx val="5"/>
            <c:bubble3D val="0"/>
            <c:spPr>
              <a:solidFill>
                <a:schemeClr val="accent6"/>
              </a:solidFill>
              <a:ln w="19050">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3BE0-4A11-8860-B248826CDFA7}"/>
              </c:ext>
            </c:extLst>
          </c:dPt>
          <c:dLbls>
            <c:dLbl>
              <c:idx val="0"/>
              <c:layout>
                <c:manualLayout>
                  <c:x val="-0.24454859215897898"/>
                  <c:y val="8.5490346280880758E-2"/>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ln>
                        <a:noFill/>
                      </a:ln>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803535786620768"/>
                      <c:h val="0.1600555913985045"/>
                    </c:manualLayout>
                  </c15:layout>
                </c:ext>
                <c:ext xmlns:c16="http://schemas.microsoft.com/office/drawing/2014/chart" uri="{C3380CC4-5D6E-409C-BE32-E72D297353CC}">
                  <c16:uniqueId val="{00000001-3BE0-4A11-8860-B248826CDFA7}"/>
                </c:ext>
              </c:extLst>
            </c:dLbl>
            <c:dLbl>
              <c:idx val="1"/>
              <c:layout>
                <c:manualLayout>
                  <c:x val="-0.13947524915518361"/>
                  <c:y val="-0.147626134481740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E0-4A11-8860-B248826CDFA7}"/>
                </c:ext>
              </c:extLst>
            </c:dLbl>
            <c:dLbl>
              <c:idx val="2"/>
              <c:layout>
                <c:manualLayout>
                  <c:x val="0.20558435836625868"/>
                  <c:y val="-0.16796027331487612"/>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5847436662863523"/>
                      <c:h val="0.16066696314888484"/>
                    </c:manualLayout>
                  </c15:layout>
                </c:ext>
                <c:ext xmlns:c16="http://schemas.microsoft.com/office/drawing/2014/chart" uri="{C3380CC4-5D6E-409C-BE32-E72D297353CC}">
                  <c16:uniqueId val="{00000005-3BE0-4A11-8860-B248826CDFA7}"/>
                </c:ext>
              </c:extLst>
            </c:dLbl>
            <c:dLbl>
              <c:idx val="3"/>
              <c:layout>
                <c:manualLayout>
                  <c:x val="5.2079220480502376E-2"/>
                  <c:y val="0.13293238141972266"/>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9.4587508975002149E-2"/>
                      <c:h val="0.13681953449671488"/>
                    </c:manualLayout>
                  </c15:layout>
                </c:ext>
                <c:ext xmlns:c16="http://schemas.microsoft.com/office/drawing/2014/chart" uri="{C3380CC4-5D6E-409C-BE32-E72D297353CC}">
                  <c16:uniqueId val="{00000007-3BE0-4A11-8860-B248826CDFA7}"/>
                </c:ext>
              </c:extLst>
            </c:dLbl>
            <c:dLbl>
              <c:idx val="4"/>
              <c:layout>
                <c:manualLayout>
                  <c:x val="0.10300880358705161"/>
                  <c:y val="2.214604685154474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E0-4A11-8860-B248826CDFA7}"/>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 F&amp;W Program Costs'!$A$17:$A$21</c:f>
              <c:strCache>
                <c:ptCount val="5"/>
                <c:pt idx="0">
                  <c:v>Annual Contracts</c:v>
                </c:pt>
                <c:pt idx="1">
                  <c:v>F&amp;W Program Implementation Support</c:v>
                </c:pt>
                <c:pt idx="2">
                  <c:v>Long Term Funding Agreements</c:v>
                </c:pt>
                <c:pt idx="3">
                  <c:v>G&amp;A</c:v>
                </c:pt>
                <c:pt idx="4">
                  <c:v>RDC</c:v>
                </c:pt>
              </c:strCache>
            </c:strRef>
          </c:cat>
          <c:val>
            <c:numRef>
              <c:f>'2 F&amp;W Program Costs'!$H$17:$H$21</c:f>
              <c:numCache>
                <c:formatCode>"$"#.#,,"M"</c:formatCode>
                <c:ptCount val="5"/>
                <c:pt idx="0">
                  <c:v>111617888</c:v>
                </c:pt>
                <c:pt idx="1">
                  <c:v>16134984</c:v>
                </c:pt>
                <c:pt idx="2">
                  <c:v>153124843</c:v>
                </c:pt>
                <c:pt idx="3" formatCode="&quot;$&quot;#,,&quot;M&quot;">
                  <c:v>14966548</c:v>
                </c:pt>
                <c:pt idx="4">
                  <c:v>2742281.89</c:v>
                </c:pt>
              </c:numCache>
            </c:numRef>
          </c:val>
          <c:extLst>
            <c:ext xmlns:c16="http://schemas.microsoft.com/office/drawing/2014/chart" uri="{C3380CC4-5D6E-409C-BE32-E72D297353CC}">
              <c16:uniqueId val="{0000000C-3BE0-4A11-8860-B248826CDFA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234061863762357E-2"/>
          <c:y val="2.5360283572800818E-2"/>
          <c:w val="0.83148758698740644"/>
          <c:h val="0.93435203073842577"/>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rgbClr val="4BACC6">
                  <a:lumMod val="40000"/>
                  <a:lumOff val="6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7AC-4531-B5AE-729C85665BAF}"/>
              </c:ext>
            </c:extLst>
          </c:dPt>
          <c:dPt>
            <c:idx val="1"/>
            <c:bubble3D val="0"/>
            <c:spPr>
              <a:solidFill>
                <a:srgbClr val="F7964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7AC-4531-B5AE-729C85665BAF}"/>
              </c:ext>
            </c:extLst>
          </c:dPt>
          <c:dPt>
            <c:idx val="2"/>
            <c:bubble3D val="0"/>
            <c:spPr>
              <a:solidFill>
                <a:srgbClr val="9BBB59">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57AC-4531-B5AE-729C85665BAF}"/>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7AC-4531-B5AE-729C85665BAF}"/>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7AC-4531-B5AE-729C85665BAF}"/>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7AC-4531-B5AE-729C85665BAF}"/>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7AC-4531-B5AE-729C85665BAF}"/>
              </c:ext>
            </c:extLst>
          </c:dPt>
          <c:dLbls>
            <c:dLbl>
              <c:idx val="0"/>
              <c:layout>
                <c:manualLayout>
                  <c:x val="-0.21446544066737591"/>
                  <c:y val="-0.19813978657491751"/>
                </c:manualLayout>
              </c:layout>
              <c:numFmt formatCode="0.0%" sourceLinked="0"/>
              <c:spPr>
                <a:noFill/>
                <a:ln cap="rnd">
                  <a:noFill/>
                </a:ln>
                <a:effectLst/>
              </c:spPr>
              <c:txPr>
                <a:bodyPr wrap="square" lIns="38100" tIns="19050" rIns="38100" bIns="19050" anchor="ctr">
                  <a:noAutofit/>
                </a:bodyPr>
                <a:lstStyle/>
                <a:p>
                  <a:pPr>
                    <a:defRPr sz="1200"/>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6122268148355648"/>
                      <c:h val="0.15128920697968223"/>
                    </c:manualLayout>
                  </c15:layout>
                </c:ext>
                <c:ext xmlns:c16="http://schemas.microsoft.com/office/drawing/2014/chart" uri="{C3380CC4-5D6E-409C-BE32-E72D297353CC}">
                  <c16:uniqueId val="{00000001-57AC-4531-B5AE-729C85665BAF}"/>
                </c:ext>
              </c:extLst>
            </c:dLbl>
            <c:dLbl>
              <c:idx val="1"/>
              <c:layout>
                <c:manualLayout>
                  <c:x val="0.14063125072294624"/>
                  <c:y val="6.7663650817653159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7AC-4531-B5AE-729C85665BAF}"/>
                </c:ext>
              </c:extLst>
            </c:dLbl>
            <c:dLbl>
              <c:idx val="2"/>
              <c:layout>
                <c:manualLayout>
                  <c:x val="0.13208396052723101"/>
                  <c:y val="0.1207206396128898"/>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57AC-4531-B5AE-729C85665BAF}"/>
                </c:ext>
              </c:extLst>
            </c:dLbl>
            <c:dLbl>
              <c:idx val="3"/>
              <c:layout>
                <c:manualLayout>
                  <c:x val="7.8407398413693138E-2"/>
                  <c:y val="6.7055682432684463E-2"/>
                </c:manualLayout>
              </c:layout>
              <c:numFmt formatCode="0.0%" sourceLinked="0"/>
              <c:spPr>
                <a:noFill/>
                <a:ln cap="rnd">
                  <a:noFill/>
                </a:ln>
                <a:effectLst/>
              </c:spPr>
              <c:txPr>
                <a:bodyPr wrap="square" lIns="38100" tIns="19050" rIns="38100" bIns="19050" anchor="ctr">
                  <a:noAutofit/>
                </a:bodyPr>
                <a:lstStyle/>
                <a:p>
                  <a:pPr>
                    <a:defRPr sz="1200"/>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8184715538102098"/>
                      <c:h val="0.18277997550379102"/>
                    </c:manualLayout>
                  </c15:layout>
                </c:ext>
                <c:ext xmlns:c16="http://schemas.microsoft.com/office/drawing/2014/chart" uri="{C3380CC4-5D6E-409C-BE32-E72D297353CC}">
                  <c16:uniqueId val="{00000006-57AC-4531-B5AE-729C85665BAF}"/>
                </c:ext>
              </c:extLst>
            </c:dLbl>
            <c:numFmt formatCode="0.0%" sourceLinked="0"/>
            <c:spPr>
              <a:noFill/>
              <a:ln cap="rnd">
                <a:noFill/>
              </a:ln>
              <a:effectLst/>
            </c:spPr>
            <c:txPr>
              <a:bodyPr wrap="square" lIns="38100" tIns="19050" rIns="38100" bIns="19050" anchor="ctr">
                <a:spAutoFit/>
              </a:bodyPr>
              <a:lstStyle/>
              <a:p>
                <a:pPr>
                  <a:defRPr sz="1200"/>
                </a:pPr>
                <a:endParaRPr lang="en-US"/>
              </a:p>
            </c:txPr>
            <c:dLblPos val="bestFit"/>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'3_SpeciesType'!$A$19:$A$22</c:f>
              <c:strCache>
                <c:ptCount val="3"/>
                <c:pt idx="0">
                  <c:v>Anadromous Fish</c:v>
                </c:pt>
                <c:pt idx="1">
                  <c:v>Resident Fish</c:v>
                </c:pt>
                <c:pt idx="2">
                  <c:v>Wildlife</c:v>
                </c:pt>
              </c:strCache>
            </c:strRef>
          </c:cat>
          <c:val>
            <c:numRef>
              <c:f>'3_SpeciesType'!$T$19:$T$22</c:f>
              <c:numCache>
                <c:formatCode>"$"#,##0</c:formatCode>
                <c:ptCount val="3"/>
                <c:pt idx="0">
                  <c:v>186822394</c:v>
                </c:pt>
                <c:pt idx="1">
                  <c:v>43443661</c:v>
                </c:pt>
                <c:pt idx="2">
                  <c:v>33778219</c:v>
                </c:pt>
              </c:numCache>
            </c:numRef>
          </c:val>
          <c:extLst>
            <c:ext xmlns:c16="http://schemas.microsoft.com/office/drawing/2014/chart" uri="{C3380CC4-5D6E-409C-BE32-E72D297353CC}">
              <c16:uniqueId val="{0000000D-57AC-4531-B5AE-729C85665BAF}"/>
            </c:ext>
          </c:extLst>
        </c:ser>
        <c:dLbls>
          <c:showLegendKey val="0"/>
          <c:showVal val="0"/>
          <c:showCatName val="0"/>
          <c:showSerName val="0"/>
          <c:showPercent val="0"/>
          <c:showBubbleSize val="0"/>
          <c:showLeaderLines val="0"/>
        </c:dLbls>
        <c:firstSliceAng val="0"/>
      </c:pieChart>
      <c:spPr>
        <a:effectLst/>
      </c:spPr>
    </c:plotArea>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14202439097738E-2"/>
          <c:y val="3.0141054194506311E-2"/>
          <c:w val="0.91057955419238712"/>
          <c:h val="0.85814610822500215"/>
        </c:manualLayout>
      </c:layout>
      <c:barChart>
        <c:barDir val="col"/>
        <c:grouping val="stacked"/>
        <c:varyColors val="0"/>
        <c:ser>
          <c:idx val="0"/>
          <c:order val="0"/>
          <c:tx>
            <c:strRef>
              <c:f>'4_FCRPS_CRS'!$V$3</c:f>
              <c:strCache>
                <c:ptCount val="1"/>
                <c:pt idx="0">
                  <c:v>FCRPS Expense</c:v>
                </c:pt>
              </c:strCache>
            </c:strRef>
          </c:tx>
          <c:spPr>
            <a:effectLst>
              <a:outerShdw blurRad="50800" dist="38100" algn="l" rotWithShape="0">
                <a:prstClr val="black">
                  <a:alpha val="40000"/>
                </a:prstClr>
              </a:outerShdw>
            </a:effectLst>
          </c:spPr>
          <c:invertIfNegative val="0"/>
          <c:dPt>
            <c:idx val="6"/>
            <c:invertIfNegative val="0"/>
            <c:bubble3D val="0"/>
            <c:spPr>
              <a:solidFill>
                <a:srgbClr val="9BBB59">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10-90F4-49AA-8F78-21DF3B869C27}"/>
              </c:ext>
            </c:extLst>
          </c:dPt>
          <c:dPt>
            <c:idx val="7"/>
            <c:invertIfNegative val="0"/>
            <c:bubble3D val="0"/>
            <c:spPr>
              <a:solidFill>
                <a:srgbClr val="9BBB59">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2-5AAD-4E4E-B5D3-3F7A6EB96208}"/>
              </c:ext>
            </c:extLst>
          </c:dPt>
          <c:dPt>
            <c:idx val="8"/>
            <c:invertIfNegative val="0"/>
            <c:bubble3D val="0"/>
            <c:spPr>
              <a:solidFill>
                <a:srgbClr val="9BBB59">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4-5AAD-4E4E-B5D3-3F7A6EB96208}"/>
              </c:ext>
            </c:extLst>
          </c:dPt>
          <c:dPt>
            <c:idx val="9"/>
            <c:invertIfNegative val="0"/>
            <c:bubble3D val="0"/>
            <c:spPr>
              <a:solidFill>
                <a:srgbClr val="9BBB59">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6-5AAD-4E4E-B5D3-3F7A6EB96208}"/>
              </c:ext>
            </c:extLst>
          </c:dPt>
          <c:dPt>
            <c:idx val="10"/>
            <c:invertIfNegative val="0"/>
            <c:bubble3D val="0"/>
            <c:spPr>
              <a:solidFill>
                <a:srgbClr val="9BBB59">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C-3C84-4178-99AE-BF68C3E6DB5E}"/>
              </c:ext>
            </c:extLst>
          </c:dPt>
          <c:cat>
            <c:numRef>
              <c:f>'4_FCRPS_CRS'!$J$3:$T$3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'4_FCRPS_CRS'!$B$4:$T$4</c:f>
              <c:numCache>
                <c:formatCode>"$"#,##0</c:formatCode>
                <c:ptCount val="10"/>
                <c:pt idx="0">
                  <c:v>165362220.78999999</c:v>
                </c:pt>
                <c:pt idx="1">
                  <c:v>159987743.56999999</c:v>
                </c:pt>
                <c:pt idx="2">
                  <c:v>156828472.72999999</c:v>
                </c:pt>
                <c:pt idx="3">
                  <c:v>153679667</c:v>
                </c:pt>
                <c:pt idx="4">
                  <c:v>137887504</c:v>
                </c:pt>
                <c:pt idx="5">
                  <c:v>132646392</c:v>
                </c:pt>
                <c:pt idx="6">
                  <c:v>126070279.08</c:v>
                </c:pt>
                <c:pt idx="7">
                  <c:v>121728287.82999998</c:v>
                </c:pt>
                <c:pt idx="8">
                  <c:v>127853479.86000001</c:v>
                </c:pt>
                <c:pt idx="9">
                  <c:v>139158792</c:v>
                </c:pt>
              </c:numCache>
            </c:numRef>
          </c:val>
          <c:extLst>
            <c:ext xmlns:c16="http://schemas.microsoft.com/office/drawing/2014/chart" uri="{C3380CC4-5D6E-409C-BE32-E72D297353CC}">
              <c16:uniqueId val="{00000000-5AAD-4E4E-B5D3-3F7A6EB96208}"/>
            </c:ext>
          </c:extLst>
        </c:ser>
        <c:ser>
          <c:idx val="1"/>
          <c:order val="1"/>
          <c:tx>
            <c:strRef>
              <c:f>'4_FCRPS_CRS'!$V$4</c:f>
              <c:strCache>
                <c:ptCount val="1"/>
                <c:pt idx="0">
                  <c:v>FCRPS Capital</c:v>
                </c:pt>
              </c:strCache>
            </c:strRef>
          </c:tx>
          <c:spPr>
            <a:effectLst>
              <a:outerShdw blurRad="50800" dist="38100" algn="l" rotWithShape="0">
                <a:prstClr val="black">
                  <a:alpha val="40000"/>
                </a:prstClr>
              </a:outerShdw>
            </a:effectLst>
          </c:spPr>
          <c:invertIfNegative val="0"/>
          <c:dPt>
            <c:idx val="6"/>
            <c:invertIfNegative val="0"/>
            <c:bubble3D val="0"/>
            <c:spPr>
              <a:solidFill>
                <a:srgbClr val="8064A2">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11-90F4-49AA-8F78-21DF3B869C27}"/>
              </c:ext>
            </c:extLst>
          </c:dPt>
          <c:dPt>
            <c:idx val="7"/>
            <c:invertIfNegative val="0"/>
            <c:bubble3D val="0"/>
            <c:spPr>
              <a:solidFill>
                <a:srgbClr val="8064A2">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3-5AAD-4E4E-B5D3-3F7A6EB96208}"/>
              </c:ext>
            </c:extLst>
          </c:dPt>
          <c:dPt>
            <c:idx val="8"/>
            <c:invertIfNegative val="0"/>
            <c:bubble3D val="0"/>
            <c:spPr>
              <a:solidFill>
                <a:srgbClr val="8064A2">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5-5AAD-4E4E-B5D3-3F7A6EB96208}"/>
              </c:ext>
            </c:extLst>
          </c:dPt>
          <c:dPt>
            <c:idx val="9"/>
            <c:invertIfNegative val="0"/>
            <c:bubble3D val="0"/>
            <c:spPr>
              <a:solidFill>
                <a:srgbClr val="8064A2">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7-5AAD-4E4E-B5D3-3F7A6EB96208}"/>
              </c:ext>
            </c:extLst>
          </c:dPt>
          <c:dPt>
            <c:idx val="10"/>
            <c:invertIfNegative val="0"/>
            <c:bubble3D val="0"/>
            <c:spPr>
              <a:solidFill>
                <a:srgbClr val="8064A2">
                  <a:lumMod val="75000"/>
                </a:srgbClr>
              </a:solidFill>
              <a:effectLst>
                <a:outerShdw blurRad="50800" dist="38100" algn="l" rotWithShape="0">
                  <a:prstClr val="black">
                    <a:alpha val="40000"/>
                  </a:prstClr>
                </a:outerShdw>
              </a:effectLst>
            </c:spPr>
            <c:extLst>
              <c:ext xmlns:c16="http://schemas.microsoft.com/office/drawing/2014/chart" uri="{C3380CC4-5D6E-409C-BE32-E72D297353CC}">
                <c16:uniqueId val="{0000000D-3C84-4178-99AE-BF68C3E6DB5E}"/>
              </c:ext>
            </c:extLst>
          </c:dPt>
          <c:cat>
            <c:numRef>
              <c:f>'4_FCRPS_CRS'!$J$3:$T$3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'4_FCRPS_CRS'!$B$5:$T$5</c:f>
              <c:numCache>
                <c:formatCode>"$"#,##0</c:formatCode>
                <c:ptCount val="10"/>
                <c:pt idx="0">
                  <c:v>7703153.2699999996</c:v>
                </c:pt>
                <c:pt idx="1">
                  <c:v>1249955.1399999999</c:v>
                </c:pt>
                <c:pt idx="2">
                  <c:v>-396792.47</c:v>
                </c:pt>
                <c:pt idx="3">
                  <c:v>25343</c:v>
                </c:pt>
                <c:pt idx="4">
                  <c:v>1470148</c:v>
                </c:pt>
                <c:pt idx="5">
                  <c:v>8024833</c:v>
                </c:pt>
                <c:pt idx="6">
                  <c:v>9332114.2800000012</c:v>
                </c:pt>
                <c:pt idx="7">
                  <c:v>3005982.87</c:v>
                </c:pt>
                <c:pt idx="8">
                  <c:v>1458117.04</c:v>
                </c:pt>
                <c:pt idx="9">
                  <c:v>5252226</c:v>
                </c:pt>
              </c:numCache>
            </c:numRef>
          </c:val>
          <c:extLst>
            <c:ext xmlns:c16="http://schemas.microsoft.com/office/drawing/2014/chart" uri="{C3380CC4-5D6E-409C-BE32-E72D297353CC}">
              <c16:uniqueId val="{00000001-5AAD-4E4E-B5D3-3F7A6EB96208}"/>
            </c:ext>
          </c:extLst>
        </c:ser>
        <c:ser>
          <c:idx val="2"/>
          <c:order val="2"/>
          <c:tx>
            <c:strRef>
              <c:f>'4_FCRPS_CRS'!$V$5</c:f>
              <c:strCache>
                <c:ptCount val="1"/>
                <c:pt idx="0">
                  <c:v>CRS Expense</c:v>
                </c:pt>
              </c:strCache>
            </c:strRef>
          </c:tx>
          <c:invertIfNegative val="0"/>
          <c:val>
            <c:numLit>
              <c:formatCode>General</c:formatCode>
              <c:ptCount val="1"/>
              <c:pt idx="0">
                <c:v>1</c:v>
              </c:pt>
            </c:numLit>
          </c:val>
          <c:extLst>
            <c:ext xmlns:c16="http://schemas.microsoft.com/office/drawing/2014/chart" uri="{C3380CC4-5D6E-409C-BE32-E72D297353CC}">
              <c16:uniqueId val="{0000000A-5AAD-4E4E-B5D3-3F7A6EB96208}"/>
            </c:ext>
          </c:extLst>
        </c:ser>
        <c:ser>
          <c:idx val="3"/>
          <c:order val="3"/>
          <c:tx>
            <c:strRef>
              <c:f>'4_FCRPS_CRS'!$V$6</c:f>
              <c:strCache>
                <c:ptCount val="1"/>
                <c:pt idx="0">
                  <c:v>CRS Capital</c:v>
                </c:pt>
              </c:strCache>
            </c:strRef>
          </c:tx>
          <c:invertIfNegative val="0"/>
          <c:val>
            <c:numLit>
              <c:formatCode>General</c:formatCode>
              <c:ptCount val="1"/>
              <c:pt idx="0">
                <c:v>1</c:v>
              </c:pt>
            </c:numLit>
          </c:val>
          <c:extLst>
            <c:ext xmlns:c16="http://schemas.microsoft.com/office/drawing/2014/chart" uri="{C3380CC4-5D6E-409C-BE32-E72D297353CC}">
              <c16:uniqueId val="{0000000B-5AAD-4E4E-B5D3-3F7A6EB96208}"/>
            </c:ext>
          </c:extLst>
        </c:ser>
        <c:dLbls>
          <c:showLegendKey val="0"/>
          <c:showVal val="0"/>
          <c:showCatName val="0"/>
          <c:showSerName val="0"/>
          <c:showPercent val="0"/>
          <c:showBubbleSize val="0"/>
        </c:dLbls>
        <c:gapWidth val="76"/>
        <c:overlap val="100"/>
        <c:axId val="483676240"/>
        <c:axId val="483676632"/>
      </c:barChart>
      <c:catAx>
        <c:axId val="483676240"/>
        <c:scaling>
          <c:orientation val="minMax"/>
        </c:scaling>
        <c:delete val="0"/>
        <c:axPos val="b"/>
        <c:numFmt formatCode="0" sourceLinked="0"/>
        <c:majorTickMark val="out"/>
        <c:minorTickMark val="none"/>
        <c:tickLblPos val="nextTo"/>
        <c:crossAx val="483676632"/>
        <c:crosses val="autoZero"/>
        <c:auto val="1"/>
        <c:lblAlgn val="ctr"/>
        <c:lblOffset val="100"/>
        <c:noMultiLvlLbl val="0"/>
      </c:catAx>
      <c:valAx>
        <c:axId val="483676632"/>
        <c:scaling>
          <c:orientation val="minMax"/>
          <c:min val="0"/>
        </c:scaling>
        <c:delete val="0"/>
        <c:axPos val="l"/>
        <c:majorGridlines>
          <c:spPr>
            <a:ln>
              <a:solidFill>
                <a:schemeClr val="bg1">
                  <a:lumMod val="65000"/>
                </a:schemeClr>
              </a:solidFill>
            </a:ln>
          </c:spPr>
        </c:majorGridlines>
        <c:numFmt formatCode="&quot;$&quot;#,##0,," sourceLinked="0"/>
        <c:majorTickMark val="out"/>
        <c:minorTickMark val="none"/>
        <c:tickLblPos val="nextTo"/>
        <c:spPr>
          <a:ln>
            <a:solidFill>
              <a:schemeClr val="bg1">
                <a:lumMod val="65000"/>
              </a:schemeClr>
            </a:solidFill>
          </a:ln>
        </c:spPr>
        <c:crossAx val="483676240"/>
        <c:crosses val="autoZero"/>
        <c:crossBetween val="between"/>
      </c:valAx>
      <c:spPr>
        <a:ln>
          <a:solidFill>
            <a:sysClr val="window" lastClr="FFFFFF">
              <a:lumMod val="65000"/>
            </a:sysClr>
          </a:solidFill>
        </a:ln>
      </c:spPr>
    </c:plotArea>
    <c:legend>
      <c:legendPos val="b"/>
      <c:layout>
        <c:manualLayout>
          <c:xMode val="edge"/>
          <c:yMode val="edge"/>
          <c:x val="0.46145028672323918"/>
          <c:y val="0.12693618525425568"/>
          <c:w val="0.4194088112713561"/>
          <c:h val="5.8024729101453391E-2"/>
        </c:manualLayout>
      </c:layout>
      <c:overlay val="0"/>
    </c:legend>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mn-lt"/>
          <a:ea typeface="+mn-ea"/>
          <a:cs typeface="+mn-cs"/>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5843082794508149"/>
          <c:y val="2.6689278861235052E-2"/>
          <c:w val="0.72454752175714343"/>
          <c:h val="0.88638960235162068"/>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'5_ESASpecies'!$A$3:$A$18</c:f>
              <c:strCache>
                <c:ptCount val="16"/>
                <c:pt idx="0">
                  <c:v>Cutthroat Trout, Lahontan (Threatened)</c:v>
                </c:pt>
                <c:pt idx="1">
                  <c:v>Chum - Columbia River ESU (Threatened)</c:v>
                </c:pt>
                <c:pt idx="2">
                  <c:v>Steelhead - Upper Willamette River DPS (Threatened)</c:v>
                </c:pt>
                <c:pt idx="3">
                  <c:v>Chinook - Upper Willamette River ESU (Threatened)</c:v>
                </c:pt>
                <c:pt idx="4">
                  <c:v>Coho - Lower Columbia River ESU (Threatened)</c:v>
                </c:pt>
                <c:pt idx="5">
                  <c:v>Steelhead - Lower Columbia River DPS (Threatened)</c:v>
                </c:pt>
                <c:pt idx="6">
                  <c:v>Chinook - Lower Columbia River ESU (Threatened)</c:v>
                </c:pt>
                <c:pt idx="7">
                  <c:v>Sockeye - Snake River ESU (Endangered)</c:v>
                </c:pt>
                <c:pt idx="8">
                  <c:v>Sturgeon, White - Kootenai River DPS (Endangered)</c:v>
                </c:pt>
                <c:pt idx="9">
                  <c:v>Chinook - Snake River Fall ESU (Threatened)</c:v>
                </c:pt>
                <c:pt idx="10">
                  <c:v>Trout, Bull (Threatened)</c:v>
                </c:pt>
                <c:pt idx="11">
                  <c:v>Steelhead - Upper Columbia River DPS (Threatened)</c:v>
                </c:pt>
                <c:pt idx="12">
                  <c:v>Chinook - Upper Columbia River Spring ESU (Endangered)</c:v>
                </c:pt>
                <c:pt idx="13">
                  <c:v>Steelhead - Snake River DPS (Threatened)</c:v>
                </c:pt>
                <c:pt idx="14">
                  <c:v>Chinook - Snake River Spring/Summer ESU (Threatened)</c:v>
                </c:pt>
                <c:pt idx="15">
                  <c:v>Steelhead - Middle Columbia River DPS (Threatened)</c:v>
                </c:pt>
              </c:strCache>
            </c:strRef>
          </c:cat>
          <c:val>
            <c:numRef>
              <c:f>'5_ESASpecies'!$B$3:$B$18</c:f>
              <c:numCache>
                <c:formatCode>"$"#,##0_);[Red]\("$"#,##0\)</c:formatCode>
                <c:ptCount val="16"/>
                <c:pt idx="0">
                  <c:v>1800487</c:v>
                </c:pt>
                <c:pt idx="1">
                  <c:v>3928169</c:v>
                </c:pt>
                <c:pt idx="2">
                  <c:v>3915796</c:v>
                </c:pt>
                <c:pt idx="3">
                  <c:v>4576134</c:v>
                </c:pt>
                <c:pt idx="4">
                  <c:v>4794979</c:v>
                </c:pt>
                <c:pt idx="5">
                  <c:v>5244825</c:v>
                </c:pt>
                <c:pt idx="6">
                  <c:v>5649016</c:v>
                </c:pt>
                <c:pt idx="7">
                  <c:v>9033419</c:v>
                </c:pt>
                <c:pt idx="8">
                  <c:v>9974006</c:v>
                </c:pt>
                <c:pt idx="9">
                  <c:v>11390975</c:v>
                </c:pt>
                <c:pt idx="10">
                  <c:v>15516215</c:v>
                </c:pt>
                <c:pt idx="11">
                  <c:v>16801504</c:v>
                </c:pt>
                <c:pt idx="12">
                  <c:v>18275802</c:v>
                </c:pt>
                <c:pt idx="13">
                  <c:v>24805593</c:v>
                </c:pt>
                <c:pt idx="14">
                  <c:v>25337281</c:v>
                </c:pt>
                <c:pt idx="15">
                  <c:v>34421525</c:v>
                </c:pt>
              </c:numCache>
            </c:numRef>
          </c:val>
          <c:extLst>
            <c:ext xmlns:c16="http://schemas.microsoft.com/office/drawing/2014/chart" uri="{C3380CC4-5D6E-409C-BE32-E72D297353CC}">
              <c16:uniqueId val="{00000000-2EE0-4D6F-8525-41EE350B64FB}"/>
            </c:ext>
          </c:extLst>
        </c:ser>
        <c:ser>
          <c:idx val="1"/>
          <c:order val="1"/>
          <c:tx>
            <c:v>Capital Total Spending</c:v>
          </c:tx>
          <c:spPr>
            <a:effectLst>
              <a:outerShdw blurRad="50800" dist="38100" dir="5400000" algn="t" rotWithShape="0">
                <a:prstClr val="black">
                  <a:alpha val="40000"/>
                </a:prstClr>
              </a:outerShdw>
            </a:effectLst>
          </c:spPr>
          <c:invertIfNegative val="0"/>
          <c:cat>
            <c:strRef>
              <c:f>'5_ESASpecies'!$A$3:$A$18</c:f>
              <c:strCache>
                <c:ptCount val="16"/>
                <c:pt idx="0">
                  <c:v>Cutthroat Trout, Lahontan (Threatened)</c:v>
                </c:pt>
                <c:pt idx="1">
                  <c:v>Chum - Columbia River ESU (Threatened)</c:v>
                </c:pt>
                <c:pt idx="2">
                  <c:v>Steelhead - Upper Willamette River DPS (Threatened)</c:v>
                </c:pt>
                <c:pt idx="3">
                  <c:v>Chinook - Upper Willamette River ESU (Threatened)</c:v>
                </c:pt>
                <c:pt idx="4">
                  <c:v>Coho - Lower Columbia River ESU (Threatened)</c:v>
                </c:pt>
                <c:pt idx="5">
                  <c:v>Steelhead - Lower Columbia River DPS (Threatened)</c:v>
                </c:pt>
                <c:pt idx="6">
                  <c:v>Chinook - Lower Columbia River ESU (Threatened)</c:v>
                </c:pt>
                <c:pt idx="7">
                  <c:v>Sockeye - Snake River ESU (Endangered)</c:v>
                </c:pt>
                <c:pt idx="8">
                  <c:v>Sturgeon, White - Kootenai River DPS (Endangered)</c:v>
                </c:pt>
                <c:pt idx="9">
                  <c:v>Chinook - Snake River Fall ESU (Threatened)</c:v>
                </c:pt>
                <c:pt idx="10">
                  <c:v>Trout, Bull (Threatened)</c:v>
                </c:pt>
                <c:pt idx="11">
                  <c:v>Steelhead - Upper Columbia River DPS (Threatened)</c:v>
                </c:pt>
                <c:pt idx="12">
                  <c:v>Chinook - Upper Columbia River Spring ESU (Endangered)</c:v>
                </c:pt>
                <c:pt idx="13">
                  <c:v>Steelhead - Snake River DPS (Threatened)</c:v>
                </c:pt>
                <c:pt idx="14">
                  <c:v>Chinook - Snake River Spring/Summer ESU (Threatened)</c:v>
                </c:pt>
                <c:pt idx="15">
                  <c:v>Steelhead - Middle Columbia River DPS (Threatened)</c:v>
                </c:pt>
              </c:strCache>
            </c:strRef>
          </c:cat>
          <c:val>
            <c:numRef>
              <c:f>'5_ESASpecies'!$C$3:$C$18</c:f>
              <c:numCache>
                <c:formatCode>"$"#,##0_);[Red]\("$"#,##0\)</c:formatCode>
                <c:ptCount val="16"/>
                <c:pt idx="0">
                  <c:v>0</c:v>
                </c:pt>
                <c:pt idx="1">
                  <c:v>110631</c:v>
                </c:pt>
                <c:pt idx="2">
                  <c:v>169123</c:v>
                </c:pt>
                <c:pt idx="3">
                  <c:v>169123</c:v>
                </c:pt>
                <c:pt idx="4">
                  <c:v>110631</c:v>
                </c:pt>
                <c:pt idx="5">
                  <c:v>169123</c:v>
                </c:pt>
                <c:pt idx="6">
                  <c:v>169123</c:v>
                </c:pt>
                <c:pt idx="7">
                  <c:v>0</c:v>
                </c:pt>
                <c:pt idx="8">
                  <c:v>0</c:v>
                </c:pt>
                <c:pt idx="9">
                  <c:v>169123</c:v>
                </c:pt>
                <c:pt idx="10">
                  <c:v>2537578</c:v>
                </c:pt>
                <c:pt idx="11">
                  <c:v>1422919</c:v>
                </c:pt>
                <c:pt idx="12">
                  <c:v>699488</c:v>
                </c:pt>
                <c:pt idx="13">
                  <c:v>169123</c:v>
                </c:pt>
                <c:pt idx="14">
                  <c:v>169123</c:v>
                </c:pt>
                <c:pt idx="15">
                  <c:v>1440362</c:v>
                </c:pt>
              </c:numCache>
            </c:numRef>
          </c:val>
          <c:extLst>
            <c:ext xmlns:c16="http://schemas.microsoft.com/office/drawing/2014/chart" uri="{C3380CC4-5D6E-409C-BE32-E72D297353CC}">
              <c16:uniqueId val="{00000001-2EE0-4D6F-8525-41EE350B64FB}"/>
            </c:ext>
          </c:extLst>
        </c:ser>
        <c:dLbls>
          <c:showLegendKey val="0"/>
          <c:showVal val="0"/>
          <c:showCatName val="0"/>
          <c:showSerName val="0"/>
          <c:showPercent val="0"/>
          <c:showBubbleSize val="0"/>
        </c:dLbls>
        <c:gapWidth val="76"/>
        <c:overlap val="100"/>
        <c:axId val="483677416"/>
        <c:axId val="483677808"/>
      </c:barChart>
      <c:catAx>
        <c:axId val="483677416"/>
        <c:scaling>
          <c:orientation val="minMax"/>
        </c:scaling>
        <c:delete val="0"/>
        <c:axPos val="l"/>
        <c:numFmt formatCode="General" sourceLinked="1"/>
        <c:majorTickMark val="out"/>
        <c:minorTickMark val="none"/>
        <c:tickLblPos val="nextTo"/>
        <c:crossAx val="483677808"/>
        <c:crosses val="autoZero"/>
        <c:auto val="1"/>
        <c:lblAlgn val="ctr"/>
        <c:lblOffset val="100"/>
        <c:noMultiLvlLbl val="0"/>
      </c:catAx>
      <c:valAx>
        <c:axId val="483677808"/>
        <c:scaling>
          <c:orientation val="minMax"/>
          <c:min val="0"/>
        </c:scaling>
        <c:delete val="0"/>
        <c:axPos val="b"/>
        <c:majorGridlines>
          <c:spPr>
            <a:ln>
              <a:solidFill>
                <a:schemeClr val="bg1">
                  <a:lumMod val="65000"/>
                </a:schemeClr>
              </a:solidFill>
            </a:ln>
          </c:spPr>
        </c:majorGridlines>
        <c:title>
          <c:tx>
            <c:rich>
              <a:bodyPr rot="0" vert="horz"/>
              <a:lstStyle/>
              <a:p>
                <a:pPr>
                  <a:defRPr/>
                </a:pPr>
                <a:r>
                  <a:rPr lang="en-US"/>
                  <a:t>(Millions)</a:t>
                </a:r>
              </a:p>
            </c:rich>
          </c:tx>
          <c:overlay val="0"/>
        </c:title>
        <c:numFmt formatCode="&quot;$&quot;#,##0,," sourceLinked="0"/>
        <c:majorTickMark val="out"/>
        <c:minorTickMark val="none"/>
        <c:tickLblPos val="nextTo"/>
        <c:spPr>
          <a:ln>
            <a:solidFill>
              <a:schemeClr val="bg1">
                <a:lumMod val="65000"/>
              </a:schemeClr>
            </a:solidFill>
          </a:ln>
        </c:spPr>
        <c:crossAx val="483677416"/>
        <c:crosses val="autoZero"/>
        <c:crossBetween val="between"/>
        <c:majorUnit val="10000000"/>
      </c:valAx>
      <c:spPr>
        <a:ln>
          <a:solidFill>
            <a:sysClr val="window" lastClr="FFFFFF">
              <a:lumMod val="65000"/>
            </a:sysClr>
          </a:solidFill>
        </a:ln>
      </c:spPr>
    </c:plotArea>
    <c:legend>
      <c:legendPos val="l"/>
      <c:layout>
        <c:manualLayout>
          <c:xMode val="edge"/>
          <c:yMode val="edge"/>
          <c:x val="0.40750072210160959"/>
          <c:y val="0.52363264591002889"/>
          <c:w val="0.17513667068092667"/>
          <c:h val="0.1391148301515045"/>
        </c:manualLayout>
      </c:layout>
      <c:overlay val="0"/>
      <c:spPr>
        <a:noFill/>
      </c:spPr>
    </c:legend>
    <c:plotVisOnly val="1"/>
    <c:dispBlanksAs val="gap"/>
    <c:showDLblsOverMax val="0"/>
  </c:chart>
  <c:spPr>
    <a:solidFill>
      <a:sysClr val="window" lastClr="FFFFFF"/>
    </a:solidFill>
    <a:ln w="25400" cap="flat" cmpd="sng" algn="ctr">
      <a:noFill/>
      <a:prstDash val="solid"/>
    </a:ln>
    <a:effectLst/>
  </c:spPr>
  <c:txPr>
    <a:bodyPr/>
    <a:lstStyle/>
    <a:p>
      <a:pPr>
        <a:defRPr sz="1100">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319338237115897"/>
          <c:y val="0.16999202884485873"/>
          <c:w val="0.44350157218900266"/>
          <c:h val="0.7785426418683821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accent1"/>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0A5C-4DC7-8F1A-219DE91BC20B}"/>
              </c:ext>
            </c:extLst>
          </c:dPt>
          <c:dPt>
            <c:idx val="1"/>
            <c:bubble3D val="0"/>
            <c:spPr>
              <a:solidFill>
                <a:schemeClr val="accent2"/>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0A5C-4DC7-8F1A-219DE91BC20B}"/>
              </c:ext>
            </c:extLst>
          </c:dPt>
          <c:dPt>
            <c:idx val="2"/>
            <c:bubble3D val="0"/>
            <c:spPr>
              <a:solidFill>
                <a:schemeClr val="accent3"/>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0A5C-4DC7-8F1A-219DE91BC20B}"/>
              </c:ext>
            </c:extLst>
          </c:dPt>
          <c:dPt>
            <c:idx val="3"/>
            <c:bubble3D val="0"/>
            <c:spPr>
              <a:solidFill>
                <a:schemeClr val="accent4"/>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0A5C-4DC7-8F1A-219DE91BC20B}"/>
              </c:ext>
            </c:extLst>
          </c:dPt>
          <c:dPt>
            <c:idx val="4"/>
            <c:bubble3D val="0"/>
            <c:spPr>
              <a:solidFill>
                <a:schemeClr val="accent5"/>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0A5C-4DC7-8F1A-219DE91BC20B}"/>
              </c:ext>
            </c:extLst>
          </c:dPt>
          <c:dPt>
            <c:idx val="5"/>
            <c:bubble3D val="0"/>
            <c:spPr>
              <a:solidFill>
                <a:schemeClr val="accent6"/>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A-0A5C-4DC7-8F1A-219DE91BC20B}"/>
              </c:ext>
            </c:extLst>
          </c:dPt>
          <c:dPt>
            <c:idx val="6"/>
            <c:bubble3D val="0"/>
            <c:spPr>
              <a:solidFill>
                <a:schemeClr val="accent3">
                  <a:lumMod val="60000"/>
                  <a:lumOff val="40000"/>
                </a:schemeClr>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C-0A5C-4DC7-8F1A-219DE91BC20B}"/>
              </c:ext>
            </c:extLst>
          </c:dPt>
          <c:dPt>
            <c:idx val="7"/>
            <c:bubble3D val="0"/>
            <c:spPr>
              <a:solidFill>
                <a:schemeClr val="accent2">
                  <a:lumMod val="60000"/>
                </a:schemeClr>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0A5C-4DC7-8F1A-219DE91BC20B}"/>
              </c:ext>
            </c:extLst>
          </c:dPt>
          <c:dPt>
            <c:idx val="8"/>
            <c:bubble3D val="0"/>
            <c:spPr>
              <a:solidFill>
                <a:schemeClr val="accent3">
                  <a:lumMod val="60000"/>
                </a:schemeClr>
              </a:solidFill>
              <a:ln>
                <a:no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E-0A5C-4DC7-8F1A-219DE91BC20B}"/>
              </c:ext>
            </c:extLst>
          </c:dPt>
          <c:dLbls>
            <c:dLbl>
              <c:idx val="0"/>
              <c:layout>
                <c:manualLayout>
                  <c:x val="-0.23300819573573178"/>
                  <c:y val="-1.8905499511361588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0A5C-4DC7-8F1A-219DE91BC20B}"/>
                </c:ext>
              </c:extLst>
            </c:dLbl>
            <c:dLbl>
              <c:idx val="1"/>
              <c:layout>
                <c:manualLayout>
                  <c:x val="3.1932269454368549E-2"/>
                  <c:y val="-8.9909648542332438E-3"/>
                </c:manualLayout>
              </c:layout>
              <c:numFmt formatCode="0%" sourceLinked="0"/>
              <c:spPr>
                <a:noFill/>
                <a:ln cap="rnd">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849391395375755"/>
                      <c:h val="0.1603250026136265"/>
                    </c:manualLayout>
                  </c15:layout>
                </c:ext>
                <c:ext xmlns:c16="http://schemas.microsoft.com/office/drawing/2014/chart" uri="{C3380CC4-5D6E-409C-BE32-E72D297353CC}">
                  <c16:uniqueId val="{00000003-0A5C-4DC7-8F1A-219DE91BC20B}"/>
                </c:ext>
              </c:extLst>
            </c:dLbl>
            <c:dLbl>
              <c:idx val="2"/>
              <c:layout>
                <c:manualLayout>
                  <c:x val="0.17864392477426508"/>
                  <c:y val="5.057281367076355E-2"/>
                </c:manualLayout>
              </c:layout>
              <c:numFmt formatCode="0%" sourceLinked="0"/>
              <c:spPr>
                <a:noFill/>
                <a:ln cap="rnd">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1978101131938041"/>
                      <c:h val="0.18048586757437277"/>
                    </c:manualLayout>
                  </c15:layout>
                </c:ext>
                <c:ext xmlns:c16="http://schemas.microsoft.com/office/drawing/2014/chart" uri="{C3380CC4-5D6E-409C-BE32-E72D297353CC}">
                  <c16:uniqueId val="{00000004-0A5C-4DC7-8F1A-219DE91BC20B}"/>
                </c:ext>
              </c:extLst>
            </c:dLbl>
            <c:dLbl>
              <c:idx val="3"/>
              <c:layout>
                <c:manualLayout>
                  <c:x val="0.10430941395347784"/>
                  <c:y val="0.1573343022157172"/>
                </c:manualLayout>
              </c:layout>
              <c:spPr>
                <a:xfrm>
                  <a:off x="5092514" y="982640"/>
                  <a:ext cx="2031935" cy="586850"/>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ellipsis" vert="horz" wrap="square" anchor="ctr" anchorCtr="1"/>
                <a:lstStyle/>
                <a:p>
                  <a:pPr>
                    <a:defRPr sz="105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borderCallout1">
                      <a:avLst>
                        <a:gd name="adj1" fmla="val 51211"/>
                        <a:gd name="adj2" fmla="val 227"/>
                        <a:gd name="adj3" fmla="val -25435"/>
                        <a:gd name="adj4" fmla="val -46905"/>
                      </a:avLst>
                    </a:prstGeom>
                    <a:noFill/>
                    <a:ln>
                      <a:noFill/>
                    </a:ln>
                  </c15:spPr>
                  <c15:layout>
                    <c:manualLayout>
                      <c:w val="0.28310712041008546"/>
                      <c:h val="0.14514067285126953"/>
                    </c:manualLayout>
                  </c15:layout>
                </c:ext>
                <c:ext xmlns:c16="http://schemas.microsoft.com/office/drawing/2014/chart" uri="{C3380CC4-5D6E-409C-BE32-E72D297353CC}">
                  <c16:uniqueId val="{00000006-0A5C-4DC7-8F1A-219DE91BC20B}"/>
                </c:ext>
              </c:extLst>
            </c:dLbl>
            <c:dLbl>
              <c:idx val="4"/>
              <c:layout>
                <c:manualLayout>
                  <c:x val="0.11129437316827259"/>
                  <c:y val="0.22211505944589155"/>
                </c:manualLayout>
              </c:layout>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rot="0" spcFirstLastPara="1" vertOverflow="ellipsis" vert="horz" wrap="square" anchor="ctr" anchorCtr="1"/>
                <a:lstStyle/>
                <a:p>
                  <a:pPr>
                    <a:defRPr sz="105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borderCallout1">
                      <a:avLst>
                        <a:gd name="adj1" fmla="val 54968"/>
                        <a:gd name="adj2" fmla="val 0"/>
                        <a:gd name="adj3" fmla="val -135896"/>
                        <a:gd name="adj4" fmla="val -94268"/>
                      </a:avLst>
                    </a:prstGeom>
                    <a:noFill/>
                    <a:ln>
                      <a:noFill/>
                    </a:ln>
                  </c15:spPr>
                </c:ext>
                <c:ext xmlns:c16="http://schemas.microsoft.com/office/drawing/2014/chart" uri="{C3380CC4-5D6E-409C-BE32-E72D297353CC}">
                  <c16:uniqueId val="{00000008-0A5C-4DC7-8F1A-219DE91BC20B}"/>
                </c:ext>
              </c:extLst>
            </c:dLbl>
            <c:dLbl>
              <c:idx val="5"/>
              <c:layout>
                <c:manualLayout>
                  <c:x val="-0.20249797150431903"/>
                  <c:y val="-0.14583569541361324"/>
                </c:manualLayout>
              </c:layout>
              <c:numFmt formatCode="0%" sourceLinked="0"/>
              <c:spPr>
                <a:noFill/>
                <a:ln cap="rnd">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393043927989881"/>
                      <c:h val="0.1828324912868719"/>
                    </c:manualLayout>
                  </c15:layout>
                </c:ext>
                <c:ext xmlns:c16="http://schemas.microsoft.com/office/drawing/2014/chart" uri="{C3380CC4-5D6E-409C-BE32-E72D297353CC}">
                  <c16:uniqueId val="{0000000A-0A5C-4DC7-8F1A-219DE91BC20B}"/>
                </c:ext>
              </c:extLst>
            </c:dLbl>
            <c:dLbl>
              <c:idx val="6"/>
              <c:layout>
                <c:manualLayout>
                  <c:x val="0.20179026533364042"/>
                  <c:y val="-8.0311819635210821E-2"/>
                </c:manualLayout>
              </c:layout>
              <c:numFmt formatCode="0%" sourceLinked="0"/>
              <c:spPr>
                <a:noFill/>
                <a:ln cap="rnd">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263543948316555"/>
                      <c:h val="0.19393280354020004"/>
                    </c:manualLayout>
                  </c15:layout>
                </c:ext>
                <c:ext xmlns:c16="http://schemas.microsoft.com/office/drawing/2014/chart" uri="{C3380CC4-5D6E-409C-BE32-E72D297353CC}">
                  <c16:uniqueId val="{0000000C-0A5C-4DC7-8F1A-219DE91BC20B}"/>
                </c:ext>
              </c:extLst>
            </c:dLbl>
            <c:dLbl>
              <c:idx val="7"/>
              <c:layout>
                <c:manualLayout>
                  <c:x val="-4.146700919491509E-2"/>
                  <c:y val="0.10635545614776487"/>
                </c:manualLayout>
              </c:layout>
              <c:tx>
                <c:rich>
                  <a:bodyPr/>
                  <a:lstStyle/>
                  <a:p>
                    <a:fld id="{5BC37BFB-9086-4FE5-ABE6-6295809A2D57}" type="CATEGORYNAME">
                      <a:rPr lang="en-US"/>
                      <a:pPr/>
                      <a:t>[CATEGORY NAME]</a:t>
                    </a:fld>
                    <a:r>
                      <a:rPr lang="en-US" baseline="0"/>
                      <a:t>
</a:t>
                    </a:r>
                    <a:fld id="{D9EBC656-34D4-4D26-A903-11C7BD4FABB3}" type="VALUE">
                      <a:rPr lang="en-US" baseline="0"/>
                      <a:pPr/>
                      <a:t>[VALUE]</a:t>
                    </a:fld>
                    <a:r>
                      <a:rPr lang="en-US" baseline="0"/>
                      <a:t>
&lt;1</a:t>
                    </a:r>
                  </a:p>
                </c:rich>
              </c:tx>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A5C-4DC7-8F1A-219DE91BC20B}"/>
                </c:ext>
              </c:extLst>
            </c:dLbl>
            <c:dLbl>
              <c:idx val="8"/>
              <c:layout>
                <c:manualLayout>
                  <c:x val="0.10817082533911244"/>
                  <c:y val="0.21757986530866069"/>
                </c:manualLayout>
              </c:layout>
              <c:numFmt formatCode="0%" sourceLinked="0"/>
              <c:spPr>
                <a:noFill/>
                <a:ln cap="rnd">
                  <a:noFill/>
                </a:ln>
                <a:effectLst/>
              </c:spPr>
              <c:txPr>
                <a:bodyPr rot="0" spcFirstLastPara="1" vertOverflow="ellipsis" vert="horz" wrap="square" anchor="ctr" anchorCtr="1"/>
                <a:lstStyle/>
                <a:p>
                  <a:pPr>
                    <a:defRPr sz="1050" b="0" i="0" u="none" strike="noStrike" kern="1200" baseline="0">
                      <a:solidFill>
                        <a:schemeClr val="bg1"/>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0A5C-4DC7-8F1A-219DE91BC20B}"/>
                </c:ext>
              </c:extLst>
            </c:dLbl>
            <c:dLbl>
              <c:idx val="10"/>
              <c:numFmt formatCode="0%" sourceLinked="0"/>
              <c:spPr>
                <a:noFill/>
                <a:ln cap="rnd">
                  <a:noFill/>
                  <a:prstDash val="dash"/>
                </a:ln>
                <a:effectLst/>
              </c:spPr>
              <c:txPr>
                <a:bodyPr rot="0" spcFirstLastPara="1" vertOverflow="ellipsis" vert="horz" wrap="square" anchor="ctr" anchorCtr="1"/>
                <a:lstStyle/>
                <a:p>
                  <a:pPr>
                    <a:defRPr sz="105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1C1-4054-8CBF-D115E5FB2B95}"/>
                </c:ext>
              </c:extLst>
            </c:dLbl>
            <c:numFmt formatCode="0%" sourceLinked="0"/>
            <c:spPr>
              <a:noFill/>
              <a:ln cap="rnd">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alibri Light" panose="020F0302020204030204" pitchFamily="34" charset="0"/>
                    <a:ea typeface="+mn-ea"/>
                    <a:cs typeface="Calibri Light" panose="020F0302020204030204" pitchFamily="34" charset="0"/>
                  </a:defRPr>
                </a:pPr>
                <a:endParaRPr lang="en-US"/>
              </a:p>
            </c:txPr>
            <c:dLblPos val="bestFit"/>
            <c:showLegendKey val="0"/>
            <c:showVal val="1"/>
            <c:showCatName val="1"/>
            <c:showSerName val="0"/>
            <c:showPercent val="1"/>
            <c:showBubbleSize val="0"/>
            <c:separator>
</c:separator>
            <c:showLeaderLines val="1"/>
            <c:leaderLines>
              <c:spPr>
                <a:ln w="9525" cap="flat" cmpd="sng" algn="ctr">
                  <a:solidFill>
                    <a:schemeClr val="bg1">
                      <a:lumMod val="75000"/>
                    </a:schemeClr>
                  </a:solidFill>
                  <a:prstDash val="solid"/>
                  <a:round/>
                </a:ln>
                <a:effectLst/>
              </c:spPr>
            </c:leaderLines>
            <c:extLst>
              <c:ext xmlns:c15="http://schemas.microsoft.com/office/drawing/2012/chart" uri="{CE6537A1-D6FC-4f65-9D91-7224C49458BB}"/>
            </c:extLst>
          </c:dLbls>
          <c:cat>
            <c:strRef>
              <c:f>'6A_Emphasis'!$U$3:$U$11</c:f>
              <c:strCache>
                <c:ptCount val="9"/>
                <c:pt idx="0">
                  <c:v>Data Management</c:v>
                </c:pt>
                <c:pt idx="1">
                  <c:v>Harvest Augmentation</c:v>
                </c:pt>
                <c:pt idx="2">
                  <c:v>Law Enforcement</c:v>
                </c:pt>
                <c:pt idx="3">
                  <c:v>Coordination (Local/Regional)</c:v>
                </c:pt>
                <c:pt idx="4">
                  <c:v>Predator Removal</c:v>
                </c:pt>
                <c:pt idx="5">
                  <c:v>Habitat (Restoration/Protection)</c:v>
                </c:pt>
                <c:pt idx="6">
                  <c:v>Research, Monitoring and Evaluation</c:v>
                </c:pt>
                <c:pt idx="7">
                  <c:v>Selective Harvest</c:v>
                </c:pt>
                <c:pt idx="8">
                  <c:v>Production (Supplementation)</c:v>
                </c:pt>
              </c:strCache>
            </c:strRef>
          </c:cat>
          <c:val>
            <c:numRef>
              <c:f>'6A_Emphasis'!$T$3:$T$11</c:f>
              <c:numCache>
                <c:formatCode>"$"#.0,,\ "million"</c:formatCode>
                <c:ptCount val="9"/>
                <c:pt idx="0">
                  <c:v>6337904.6099999994</c:v>
                </c:pt>
                <c:pt idx="1">
                  <c:v>5143193.3899999987</c:v>
                </c:pt>
                <c:pt idx="2">
                  <c:v>1597310.8799999997</c:v>
                </c:pt>
                <c:pt idx="3">
                  <c:v>12269424.129999999</c:v>
                </c:pt>
                <c:pt idx="4">
                  <c:v>5668022.8800000008</c:v>
                </c:pt>
                <c:pt idx="5">
                  <c:v>116536194.40000002</c:v>
                </c:pt>
                <c:pt idx="6">
                  <c:v>75690961.279999956</c:v>
                </c:pt>
                <c:pt idx="7">
                  <c:v>301739.81</c:v>
                </c:pt>
                <c:pt idx="8">
                  <c:v>41181958.219999999</c:v>
                </c:pt>
              </c:numCache>
            </c:numRef>
          </c:val>
          <c:extLst>
            <c:ext xmlns:c16="http://schemas.microsoft.com/office/drawing/2014/chart" uri="{C3380CC4-5D6E-409C-BE32-E72D297353CC}">
              <c16:uniqueId val="{0000000F-0A5C-4DC7-8F1A-219DE91BC20B}"/>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25400" cap="flat" cmpd="sng" algn="ctr">
      <a:noFill/>
      <a:prstDash val="solid"/>
      <a:roun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427235190195919"/>
          <c:y val="3.9056398953451484E-2"/>
          <c:w val="0.64772382829461639"/>
          <c:h val="0.92889620563106745"/>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CE-487F-888A-ADA545CC2CAC}"/>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CE-487F-888A-ADA545CC2CAC}"/>
              </c:ext>
            </c:extLst>
          </c:dPt>
          <c:dPt>
            <c:idx val="2"/>
            <c:bubble3D val="0"/>
            <c:spPr>
              <a:solidFill>
                <a:srgbClr val="9BBB59">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A5CE-487F-888A-ADA545CC2CAC}"/>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E-487F-888A-ADA545CC2CAC}"/>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E-487F-888A-ADA545CC2CAC}"/>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E-487F-888A-ADA545CC2CAC}"/>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CE-487F-888A-ADA545CC2CAC}"/>
              </c:ext>
            </c:extLst>
          </c:dPt>
          <c:dLbls>
            <c:dLbl>
              <c:idx val="0"/>
              <c:layout>
                <c:manualLayout>
                  <c:x val="-9.3179396166519907E-2"/>
                  <c:y val="0.10320218112689214"/>
                </c:manualLayout>
              </c:layout>
              <c:spPr>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borderCallout1">
                      <a:avLst>
                        <a:gd name="adj1" fmla="val 52730"/>
                        <a:gd name="adj2" fmla="val 98748"/>
                        <a:gd name="adj3" fmla="val 17257"/>
                        <a:gd name="adj4" fmla="val 127627"/>
                      </a:avLst>
                    </a:prstGeom>
                  </c15:spPr>
                </c:ext>
                <c:ext xmlns:c16="http://schemas.microsoft.com/office/drawing/2014/chart" uri="{C3380CC4-5D6E-409C-BE32-E72D297353CC}">
                  <c16:uniqueId val="{00000001-A5CE-487F-888A-ADA545CC2CAC}"/>
                </c:ext>
              </c:extLst>
            </c:dLbl>
            <c:dLbl>
              <c:idx val="1"/>
              <c:layout>
                <c:manualLayout>
                  <c:x val="8.1902009009106089E-2"/>
                  <c:y val="3.7005912274075105E-2"/>
                </c:manualLayout>
              </c:layout>
              <c:spPr>
                <a:xfrm>
                  <a:off x="4003372" y="115901"/>
                  <a:ext cx="1123378" cy="658114"/>
                </a:xfrm>
                <a:noFill/>
                <a:ln>
                  <a:noFill/>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borderCallout1">
                      <a:avLst>
                        <a:gd name="adj1" fmla="val 50214"/>
                        <a:gd name="adj2" fmla="val -111"/>
                        <a:gd name="adj3" fmla="val 12205"/>
                        <a:gd name="adj4" fmla="val -44718"/>
                      </a:avLst>
                    </a:prstGeom>
                  </c15:spPr>
                  <c15:layout>
                    <c:manualLayout>
                      <c:w val="0.19542426196062004"/>
                      <c:h val="0.2101285489369433"/>
                    </c:manualLayout>
                  </c15:layout>
                </c:ext>
                <c:ext xmlns:c16="http://schemas.microsoft.com/office/drawing/2014/chart" uri="{C3380CC4-5D6E-409C-BE32-E72D297353CC}">
                  <c16:uniqueId val="{00000003-A5CE-487F-888A-ADA545CC2CAC}"/>
                </c:ext>
              </c:extLst>
            </c:dLbl>
            <c:dLbl>
              <c:idx val="2"/>
              <c:layout>
                <c:manualLayout>
                  <c:x val="-0.20044191381054163"/>
                  <c:y val="3.9449111562443753E-2"/>
                </c:manualLayout>
              </c:layout>
              <c:spPr>
                <a:xfrm>
                  <a:off x="4109630" y="1221540"/>
                  <a:ext cx="1065239" cy="663147"/>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borderCallout1">
                      <a:avLst>
                        <a:gd name="adj1" fmla="val 53722"/>
                        <a:gd name="adj2" fmla="val -25439"/>
                        <a:gd name="adj3" fmla="val 49479"/>
                        <a:gd name="adj4" fmla="val -578"/>
                      </a:avLst>
                    </a:prstGeom>
                  </c15:spPr>
                  <c15:layout>
                    <c:manualLayout>
                      <c:w val="0.18409808204196909"/>
                      <c:h val="0.20972225077284334"/>
                    </c:manualLayout>
                  </c15:layout>
                </c:ext>
                <c:ext xmlns:c16="http://schemas.microsoft.com/office/drawing/2014/chart" uri="{C3380CC4-5D6E-409C-BE32-E72D297353CC}">
                  <c16:uniqueId val="{00000004-A5CE-487F-888A-ADA545CC2CAC}"/>
                </c:ext>
              </c:extLst>
            </c:dLbl>
            <c:dLbl>
              <c:idx val="3"/>
              <c:layout>
                <c:manualLayout>
                  <c:x val="0.25599183495389849"/>
                  <c:y val="-9.2002162224984432E-2"/>
                </c:manualLayout>
              </c:layout>
              <c:spPr>
                <a:xfrm>
                  <a:off x="963996" y="1977108"/>
                  <a:ext cx="1447275" cy="658319"/>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borderCallout1">
                      <a:avLst>
                        <a:gd name="adj1" fmla="val 124601"/>
                        <a:gd name="adj2" fmla="val 114843"/>
                        <a:gd name="adj3" fmla="val 97656"/>
                        <a:gd name="adj4" fmla="val 69790"/>
                      </a:avLst>
                    </a:prstGeom>
                  </c15:spPr>
                  <c15:layout>
                    <c:manualLayout>
                      <c:w val="0.25012296375308529"/>
                      <c:h val="0.20819538112443767"/>
                    </c:manualLayout>
                  </c15:layout>
                </c:ext>
                <c:ext xmlns:c16="http://schemas.microsoft.com/office/drawing/2014/chart" uri="{C3380CC4-5D6E-409C-BE32-E72D297353CC}">
                  <c16:uniqueId val="{00000006-A5CE-487F-888A-ADA545CC2CAC}"/>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A5CE-487F-888A-ADA545CC2CAC}"/>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A5CE-487F-888A-ADA545CC2CAC}"/>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A5CE-487F-888A-ADA545CC2CAC}"/>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CE-487F-888A-ADA545CC2CAC}"/>
                </c:ext>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A5CE-487F-888A-ADA545CC2CAC}"/>
                </c:ext>
              </c:extLst>
            </c:dLbl>
            <c:spPr>
              <a:noFill/>
              <a:ln>
                <a:noFill/>
              </a:ln>
              <a:effectLst/>
            </c:spPr>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borderCallout1">
                    <a:avLst/>
                  </a:prstGeom>
                </c15:spPr>
              </c:ext>
            </c:extLst>
          </c:dLbls>
          <c:cat>
            <c:strRef>
              <c:f>'6B_ArtProd'!$A$3:$A$6</c:f>
              <c:strCache>
                <c:ptCount val="4"/>
                <c:pt idx="0">
                  <c:v>Coordination (Local/Regional)</c:v>
                </c:pt>
                <c:pt idx="1">
                  <c:v>Harvest Augmentation 3</c:v>
                </c:pt>
                <c:pt idx="2">
                  <c:v>RM&amp;E</c:v>
                </c:pt>
                <c:pt idx="3">
                  <c:v>Supplementation 4</c:v>
                </c:pt>
              </c:strCache>
            </c:strRef>
          </c:cat>
          <c:val>
            <c:numRef>
              <c:f>'6B_ArtProd'!$T$3:$T$6</c:f>
              <c:numCache>
                <c:formatCode>"$"#.0,,\ "million"</c:formatCode>
                <c:ptCount val="4"/>
                <c:pt idx="0">
                  <c:v>868299</c:v>
                </c:pt>
                <c:pt idx="1">
                  <c:v>5143193</c:v>
                </c:pt>
                <c:pt idx="2">
                  <c:v>19689426</c:v>
                </c:pt>
                <c:pt idx="3">
                  <c:v>41181958</c:v>
                </c:pt>
              </c:numCache>
            </c:numRef>
          </c:val>
          <c:extLst>
            <c:ext xmlns:c16="http://schemas.microsoft.com/office/drawing/2014/chart" uri="{C3380CC4-5D6E-409C-BE32-E72D297353CC}">
              <c16:uniqueId val="{0000000F-A5CE-487F-888A-ADA545CC2CAC}"/>
            </c:ext>
          </c:extLst>
        </c:ser>
        <c:dLbls>
          <c:showLegendKey val="0"/>
          <c:showVal val="0"/>
          <c:showCatName val="0"/>
          <c:showSerName val="0"/>
          <c:showPercent val="0"/>
          <c:showBubbleSize val="0"/>
          <c:showLeaderLines val="0"/>
        </c:dLbls>
        <c:firstSliceAng val="0"/>
      </c:pieChart>
      <c:spPr>
        <a:effectLst/>
      </c:spPr>
    </c:plotArea>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44" l="0.7000000000000004" r="0.7000000000000004" t="0.75000000000000044" header="0.30000000000000021" footer="0.30000000000000021"/>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372504879380913E-2"/>
          <c:y val="2.3363703774675903E-2"/>
          <c:w val="0.66750164382198629"/>
          <c:h val="0.93912640274117298"/>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0.20818123153113688"/>
                  <c:y val="0.19992095032238272"/>
                </c:manualLayout>
              </c:layout>
              <c:spPr>
                <a:xfrm>
                  <a:off x="3955357" y="371409"/>
                  <a:ext cx="1234042" cy="402588"/>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sz="1050">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45495"/>
                        <a:gd name="adj2" fmla="val 1063"/>
                        <a:gd name="adj3" fmla="val 77912"/>
                        <a:gd name="adj4" fmla="val -9383"/>
                      </a:avLst>
                    </a:prstGeom>
                  </c15:spPr>
                  <c15:layout>
                    <c:manualLayout>
                      <c:w val="0.22773652344690307"/>
                      <c:h val="0.10324018061973993"/>
                    </c:manualLayout>
                  </c15:layout>
                </c:ext>
                <c:ext xmlns:c16="http://schemas.microsoft.com/office/drawing/2014/chart" uri="{C3380CC4-5D6E-409C-BE32-E72D297353CC}">
                  <c16:uniqueId val="{00000000-9741-4BA5-9625-BE7798C093FB}"/>
                </c:ext>
              </c:extLst>
            </c:dLbl>
            <c:dLbl>
              <c:idx val="1"/>
              <c:layout>
                <c:manualLayout>
                  <c:x val="-0.1841218021353791"/>
                  <c:y val="-0.22028184958419986"/>
                </c:manualLayout>
              </c:layout>
              <c:tx>
                <c:rich>
                  <a:bodyPr/>
                  <a:lstStyle/>
                  <a:p>
                    <a:pPr>
                      <a:defRPr sz="1050">
                        <a:solidFill>
                          <a:schemeClr val="bg1"/>
                        </a:solidFill>
                      </a:defRPr>
                    </a:pPr>
                    <a:fld id="{A9EB2EE7-175D-4F4F-A522-47C326B02F60}" type="CATEGORYNAME">
                      <a:rPr lang="en-US" sz="1050">
                        <a:solidFill>
                          <a:schemeClr val="bg1"/>
                        </a:solidFill>
                      </a:rPr>
                      <a:pPr>
                        <a:defRPr sz="1050">
                          <a:solidFill>
                            <a:schemeClr val="bg1"/>
                          </a:solidFill>
                        </a:defRPr>
                      </a:pPr>
                      <a:t>[CATEGORY NAME]</a:t>
                    </a:fld>
                    <a:r>
                      <a:rPr lang="en-US" sz="1050" baseline="0">
                        <a:solidFill>
                          <a:schemeClr val="bg1"/>
                        </a:solidFill>
                      </a:rPr>
                      <a:t>, </a:t>
                    </a:r>
                    <a:br>
                      <a:rPr lang="en-US" sz="1050" baseline="0">
                        <a:solidFill>
                          <a:schemeClr val="bg1"/>
                        </a:solidFill>
                      </a:rPr>
                    </a:br>
                    <a:fld id="{7E8D65DC-320F-4ED6-8671-DA5EA0F9B4FC}" type="VALUE">
                      <a:rPr lang="en-US" sz="1050" baseline="0">
                        <a:solidFill>
                          <a:schemeClr val="bg1"/>
                        </a:solidFill>
                      </a:rPr>
                      <a:pPr>
                        <a:defRPr sz="1050">
                          <a:solidFill>
                            <a:schemeClr val="bg1"/>
                          </a:solidFill>
                        </a:defRPr>
                      </a:pPr>
                      <a:t>[VALUE]</a:t>
                    </a:fld>
                    <a:r>
                      <a:rPr lang="en-US" sz="1050" baseline="0">
                        <a:solidFill>
                          <a:schemeClr val="bg1"/>
                        </a:solidFill>
                      </a:rPr>
                      <a:t>, </a:t>
                    </a:r>
                    <a:fld id="{F92CD1BD-F027-4A88-A5BD-E0B296A8F3D2}" type="PERCENTAGE">
                      <a:rPr lang="en-US" sz="1050" baseline="0">
                        <a:solidFill>
                          <a:schemeClr val="bg1"/>
                        </a:solidFill>
                      </a:rPr>
                      <a:pPr>
                        <a:defRPr sz="1050">
                          <a:solidFill>
                            <a:schemeClr val="bg1"/>
                          </a:solidFill>
                        </a:defRPr>
                      </a:pPr>
                      <a:t>[PERCENTAGE]</a:t>
                    </a:fld>
                    <a:endParaRPr lang="en-US" sz="1050" baseline="0">
                      <a:solidFill>
                        <a:schemeClr val="bg1"/>
                      </a:solidFill>
                    </a:endParaRPr>
                  </a:p>
                </c:rich>
              </c:tx>
              <c:spPr>
                <a:xfrm>
                  <a:off x="4250134" y="2873590"/>
                  <a:ext cx="785599" cy="512872"/>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47819"/>
                        <a:gd name="adj2" fmla="val 1156"/>
                        <a:gd name="adj3" fmla="val 57872"/>
                        <a:gd name="adj4" fmla="val -42283"/>
                      </a:avLst>
                    </a:prstGeom>
                  </c15:spPr>
                  <c15:layout>
                    <c:manualLayout>
                      <c:w val="0.20884558526259034"/>
                      <c:h val="0.13152146721483388"/>
                    </c:manualLayout>
                  </c15:layout>
                  <c15:dlblFieldTable/>
                  <c15:showDataLabelsRange val="0"/>
                </c:ext>
                <c:ext xmlns:c16="http://schemas.microsoft.com/office/drawing/2014/chart" uri="{C3380CC4-5D6E-409C-BE32-E72D297353CC}">
                  <c16:uniqueId val="{00000001-9741-4BA5-9625-BE7798C093FB}"/>
                </c:ext>
              </c:extLst>
            </c:dLbl>
            <c:dLbl>
              <c:idx val="2"/>
              <c:layout>
                <c:manualLayout>
                  <c:x val="0.14314110898400575"/>
                  <c:y val="-9.4909611272420875E-3"/>
                </c:manualLayout>
              </c:layout>
              <c:tx>
                <c:rich>
                  <a:bodyPr/>
                  <a:lstStyle/>
                  <a:p>
                    <a:pPr>
                      <a:defRPr sz="1050">
                        <a:solidFill>
                          <a:schemeClr val="tx1"/>
                        </a:solidFill>
                      </a:defRPr>
                    </a:pPr>
                    <a:fld id="{D8DE1D7B-33D9-40A3-8720-D7C9BDCBE424}" type="CATEGORYNAME">
                      <a:rPr lang="en-US" sz="1050">
                        <a:solidFill>
                          <a:schemeClr val="tx1"/>
                        </a:solidFill>
                      </a:rPr>
                      <a:pPr>
                        <a:defRPr sz="1050">
                          <a:solidFill>
                            <a:schemeClr val="tx1"/>
                          </a:solidFill>
                        </a:defRPr>
                      </a:pPr>
                      <a:t>[CATEGORY NAME]</a:t>
                    </a:fld>
                    <a:r>
                      <a:rPr lang="en-US" sz="1050" baseline="0">
                        <a:solidFill>
                          <a:schemeClr val="tx1"/>
                        </a:solidFill>
                      </a:rPr>
                      <a:t>, </a:t>
                    </a:r>
                    <a:br>
                      <a:rPr lang="en-US" sz="1050" baseline="0">
                        <a:solidFill>
                          <a:schemeClr val="tx1"/>
                        </a:solidFill>
                      </a:rPr>
                    </a:br>
                    <a:fld id="{F8BC4C01-728D-4C56-AD31-870CD1370245}" type="VALUE">
                      <a:rPr lang="en-US" sz="1050" baseline="0">
                        <a:solidFill>
                          <a:schemeClr val="tx1"/>
                        </a:solidFill>
                      </a:rPr>
                      <a:pPr>
                        <a:defRPr sz="1050">
                          <a:solidFill>
                            <a:schemeClr val="tx1"/>
                          </a:solidFill>
                        </a:defRPr>
                      </a:pPr>
                      <a:t>[VALUE]</a:t>
                    </a:fld>
                    <a:r>
                      <a:rPr lang="en-US" sz="1050" baseline="0">
                        <a:solidFill>
                          <a:schemeClr val="tx1"/>
                        </a:solidFill>
                      </a:rPr>
                      <a:t>, </a:t>
                    </a:r>
                    <a:fld id="{5CAFE914-CD30-414D-A458-EB18614A2702}" type="PERCENTAGE">
                      <a:rPr lang="en-US" sz="1050" baseline="0">
                        <a:solidFill>
                          <a:schemeClr val="tx1"/>
                        </a:solidFill>
                      </a:rPr>
                      <a:pPr>
                        <a:defRPr sz="1050">
                          <a:solidFill>
                            <a:schemeClr val="tx1"/>
                          </a:solidFill>
                        </a:defRPr>
                      </a:pPr>
                      <a:t>[PERCENTAGE]</a:t>
                    </a:fld>
                    <a:endParaRPr lang="en-US" sz="1050" baseline="0">
                      <a:solidFill>
                        <a:schemeClr val="tx1"/>
                      </a:solidFill>
                    </a:endParaRPr>
                  </a:p>
                </c:rich>
              </c:tx>
              <c:spPr>
                <a:xfrm>
                  <a:off x="3735233" y="3420402"/>
                  <a:ext cx="970070" cy="442121"/>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48724"/>
                        <a:gd name="adj2" fmla="val -649"/>
                        <a:gd name="adj3" fmla="val 87748"/>
                        <a:gd name="adj4" fmla="val -88487"/>
                      </a:avLst>
                    </a:prstGeom>
                  </c15:spPr>
                  <c15:layout>
                    <c:manualLayout>
                      <c:w val="0.17217879107736478"/>
                      <c:h val="0.11337813165929063"/>
                    </c:manualLayout>
                  </c15:layout>
                  <c15:dlblFieldTable/>
                  <c15:showDataLabelsRange val="0"/>
                </c:ext>
                <c:ext xmlns:c16="http://schemas.microsoft.com/office/drawing/2014/chart" uri="{C3380CC4-5D6E-409C-BE32-E72D297353CC}">
                  <c16:uniqueId val="{00000002-9741-4BA5-9625-BE7798C093FB}"/>
                </c:ext>
              </c:extLst>
            </c:dLbl>
            <c:dLbl>
              <c:idx val="3"/>
              <c:layout>
                <c:manualLayout>
                  <c:x val="3.9479476426757559E-2"/>
                  <c:y val="-6.9324536378407201E-2"/>
                </c:manualLayout>
              </c:layout>
              <c:spPr>
                <a:xfrm>
                  <a:off x="282450" y="3468365"/>
                  <a:ext cx="981609" cy="365724"/>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txPr>
                <a:bodyPr/>
                <a:lstStyle/>
                <a:p>
                  <a:pPr>
                    <a:defRPr sz="1050">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52721"/>
                        <a:gd name="adj2" fmla="val 99671"/>
                        <a:gd name="adj3" fmla="val 102078"/>
                        <a:gd name="adj4" fmla="val 201298"/>
                      </a:avLst>
                    </a:prstGeom>
                  </c15:spPr>
                  <c15:layout>
                    <c:manualLayout>
                      <c:w val="0.18115117014547755"/>
                      <c:h val="9.3786733837111669E-2"/>
                    </c:manualLayout>
                  </c15:layout>
                </c:ext>
                <c:ext xmlns:c16="http://schemas.microsoft.com/office/drawing/2014/chart" uri="{C3380CC4-5D6E-409C-BE32-E72D297353CC}">
                  <c16:uniqueId val="{00000003-9741-4BA5-9625-BE7798C093FB}"/>
                </c:ext>
              </c:extLst>
            </c:dLbl>
            <c:dLbl>
              <c:idx val="4"/>
              <c:layout>
                <c:manualLayout>
                  <c:x val="-4.0480688754994894E-2"/>
                  <c:y val="-2.6671844917953189E-2"/>
                </c:manualLayout>
              </c:layout>
              <c:tx>
                <c:rich>
                  <a:bodyPr/>
                  <a:lstStyle/>
                  <a:p>
                    <a:pPr>
                      <a:defRPr sz="1050">
                        <a:solidFill>
                          <a:schemeClr val="tx1"/>
                        </a:solidFill>
                      </a:defRPr>
                    </a:pPr>
                    <a:fld id="{299B1FD0-D466-40EE-8E68-EF6147660E3A}" type="CATEGORYNAME">
                      <a:rPr lang="en-US" sz="1050">
                        <a:solidFill>
                          <a:schemeClr val="tx1"/>
                        </a:solidFill>
                      </a:rPr>
                      <a:pPr>
                        <a:defRPr sz="1050">
                          <a:solidFill>
                            <a:schemeClr val="tx1"/>
                          </a:solidFill>
                        </a:defRPr>
                      </a:pPr>
                      <a:t>[CATEGORY NAME]</a:t>
                    </a:fld>
                    <a:r>
                      <a:rPr lang="en-US" sz="1050" baseline="0">
                        <a:solidFill>
                          <a:schemeClr val="tx1"/>
                        </a:solidFill>
                      </a:rPr>
                      <a:t>, </a:t>
                    </a:r>
                    <a:br>
                      <a:rPr lang="en-US" sz="1050" baseline="0">
                        <a:solidFill>
                          <a:schemeClr val="tx1"/>
                        </a:solidFill>
                      </a:rPr>
                    </a:br>
                    <a:fld id="{93B1B611-B86E-4DBF-B35F-3FBC483615F8}" type="VALUE">
                      <a:rPr lang="en-US" sz="1050" baseline="0">
                        <a:solidFill>
                          <a:schemeClr val="tx1"/>
                        </a:solidFill>
                      </a:rPr>
                      <a:pPr>
                        <a:defRPr sz="1050">
                          <a:solidFill>
                            <a:schemeClr val="tx1"/>
                          </a:solidFill>
                        </a:defRPr>
                      </a:pPr>
                      <a:t>[VALUE]</a:t>
                    </a:fld>
                    <a:r>
                      <a:rPr lang="en-US" sz="1050" baseline="0">
                        <a:solidFill>
                          <a:schemeClr val="tx1"/>
                        </a:solidFill>
                      </a:rPr>
                      <a:t>, </a:t>
                    </a:r>
                    <a:fld id="{DDE73AF9-DBA6-469F-AE45-0A7E8AAB96DD}" type="PERCENTAGE">
                      <a:rPr lang="en-US" sz="1050" baseline="0">
                        <a:solidFill>
                          <a:schemeClr val="tx1"/>
                        </a:solidFill>
                      </a:rPr>
                      <a:pPr>
                        <a:defRPr sz="1050">
                          <a:solidFill>
                            <a:schemeClr val="tx1"/>
                          </a:solidFill>
                        </a:defRPr>
                      </a:pPr>
                      <a:t>[PERCENTAGE]</a:t>
                    </a:fld>
                    <a:endParaRPr lang="en-US" sz="1050" baseline="0">
                      <a:solidFill>
                        <a:schemeClr val="tx1"/>
                      </a:solidFill>
                    </a:endParaRPr>
                  </a:p>
                </c:rich>
              </c:tx>
              <c:spPr>
                <a:xfrm>
                  <a:off x="78315" y="3061476"/>
                  <a:ext cx="868958" cy="468756"/>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47021"/>
                        <a:gd name="adj2" fmla="val 100328"/>
                        <a:gd name="adj3" fmla="val 122537"/>
                        <a:gd name="adj4" fmla="val 173930"/>
                      </a:avLst>
                    </a:prstGeom>
                  </c15:spPr>
                  <c15:layout>
                    <c:manualLayout>
                      <c:w val="0.17404774618131305"/>
                      <c:h val="0.12020831701381957"/>
                    </c:manualLayout>
                  </c15:layout>
                  <c15:dlblFieldTable/>
                  <c15:showDataLabelsRange val="0"/>
                </c:ext>
                <c:ext xmlns:c16="http://schemas.microsoft.com/office/drawing/2014/chart" uri="{C3380CC4-5D6E-409C-BE32-E72D297353CC}">
                  <c16:uniqueId val="{00000004-9741-4BA5-9625-BE7798C093FB}"/>
                </c:ext>
              </c:extLst>
            </c:dLbl>
            <c:dLbl>
              <c:idx val="5"/>
              <c:layout>
                <c:manualLayout>
                  <c:x val="9.9770340871476196E-2"/>
                  <c:y val="6.477208693520789E-2"/>
                </c:manualLayout>
              </c:layout>
              <c:tx>
                <c:rich>
                  <a:bodyPr/>
                  <a:lstStyle/>
                  <a:p>
                    <a:pPr>
                      <a:defRPr sz="1050">
                        <a:solidFill>
                          <a:schemeClr val="tx1"/>
                        </a:solidFill>
                      </a:defRPr>
                    </a:pPr>
                    <a:fld id="{4288E19E-FFC1-4DC2-8423-5570A39F997A}" type="CATEGORYNAME">
                      <a:rPr lang="en-US" sz="1050">
                        <a:solidFill>
                          <a:schemeClr val="tx1"/>
                        </a:solidFill>
                      </a:rPr>
                      <a:pPr>
                        <a:defRPr sz="1050">
                          <a:solidFill>
                            <a:schemeClr val="tx1"/>
                          </a:solidFill>
                        </a:defRPr>
                      </a:pPr>
                      <a:t>[CATEGORY NAME]</a:t>
                    </a:fld>
                    <a:r>
                      <a:rPr lang="en-US" sz="1050" baseline="0">
                        <a:solidFill>
                          <a:schemeClr val="tx1"/>
                        </a:solidFill>
                      </a:rPr>
                      <a:t>, </a:t>
                    </a:r>
                    <a:br>
                      <a:rPr lang="en-US" sz="1050" baseline="0">
                        <a:solidFill>
                          <a:schemeClr val="tx1"/>
                        </a:solidFill>
                      </a:rPr>
                    </a:br>
                    <a:fld id="{30636ED6-8506-4F03-99A8-4103FCC03CED}" type="VALUE">
                      <a:rPr lang="en-US" sz="1050" baseline="0">
                        <a:solidFill>
                          <a:schemeClr val="tx1"/>
                        </a:solidFill>
                      </a:rPr>
                      <a:pPr>
                        <a:defRPr sz="1050">
                          <a:solidFill>
                            <a:schemeClr val="tx1"/>
                          </a:solidFill>
                        </a:defRPr>
                      </a:pPr>
                      <a:t>[VALUE]</a:t>
                    </a:fld>
                    <a:r>
                      <a:rPr lang="en-US" sz="1050" baseline="0">
                        <a:solidFill>
                          <a:schemeClr val="tx1"/>
                        </a:solidFill>
                      </a:rPr>
                      <a:t>, </a:t>
                    </a:r>
                    <a:fld id="{D09EA8E1-ED8B-4C3F-83FE-4BF8087C119F}" type="PERCENTAGE">
                      <a:rPr lang="en-US" sz="1050" baseline="0">
                        <a:solidFill>
                          <a:schemeClr val="tx1"/>
                        </a:solidFill>
                      </a:rPr>
                      <a:pPr>
                        <a:defRPr sz="1050">
                          <a:solidFill>
                            <a:schemeClr val="tx1"/>
                          </a:solidFill>
                        </a:defRPr>
                      </a:pPr>
                      <a:t>[PERCENTAGE]</a:t>
                    </a:fld>
                    <a:endParaRPr lang="en-US" sz="1050" baseline="0">
                      <a:solidFill>
                        <a:schemeClr val="tx1"/>
                      </a:solidFill>
                    </a:endParaRPr>
                  </a:p>
                </c:rich>
              </c:tx>
              <c:spPr>
                <a:xfrm>
                  <a:off x="85602" y="55918"/>
                  <a:ext cx="1233137" cy="416746"/>
                </a:xfrm>
                <a:noFill/>
                <a:ln w="9525" cap="flat" cmpd="sng" algn="ctr">
                  <a:no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borderCallout1">
                      <a:avLst>
                        <a:gd name="adj1" fmla="val 100095"/>
                        <a:gd name="adj2" fmla="val 52400"/>
                        <a:gd name="adj3" fmla="val 206280"/>
                        <a:gd name="adj4" fmla="val 75517"/>
                      </a:avLst>
                    </a:prstGeom>
                  </c15:spPr>
                  <c15:layout>
                    <c:manualLayout>
                      <c:w val="0.22147593201335269"/>
                      <c:h val="0.10966616015103375"/>
                    </c:manualLayout>
                  </c15:layout>
                  <c15:dlblFieldTable/>
                  <c15:showDataLabelsRange val="0"/>
                </c:ext>
                <c:ext xmlns:c16="http://schemas.microsoft.com/office/drawing/2014/chart" uri="{C3380CC4-5D6E-409C-BE32-E72D297353CC}">
                  <c16:uniqueId val="{00000005-9741-4BA5-9625-BE7798C093FB}"/>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741-4BA5-9625-BE7798C093FB}"/>
                </c:ext>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9741-4BA5-9625-BE7798C093FB}"/>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741-4BA5-9625-BE7798C093FB}"/>
                </c:ext>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741-4BA5-9625-BE7798C093FB}"/>
                </c:ext>
              </c:extLst>
            </c:dLbl>
            <c:dLbl>
              <c:idx val="10"/>
              <c:layout>
                <c:manualLayout>
                  <c:x val="8.3128965675407035E-2"/>
                  <c:y val="7.5079062485610346E-2"/>
                </c:manualLayout>
              </c:layout>
              <c:showLegendKey val="0"/>
              <c:showVal val="1"/>
              <c:showCatName val="1"/>
              <c:showSerName val="0"/>
              <c:showPercent val="1"/>
              <c:showBubbleSize val="0"/>
              <c:extLst>
                <c:ext xmlns:c15="http://schemas.microsoft.com/office/drawing/2012/chart" uri="{CE6537A1-D6FC-4f65-9D91-7224C49458BB}">
                  <c15:layout>
                    <c:manualLayout>
                      <c:w val="0.1305811931872605"/>
                      <c:h val="9.3297302375590099E-2"/>
                    </c:manualLayout>
                  </c15:layout>
                </c:ext>
                <c:ext xmlns:c16="http://schemas.microsoft.com/office/drawing/2014/chart" uri="{C3380CC4-5D6E-409C-BE32-E72D297353CC}">
                  <c16:uniqueId val="{0000000A-9741-4BA5-9625-BE7798C093FB}"/>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9741-4BA5-9625-BE7798C093FB}"/>
                </c:ext>
              </c:extLst>
            </c:dLbl>
            <c:spPr>
              <a:noFill/>
              <a:ln>
                <a:noFill/>
              </a:ln>
              <a:effectLst/>
            </c:spPr>
            <c:txPr>
              <a:bodyPr wrap="square" lIns="38100" tIns="19050" rIns="38100" bIns="19050" anchor="ctr">
                <a:spAutoFit/>
              </a:bodyPr>
              <a:lstStyle/>
              <a:p>
                <a:pPr>
                  <a:defRPr sz="1050">
                    <a:solidFill>
                      <a:schemeClr val="bg1"/>
                    </a:solidFill>
                  </a:defRPr>
                </a:pPr>
                <a:endParaRPr lang="en-US"/>
              </a:p>
            </c:txPr>
            <c:showLegendKey val="0"/>
            <c:showVal val="1"/>
            <c:showCatName val="1"/>
            <c:showSerName val="0"/>
            <c:showPercent val="1"/>
            <c:showBubbleSize val="0"/>
            <c:showLeaderLines val="0"/>
            <c:extLst>
              <c:ext xmlns:c15="http://schemas.microsoft.com/office/drawing/2012/chart" uri="{CE6537A1-D6FC-4f65-9D91-7224C49458BB}">
                <c15:spPr xmlns:c15="http://schemas.microsoft.com/office/drawing/2012/chart">
                  <a:prstGeom prst="borderCallout1">
                    <a:avLst/>
                  </a:prstGeom>
                </c15:spPr>
              </c:ext>
            </c:extLst>
          </c:dLbls>
          <c:cat>
            <c:strRef>
              <c:f>'6C_RME'!$A$3:$A$8</c:f>
              <c:strCache>
                <c:ptCount val="6"/>
                <c:pt idx="0">
                  <c:v>Artificial Production</c:v>
                </c:pt>
                <c:pt idx="1">
                  <c:v>Habitat</c:v>
                </c:pt>
                <c:pt idx="2">
                  <c:v>Harvest</c:v>
                </c:pt>
                <c:pt idx="3">
                  <c:v>Hydrosystem</c:v>
                </c:pt>
                <c:pt idx="4">
                  <c:v>Predation</c:v>
                </c:pt>
                <c:pt idx="5">
                  <c:v>Programmatic</c:v>
                </c:pt>
              </c:strCache>
            </c:strRef>
          </c:cat>
          <c:val>
            <c:numRef>
              <c:f>'6C_RME'!$P$3:$P$8</c:f>
              <c:numCache>
                <c:formatCode>"$"#.0,,\ "million"</c:formatCode>
                <c:ptCount val="6"/>
                <c:pt idx="0">
                  <c:v>19689425.510000002</c:v>
                </c:pt>
                <c:pt idx="1">
                  <c:v>15103335.800000003</c:v>
                </c:pt>
                <c:pt idx="2">
                  <c:v>823650.64</c:v>
                </c:pt>
                <c:pt idx="3">
                  <c:v>7144961</c:v>
                </c:pt>
                <c:pt idx="4">
                  <c:v>1868780.7100000002</c:v>
                </c:pt>
                <c:pt idx="5">
                  <c:v>31060808</c:v>
                </c:pt>
              </c:numCache>
            </c:numRef>
          </c:val>
          <c:extLst>
            <c:ext xmlns:c16="http://schemas.microsoft.com/office/drawing/2014/chart" uri="{C3380CC4-5D6E-409C-BE32-E72D297353CC}">
              <c16:uniqueId val="{0000000C-9741-4BA5-9625-BE7798C093F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solidFill>
      <a:schemeClr val="lt1"/>
    </a:solidFill>
    <a:ln w="25400" cap="flat" cmpd="sng" algn="ctr">
      <a:noFill/>
      <a:prstDash val="soli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22" l="0.70000000000000018" r="0.70000000000000018" t="0.75000000000000022" header="0.3000000000000001" footer="0.30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5131392290941"/>
          <c:y val="4.0822011743024904E-2"/>
          <c:w val="0.79245557139571854"/>
          <c:h val="0.87395641366305232"/>
        </c:manualLayout>
      </c:layout>
      <c:barChart>
        <c:barDir val="bar"/>
        <c:grouping val="clustered"/>
        <c:varyColors val="0"/>
        <c:ser>
          <c:idx val="0"/>
          <c:order val="0"/>
          <c:spPr>
            <a:solidFill>
              <a:schemeClr val="tx2">
                <a:lumMod val="40000"/>
                <a:lumOff val="60000"/>
              </a:schemeClr>
            </a:solidFill>
            <a:effectLst>
              <a:outerShdw blurRad="50800" dist="38100" dir="2700000" algn="tl" rotWithShape="0">
                <a:prstClr val="black">
                  <a:alpha val="40000"/>
                </a:prstClr>
              </a:outerShdw>
            </a:effectLst>
          </c:spPr>
          <c:invertIfNegative val="0"/>
          <c:dPt>
            <c:idx val="0"/>
            <c:invertIfNegative val="0"/>
            <c:bubble3D val="0"/>
            <c:extLst>
              <c:ext xmlns:c16="http://schemas.microsoft.com/office/drawing/2014/chart" uri="{C3380CC4-5D6E-409C-BE32-E72D297353CC}">
                <c16:uniqueId val="{00000000-7FEE-4D26-A36B-86FFF3A5B10A}"/>
              </c:ext>
            </c:extLst>
          </c:dPt>
          <c:dPt>
            <c:idx val="1"/>
            <c:invertIfNegative val="0"/>
            <c:bubble3D val="0"/>
            <c:extLst>
              <c:ext xmlns:c16="http://schemas.microsoft.com/office/drawing/2014/chart" uri="{C3380CC4-5D6E-409C-BE32-E72D297353CC}">
                <c16:uniqueId val="{00000001-7FEE-4D26-A36B-86FFF3A5B10A}"/>
              </c:ext>
            </c:extLst>
          </c:dPt>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'7A_Province'!$M$21:$M$32</c:f>
              <c:strCache>
                <c:ptCount val="12"/>
                <c:pt idx="0">
                  <c:v>Other</c:v>
                </c:pt>
                <c:pt idx="1">
                  <c:v>MIDDLE SNAKE</c:v>
                </c:pt>
                <c:pt idx="2">
                  <c:v>UPPER SNAKE</c:v>
                </c:pt>
                <c:pt idx="3">
                  <c:v>COLUMBIA GORGE</c:v>
                </c:pt>
                <c:pt idx="4">
                  <c:v>COLUMBIA ESTUARY</c:v>
                </c:pt>
                <c:pt idx="5">
                  <c:v>MOUNTAIN COLUMBIA</c:v>
                </c:pt>
                <c:pt idx="6">
                  <c:v>BLUE MOUNTAIN</c:v>
                </c:pt>
                <c:pt idx="7">
                  <c:v>INTERMOUNTAIN</c:v>
                </c:pt>
                <c:pt idx="8">
                  <c:v>COLUMBIA CASCADE</c:v>
                </c:pt>
                <c:pt idx="9">
                  <c:v>MOUNTAIN SNAKE</c:v>
                </c:pt>
                <c:pt idx="10">
                  <c:v>LOWER COLUMBIA</c:v>
                </c:pt>
                <c:pt idx="11">
                  <c:v>COLUMBIA PLATEAU</c:v>
                </c:pt>
              </c:strCache>
            </c:strRef>
          </c:cat>
          <c:val>
            <c:numRef>
              <c:f>'7A_Province'!$N$21:$N$32</c:f>
              <c:numCache>
                <c:formatCode>"$"#.0,,\ "million"</c:formatCode>
                <c:ptCount val="12"/>
                <c:pt idx="0">
                  <c:v>3474661.96</c:v>
                </c:pt>
                <c:pt idx="1">
                  <c:v>4921664</c:v>
                </c:pt>
                <c:pt idx="2">
                  <c:v>5279947</c:v>
                </c:pt>
                <c:pt idx="3">
                  <c:v>9043472</c:v>
                </c:pt>
                <c:pt idx="4">
                  <c:v>10043924</c:v>
                </c:pt>
                <c:pt idx="5">
                  <c:v>16612757</c:v>
                </c:pt>
                <c:pt idx="6">
                  <c:v>17881467</c:v>
                </c:pt>
                <c:pt idx="7">
                  <c:v>22593290</c:v>
                </c:pt>
                <c:pt idx="8">
                  <c:v>24480271</c:v>
                </c:pt>
                <c:pt idx="9">
                  <c:v>27793409</c:v>
                </c:pt>
                <c:pt idx="10">
                  <c:v>36378950.399999999</c:v>
                </c:pt>
                <c:pt idx="11">
                  <c:v>59742388</c:v>
                </c:pt>
              </c:numCache>
            </c:numRef>
          </c:val>
          <c:extLst>
            <c:ext xmlns:c16="http://schemas.microsoft.com/office/drawing/2014/chart" uri="{C3380CC4-5D6E-409C-BE32-E72D297353CC}">
              <c16:uniqueId val="{0000000C-7FEE-4D26-A36B-86FFF3A5B10A}"/>
            </c:ext>
          </c:extLst>
        </c:ser>
        <c:dLbls>
          <c:showLegendKey val="0"/>
          <c:showVal val="0"/>
          <c:showCatName val="0"/>
          <c:showSerName val="0"/>
          <c:showPercent val="0"/>
          <c:showBubbleSize val="0"/>
        </c:dLbls>
        <c:gapWidth val="100"/>
        <c:axId val="246305327"/>
        <c:axId val="246304911"/>
      </c:barChart>
      <c:valAx>
        <c:axId val="246304911"/>
        <c:scaling>
          <c:orientation val="minMax"/>
        </c:scaling>
        <c:delete val="0"/>
        <c:axPos val="b"/>
        <c:majorGridlines>
          <c:spPr>
            <a:ln>
              <a:solidFill>
                <a:schemeClr val="bg1">
                  <a:lumMod val="85000"/>
                </a:schemeClr>
              </a:solidFill>
            </a:ln>
          </c:spPr>
        </c:majorGridlines>
        <c:numFmt formatCode="&quot;$&quot;#0,,\ &quot;mil&quot;" sourceLinked="0"/>
        <c:majorTickMark val="out"/>
        <c:minorTickMark val="none"/>
        <c:tickLblPos val="nextTo"/>
        <c:spPr>
          <a:ln>
            <a:solidFill>
              <a:schemeClr val="bg1">
                <a:lumMod val="85000"/>
              </a:schemeClr>
            </a:solidFill>
          </a:ln>
        </c:spPr>
        <c:crossAx val="246305327"/>
        <c:crosses val="autoZero"/>
        <c:crossBetween val="between"/>
      </c:valAx>
      <c:catAx>
        <c:axId val="246305327"/>
        <c:scaling>
          <c:orientation val="minMax"/>
        </c:scaling>
        <c:delete val="0"/>
        <c:axPos val="l"/>
        <c:numFmt formatCode="General" sourceLinked="1"/>
        <c:majorTickMark val="out"/>
        <c:minorTickMark val="none"/>
        <c:tickLblPos val="nextTo"/>
        <c:spPr>
          <a:ln>
            <a:solidFill>
              <a:schemeClr val="bg1">
                <a:lumMod val="85000"/>
              </a:schemeClr>
            </a:solidFill>
          </a:ln>
        </c:spPr>
        <c:crossAx val="246304911"/>
        <c:crosses val="autoZero"/>
        <c:auto val="1"/>
        <c:lblAlgn val="ctr"/>
        <c:lblOffset val="100"/>
        <c:noMultiLvlLbl val="0"/>
      </c:catAx>
    </c:plotArea>
    <c:plotVisOnly val="1"/>
    <c:dispBlanksAs val="gap"/>
    <c:showDLblsOverMax val="0"/>
  </c:chart>
  <c:spPr>
    <a:solidFill>
      <a:schemeClr val="lt1"/>
    </a:solidFill>
    <a:ln w="25400" cap="flat" cmpd="sng" algn="ctr">
      <a:noFill/>
      <a:prstDash val="soli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29977658870308"/>
          <c:y val="8.2291850463567465E-3"/>
          <c:w val="0.78955726651923819"/>
          <c:h val="0.96695083052573816"/>
        </c:manualLayout>
      </c:layout>
      <c:barChart>
        <c:barDir val="bar"/>
        <c:grouping val="clustered"/>
        <c:varyColors val="0"/>
        <c:ser>
          <c:idx val="0"/>
          <c:order val="0"/>
          <c:spPr>
            <a:solidFill>
              <a:schemeClr val="accent1"/>
            </a:solidFill>
            <a:ln>
              <a:noFill/>
            </a:ln>
            <a:effectLst/>
          </c:spPr>
          <c:invertIfNegative val="0"/>
          <c:dLbls>
            <c:delete val="1"/>
          </c:dLbls>
          <c:cat>
            <c:strRef>
              <c:f>'7B_Subbasin'!$B$10:$B$67</c:f>
              <c:strCache>
                <c:ptCount val="58"/>
                <c:pt idx="0">
                  <c:v>Snake Lower Middle</c:v>
                </c:pt>
                <c:pt idx="1">
                  <c:v>Bruneau</c:v>
                </c:pt>
                <c:pt idx="2">
                  <c:v>Snake Upper Closed Basin</c:v>
                </c:pt>
                <c:pt idx="3">
                  <c:v>Big White Salmon</c:v>
                </c:pt>
                <c:pt idx="4">
                  <c:v>Cowlitz</c:v>
                </c:pt>
                <c:pt idx="5">
                  <c:v>Washougal</c:v>
                </c:pt>
                <c:pt idx="6">
                  <c:v>Fifteenmile</c:v>
                </c:pt>
                <c:pt idx="7">
                  <c:v>Kalama</c:v>
                </c:pt>
                <c:pt idx="8">
                  <c:v>Snake Headwaters</c:v>
                </c:pt>
                <c:pt idx="9">
                  <c:v>Lake Chelan</c:v>
                </c:pt>
                <c:pt idx="10">
                  <c:v>Palouse</c:v>
                </c:pt>
                <c:pt idx="11">
                  <c:v>Payette</c:v>
                </c:pt>
                <c:pt idx="12">
                  <c:v>Malheur</c:v>
                </c:pt>
                <c:pt idx="13">
                  <c:v>Crab</c:v>
                </c:pt>
                <c:pt idx="14">
                  <c:v>Lewis</c:v>
                </c:pt>
                <c:pt idx="15">
                  <c:v>Little White Salmon</c:v>
                </c:pt>
                <c:pt idx="16">
                  <c:v>Asotin</c:v>
                </c:pt>
                <c:pt idx="17">
                  <c:v>Wind</c:v>
                </c:pt>
                <c:pt idx="18">
                  <c:v>Owyhee</c:v>
                </c:pt>
                <c:pt idx="19">
                  <c:v>Elochoman</c:v>
                </c:pt>
                <c:pt idx="20">
                  <c:v>Imnaha</c:v>
                </c:pt>
                <c:pt idx="21">
                  <c:v>Other</c:v>
                </c:pt>
                <c:pt idx="22">
                  <c:v>Snake Hells Canyon</c:v>
                </c:pt>
                <c:pt idx="23">
                  <c:v>Sanpoil</c:v>
                </c:pt>
                <c:pt idx="24">
                  <c:v>Grays</c:v>
                </c:pt>
                <c:pt idx="25">
                  <c:v>Puget Sound</c:v>
                </c:pt>
                <c:pt idx="26">
                  <c:v>Hood</c:v>
                </c:pt>
                <c:pt idx="27">
                  <c:v>Boise</c:v>
                </c:pt>
                <c:pt idx="28">
                  <c:v>Coeur D'Alene</c:v>
                </c:pt>
                <c:pt idx="29">
                  <c:v>Deschutes</c:v>
                </c:pt>
                <c:pt idx="30">
                  <c:v>Tucannon</c:v>
                </c:pt>
                <c:pt idx="31">
                  <c:v>Columbia Gorge</c:v>
                </c:pt>
                <c:pt idx="32">
                  <c:v>Clark Fork</c:v>
                </c:pt>
                <c:pt idx="33">
                  <c:v>Flathead</c:v>
                </c:pt>
                <c:pt idx="34">
                  <c:v>Spokane</c:v>
                </c:pt>
                <c:pt idx="35">
                  <c:v>Columbia Upper Middle</c:v>
                </c:pt>
                <c:pt idx="36">
                  <c:v>Snake Lower</c:v>
                </c:pt>
                <c:pt idx="37">
                  <c:v>Snake Upper</c:v>
                </c:pt>
                <c:pt idx="38">
                  <c:v>Pend Oreille</c:v>
                </c:pt>
                <c:pt idx="39">
                  <c:v>Wenatchee</c:v>
                </c:pt>
                <c:pt idx="40">
                  <c:v>Entiat</c:v>
                </c:pt>
                <c:pt idx="41">
                  <c:v>Walla Walla</c:v>
                </c:pt>
                <c:pt idx="42">
                  <c:v>Columbia Lower Middle</c:v>
                </c:pt>
                <c:pt idx="43">
                  <c:v>John Day</c:v>
                </c:pt>
                <c:pt idx="44">
                  <c:v>Okanogan</c:v>
                </c:pt>
                <c:pt idx="45">
                  <c:v>Methow</c:v>
                </c:pt>
                <c:pt idx="46">
                  <c:v>Klickitat</c:v>
                </c:pt>
                <c:pt idx="47">
                  <c:v>Columbia Upper</c:v>
                </c:pt>
                <c:pt idx="48">
                  <c:v>Snake Upper Middle</c:v>
                </c:pt>
                <c:pt idx="49">
                  <c:v>Willamette</c:v>
                </c:pt>
                <c:pt idx="50">
                  <c:v>Columbia Lower</c:v>
                </c:pt>
                <c:pt idx="51">
                  <c:v>Columbia Estuary</c:v>
                </c:pt>
                <c:pt idx="52">
                  <c:v>Umatilla</c:v>
                </c:pt>
                <c:pt idx="53">
                  <c:v>Kootenai</c:v>
                </c:pt>
                <c:pt idx="54">
                  <c:v>Grande Ronde</c:v>
                </c:pt>
                <c:pt idx="55">
                  <c:v>Clearwater</c:v>
                </c:pt>
                <c:pt idx="56">
                  <c:v>Yakima</c:v>
                </c:pt>
                <c:pt idx="57">
                  <c:v>Salmon</c:v>
                </c:pt>
              </c:strCache>
            </c:strRef>
          </c:cat>
          <c:val>
            <c:numRef>
              <c:f>'7B_Subbasin'!$H$10:$H$67</c:f>
              <c:numCache>
                <c:formatCode>"$"#,##0</c:formatCode>
                <c:ptCount val="58"/>
                <c:pt idx="0">
                  <c:v>45761.479999999974</c:v>
                </c:pt>
                <c:pt idx="1">
                  <c:v>62782.64999999998</c:v>
                </c:pt>
                <c:pt idx="2">
                  <c:v>67397.639999999941</c:v>
                </c:pt>
                <c:pt idx="3">
                  <c:v>67590.26999999996</c:v>
                </c:pt>
                <c:pt idx="4">
                  <c:v>133824.64000000022</c:v>
                </c:pt>
                <c:pt idx="5">
                  <c:v>143926.32999999996</c:v>
                </c:pt>
                <c:pt idx="6">
                  <c:v>200564.70000000054</c:v>
                </c:pt>
                <c:pt idx="7">
                  <c:v>242180.88999999981</c:v>
                </c:pt>
                <c:pt idx="8">
                  <c:v>276655.44999999972</c:v>
                </c:pt>
                <c:pt idx="9">
                  <c:v>396027.57999999996</c:v>
                </c:pt>
                <c:pt idx="10">
                  <c:v>503043.56000000017</c:v>
                </c:pt>
                <c:pt idx="11">
                  <c:v>526291.57000000053</c:v>
                </c:pt>
                <c:pt idx="12">
                  <c:v>551138.67999999982</c:v>
                </c:pt>
                <c:pt idx="13">
                  <c:v>579767.49999999965</c:v>
                </c:pt>
                <c:pt idx="14">
                  <c:v>753582.64000000036</c:v>
                </c:pt>
                <c:pt idx="15">
                  <c:v>785921.179999999</c:v>
                </c:pt>
                <c:pt idx="16">
                  <c:v>844438.50000000128</c:v>
                </c:pt>
                <c:pt idx="17">
                  <c:v>884184.11999999511</c:v>
                </c:pt>
                <c:pt idx="18">
                  <c:v>1031531.9600000008</c:v>
                </c:pt>
                <c:pt idx="19">
                  <c:v>1251709.4500000051</c:v>
                </c:pt>
                <c:pt idx="20">
                  <c:v>1273137.4899999991</c:v>
                </c:pt>
                <c:pt idx="21">
                  <c:v>1457938.07</c:v>
                </c:pt>
                <c:pt idx="22">
                  <c:v>1542877.9700000081</c:v>
                </c:pt>
                <c:pt idx="23">
                  <c:v>1776660.0600000038</c:v>
                </c:pt>
                <c:pt idx="24">
                  <c:v>1834158.0000000009</c:v>
                </c:pt>
                <c:pt idx="25">
                  <c:v>1942943.7499999998</c:v>
                </c:pt>
                <c:pt idx="26">
                  <c:v>2191239.2400000235</c:v>
                </c:pt>
                <c:pt idx="27">
                  <c:v>2205031.4699999914</c:v>
                </c:pt>
                <c:pt idx="28">
                  <c:v>2996814.2599999858</c:v>
                </c:pt>
                <c:pt idx="29">
                  <c:v>3113134.1799997287</c:v>
                </c:pt>
                <c:pt idx="30">
                  <c:v>3132052.1799999936</c:v>
                </c:pt>
                <c:pt idx="31">
                  <c:v>3177227.6000000057</c:v>
                </c:pt>
                <c:pt idx="32">
                  <c:v>3941792.7500000028</c:v>
                </c:pt>
                <c:pt idx="33">
                  <c:v>4101277.8000000501</c:v>
                </c:pt>
                <c:pt idx="34">
                  <c:v>4493513.329999933</c:v>
                </c:pt>
                <c:pt idx="35">
                  <c:v>4674722.7100000028</c:v>
                </c:pt>
                <c:pt idx="36">
                  <c:v>5366402.1900000162</c:v>
                </c:pt>
                <c:pt idx="37">
                  <c:v>5409836.6200000113</c:v>
                </c:pt>
                <c:pt idx="38">
                  <c:v>5772200.3099999921</c:v>
                </c:pt>
                <c:pt idx="39">
                  <c:v>5921547.4499999862</c:v>
                </c:pt>
                <c:pt idx="40">
                  <c:v>5999018.3400000045</c:v>
                </c:pt>
                <c:pt idx="41">
                  <c:v>6009280.8199998569</c:v>
                </c:pt>
                <c:pt idx="42">
                  <c:v>6274263.7900000103</c:v>
                </c:pt>
                <c:pt idx="43">
                  <c:v>6277054.5600004941</c:v>
                </c:pt>
                <c:pt idx="44">
                  <c:v>6308889.4099996276</c:v>
                </c:pt>
                <c:pt idx="45">
                  <c:v>6660550.8199999984</c:v>
                </c:pt>
                <c:pt idx="46">
                  <c:v>6764512.799999997</c:v>
                </c:pt>
                <c:pt idx="47">
                  <c:v>7698449.5599996485</c:v>
                </c:pt>
                <c:pt idx="48">
                  <c:v>7865150</c:v>
                </c:pt>
                <c:pt idx="49">
                  <c:v>8037815.8199999854</c:v>
                </c:pt>
                <c:pt idx="50">
                  <c:v>8584704.1599998865</c:v>
                </c:pt>
                <c:pt idx="51">
                  <c:v>9125716.6199999508</c:v>
                </c:pt>
                <c:pt idx="52">
                  <c:v>11067664.109999968</c:v>
                </c:pt>
                <c:pt idx="53">
                  <c:v>11378402.890000029</c:v>
                </c:pt>
                <c:pt idx="54">
                  <c:v>12290876.340000164</c:v>
                </c:pt>
                <c:pt idx="55">
                  <c:v>13298387.809999526</c:v>
                </c:pt>
                <c:pt idx="56">
                  <c:v>16445331.250000188</c:v>
                </c:pt>
                <c:pt idx="57">
                  <c:v>16555985.209999086</c:v>
                </c:pt>
              </c:numCache>
            </c:numRef>
          </c:val>
          <c:extLst>
            <c:ext xmlns:c16="http://schemas.microsoft.com/office/drawing/2014/chart" uri="{C3380CC4-5D6E-409C-BE32-E72D297353CC}">
              <c16:uniqueId val="{00000000-3C35-469A-9BA5-CF3170D51A4C}"/>
            </c:ext>
          </c:extLst>
        </c:ser>
        <c:dLbls>
          <c:showLegendKey val="0"/>
          <c:showVal val="1"/>
          <c:showCatName val="0"/>
          <c:showSerName val="0"/>
          <c:showPercent val="0"/>
          <c:showBubbleSize val="0"/>
        </c:dLbls>
        <c:gapWidth val="182"/>
        <c:axId val="661650936"/>
        <c:axId val="661651264"/>
      </c:barChart>
      <c:catAx>
        <c:axId val="661650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661651264"/>
        <c:crosses val="autoZero"/>
        <c:auto val="1"/>
        <c:lblAlgn val="ctr"/>
        <c:lblOffset val="100"/>
        <c:noMultiLvlLbl val="0"/>
      </c:catAx>
      <c:valAx>
        <c:axId val="661651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6616509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25400" cap="flat" cmpd="sng" algn="ctr">
      <a:noFill/>
      <a:prstDash val="solid"/>
      <a:roun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6"/>
            <c:invertIfNegative val="0"/>
            <c:bubble3D val="0"/>
            <c:spPr>
              <a:solidFill>
                <a:srgbClr val="C0504D"/>
              </a:solidFill>
              <a:ln>
                <a:noFill/>
              </a:ln>
              <a:effectLst/>
            </c:spPr>
            <c:extLst>
              <c:ext xmlns:c16="http://schemas.microsoft.com/office/drawing/2014/chart" uri="{C3380CC4-5D6E-409C-BE32-E72D297353CC}">
                <c16:uniqueId val="{00000040-EC1B-4140-9ED1-313C5F30B9EA}"/>
              </c:ext>
            </c:extLst>
          </c:dPt>
          <c:dPt>
            <c:idx val="7"/>
            <c:invertIfNegative val="0"/>
            <c:bubble3D val="0"/>
            <c:spPr>
              <a:solidFill>
                <a:srgbClr val="C0504D"/>
              </a:solidFill>
              <a:ln>
                <a:noFill/>
              </a:ln>
              <a:effectLst/>
            </c:spPr>
            <c:extLst>
              <c:ext xmlns:c16="http://schemas.microsoft.com/office/drawing/2014/chart" uri="{C3380CC4-5D6E-409C-BE32-E72D297353CC}">
                <c16:uniqueId val="{00000041-EC1B-4140-9ED1-313C5F30B9EA}"/>
              </c:ext>
            </c:extLst>
          </c:dPt>
          <c:dPt>
            <c:idx val="8"/>
            <c:invertIfNegative val="0"/>
            <c:bubble3D val="0"/>
            <c:spPr>
              <a:solidFill>
                <a:srgbClr val="C0504D"/>
              </a:solidFill>
              <a:ln>
                <a:noFill/>
              </a:ln>
              <a:effectLst/>
            </c:spPr>
            <c:extLst>
              <c:ext xmlns:c16="http://schemas.microsoft.com/office/drawing/2014/chart" uri="{C3380CC4-5D6E-409C-BE32-E72D297353CC}">
                <c16:uniqueId val="{00000042-EC1B-4140-9ED1-313C5F30B9EA}"/>
              </c:ext>
            </c:extLst>
          </c:dPt>
          <c:dPt>
            <c:idx val="9"/>
            <c:invertIfNegative val="0"/>
            <c:bubble3D val="0"/>
            <c:spPr>
              <a:solidFill>
                <a:schemeClr val="accent2"/>
              </a:solidFill>
              <a:ln>
                <a:noFill/>
              </a:ln>
              <a:effectLst/>
            </c:spPr>
            <c:extLst>
              <c:ext xmlns:c16="http://schemas.microsoft.com/office/drawing/2014/chart" uri="{C3380CC4-5D6E-409C-BE32-E72D297353CC}">
                <c16:uniqueId val="{0000003A-DD2E-4FDB-A6E0-9740691AFEFF}"/>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3B-DD2E-4FDB-A6E0-9740691AFEFF}"/>
              </c:ext>
            </c:extLst>
          </c:dPt>
          <c:dPt>
            <c:idx val="11"/>
            <c:invertIfNegative val="0"/>
            <c:bubble3D val="0"/>
            <c:spPr>
              <a:solidFill>
                <a:schemeClr val="accent3">
                  <a:lumMod val="75000"/>
                </a:schemeClr>
              </a:solidFill>
              <a:ln>
                <a:noFill/>
              </a:ln>
              <a:effectLst/>
            </c:spPr>
            <c:extLst>
              <c:ext xmlns:c16="http://schemas.microsoft.com/office/drawing/2014/chart" uri="{C3380CC4-5D6E-409C-BE32-E72D297353CC}">
                <c16:uniqueId val="{0000003C-DD2E-4FDB-A6E0-9740691AFEFF}"/>
              </c:ext>
            </c:extLst>
          </c:dPt>
          <c:dPt>
            <c:idx val="12"/>
            <c:invertIfNegative val="0"/>
            <c:bubble3D val="0"/>
            <c:spPr>
              <a:solidFill>
                <a:schemeClr val="accent3">
                  <a:lumMod val="75000"/>
                </a:schemeClr>
              </a:solidFill>
              <a:ln>
                <a:noFill/>
              </a:ln>
              <a:effectLst/>
            </c:spPr>
            <c:extLst>
              <c:ext xmlns:c16="http://schemas.microsoft.com/office/drawing/2014/chart" uri="{C3380CC4-5D6E-409C-BE32-E72D297353CC}">
                <c16:uniqueId val="{0000003D-DD2E-4FDB-A6E0-9740691AFEFF}"/>
              </c:ext>
            </c:extLst>
          </c:dPt>
          <c:dPt>
            <c:idx val="13"/>
            <c:invertIfNegative val="0"/>
            <c:bubble3D val="0"/>
            <c:spPr>
              <a:solidFill>
                <a:schemeClr val="accent3">
                  <a:lumMod val="75000"/>
                </a:schemeClr>
              </a:solidFill>
              <a:ln>
                <a:noFill/>
              </a:ln>
              <a:effectLst/>
            </c:spPr>
            <c:extLst>
              <c:ext xmlns:c16="http://schemas.microsoft.com/office/drawing/2014/chart" uri="{C3380CC4-5D6E-409C-BE32-E72D297353CC}">
                <c16:uniqueId val="{0000003E-DD2E-4FDB-A6E0-9740691AFEFF}"/>
              </c:ext>
            </c:extLst>
          </c:dPt>
          <c:dPt>
            <c:idx val="14"/>
            <c:invertIfNegative val="0"/>
            <c:bubble3D val="0"/>
            <c:spPr>
              <a:solidFill>
                <a:schemeClr val="accent3">
                  <a:lumMod val="75000"/>
                </a:schemeClr>
              </a:solidFill>
              <a:ln>
                <a:noFill/>
              </a:ln>
              <a:effectLst/>
            </c:spPr>
            <c:extLst>
              <c:ext xmlns:c16="http://schemas.microsoft.com/office/drawing/2014/chart" uri="{C3380CC4-5D6E-409C-BE32-E72D297353CC}">
                <c16:uniqueId val="{0000004F-DD2E-4FDB-A6E0-9740691AFEFF}"/>
              </c:ext>
            </c:extLst>
          </c:dPt>
          <c:dPt>
            <c:idx val="15"/>
            <c:invertIfNegative val="0"/>
            <c:bubble3D val="0"/>
            <c:spPr>
              <a:solidFill>
                <a:schemeClr val="accent3">
                  <a:lumMod val="75000"/>
                </a:schemeClr>
              </a:solidFill>
              <a:ln>
                <a:noFill/>
              </a:ln>
              <a:effectLst/>
            </c:spPr>
            <c:extLst>
              <c:ext xmlns:c16="http://schemas.microsoft.com/office/drawing/2014/chart" uri="{C3380CC4-5D6E-409C-BE32-E72D297353CC}">
                <c16:uniqueId val="{0000003F-DD2E-4FDB-A6E0-9740691AFEFF}"/>
              </c:ext>
            </c:extLst>
          </c:dPt>
          <c:dPt>
            <c:idx val="16"/>
            <c:invertIfNegative val="0"/>
            <c:bubble3D val="0"/>
            <c:spPr>
              <a:solidFill>
                <a:schemeClr val="accent3">
                  <a:lumMod val="75000"/>
                </a:schemeClr>
              </a:solidFill>
              <a:ln>
                <a:noFill/>
              </a:ln>
              <a:effectLst/>
            </c:spPr>
            <c:extLst>
              <c:ext xmlns:c16="http://schemas.microsoft.com/office/drawing/2014/chart" uri="{C3380CC4-5D6E-409C-BE32-E72D297353CC}">
                <c16:uniqueId val="{00000040-DD2E-4FDB-A6E0-9740691AFEFF}"/>
              </c:ext>
            </c:extLst>
          </c:dPt>
          <c:dPt>
            <c:idx val="17"/>
            <c:invertIfNegative val="0"/>
            <c:bubble3D val="0"/>
            <c:spPr>
              <a:solidFill>
                <a:schemeClr val="accent3">
                  <a:lumMod val="75000"/>
                </a:schemeClr>
              </a:solidFill>
              <a:ln>
                <a:noFill/>
              </a:ln>
              <a:effectLst/>
            </c:spPr>
            <c:extLst>
              <c:ext xmlns:c16="http://schemas.microsoft.com/office/drawing/2014/chart" uri="{C3380CC4-5D6E-409C-BE32-E72D297353CC}">
                <c16:uniqueId val="{00000041-DD2E-4FDB-A6E0-9740691AFEFF}"/>
              </c:ext>
            </c:extLst>
          </c:dPt>
          <c:dPt>
            <c:idx val="18"/>
            <c:invertIfNegative val="0"/>
            <c:bubble3D val="0"/>
            <c:spPr>
              <a:solidFill>
                <a:schemeClr val="accent3">
                  <a:lumMod val="75000"/>
                </a:schemeClr>
              </a:solidFill>
              <a:ln>
                <a:noFill/>
              </a:ln>
              <a:effectLst/>
            </c:spPr>
            <c:extLst>
              <c:ext xmlns:c16="http://schemas.microsoft.com/office/drawing/2014/chart" uri="{C3380CC4-5D6E-409C-BE32-E72D297353CC}">
                <c16:uniqueId val="{00000042-DD2E-4FDB-A6E0-9740691AFEFF}"/>
              </c:ext>
            </c:extLst>
          </c:dPt>
          <c:dPt>
            <c:idx val="19"/>
            <c:invertIfNegative val="0"/>
            <c:bubble3D val="0"/>
            <c:spPr>
              <a:solidFill>
                <a:schemeClr val="accent3">
                  <a:lumMod val="75000"/>
                </a:schemeClr>
              </a:solidFill>
              <a:ln>
                <a:noFill/>
              </a:ln>
              <a:effectLst/>
            </c:spPr>
            <c:extLst>
              <c:ext xmlns:c16="http://schemas.microsoft.com/office/drawing/2014/chart" uri="{C3380CC4-5D6E-409C-BE32-E72D297353CC}">
                <c16:uniqueId val="{00000043-DD2E-4FDB-A6E0-9740691AFEFF}"/>
              </c:ext>
            </c:extLst>
          </c:dPt>
          <c:dPt>
            <c:idx val="20"/>
            <c:invertIfNegative val="0"/>
            <c:bubble3D val="0"/>
            <c:spPr>
              <a:solidFill>
                <a:schemeClr val="accent3">
                  <a:lumMod val="75000"/>
                </a:schemeClr>
              </a:solidFill>
              <a:ln>
                <a:noFill/>
              </a:ln>
              <a:effectLst/>
            </c:spPr>
            <c:extLst>
              <c:ext xmlns:c16="http://schemas.microsoft.com/office/drawing/2014/chart" uri="{C3380CC4-5D6E-409C-BE32-E72D297353CC}">
                <c16:uniqueId val="{00000044-DD2E-4FDB-A6E0-9740691AFEFF}"/>
              </c:ext>
            </c:extLst>
          </c:dPt>
          <c:dPt>
            <c:idx val="21"/>
            <c:invertIfNegative val="0"/>
            <c:bubble3D val="0"/>
            <c:spPr>
              <a:solidFill>
                <a:schemeClr val="accent3">
                  <a:lumMod val="75000"/>
                </a:schemeClr>
              </a:solidFill>
              <a:ln>
                <a:noFill/>
              </a:ln>
              <a:effectLst/>
            </c:spPr>
            <c:extLst>
              <c:ext xmlns:c16="http://schemas.microsoft.com/office/drawing/2014/chart" uri="{C3380CC4-5D6E-409C-BE32-E72D297353CC}">
                <c16:uniqueId val="{00000045-DD2E-4FDB-A6E0-9740691AFEFF}"/>
              </c:ext>
            </c:extLst>
          </c:dPt>
          <c:dPt>
            <c:idx val="22"/>
            <c:invertIfNegative val="0"/>
            <c:bubble3D val="0"/>
            <c:spPr>
              <a:solidFill>
                <a:schemeClr val="accent3">
                  <a:lumMod val="75000"/>
                </a:schemeClr>
              </a:solidFill>
              <a:ln>
                <a:noFill/>
              </a:ln>
              <a:effectLst/>
            </c:spPr>
            <c:extLst>
              <c:ext xmlns:c16="http://schemas.microsoft.com/office/drawing/2014/chart" uri="{C3380CC4-5D6E-409C-BE32-E72D297353CC}">
                <c16:uniqueId val="{00000046-DD2E-4FDB-A6E0-9740691AFEFF}"/>
              </c:ext>
            </c:extLst>
          </c:dPt>
          <c:dPt>
            <c:idx val="23"/>
            <c:invertIfNegative val="0"/>
            <c:bubble3D val="0"/>
            <c:spPr>
              <a:solidFill>
                <a:schemeClr val="accent3">
                  <a:lumMod val="75000"/>
                </a:schemeClr>
              </a:solidFill>
              <a:ln>
                <a:noFill/>
              </a:ln>
              <a:effectLst/>
            </c:spPr>
            <c:extLst>
              <c:ext xmlns:c16="http://schemas.microsoft.com/office/drawing/2014/chart" uri="{C3380CC4-5D6E-409C-BE32-E72D297353CC}">
                <c16:uniqueId val="{00000047-DD2E-4FDB-A6E0-9740691AFEFF}"/>
              </c:ext>
            </c:extLst>
          </c:dPt>
          <c:dPt>
            <c:idx val="24"/>
            <c:invertIfNegative val="0"/>
            <c:bubble3D val="0"/>
            <c:spPr>
              <a:solidFill>
                <a:schemeClr val="accent3">
                  <a:lumMod val="75000"/>
                </a:schemeClr>
              </a:solidFill>
              <a:ln>
                <a:noFill/>
              </a:ln>
              <a:effectLst/>
            </c:spPr>
            <c:extLst>
              <c:ext xmlns:c16="http://schemas.microsoft.com/office/drawing/2014/chart" uri="{C3380CC4-5D6E-409C-BE32-E72D297353CC}">
                <c16:uniqueId val="{00000048-DD2E-4FDB-A6E0-9740691AFEFF}"/>
              </c:ext>
            </c:extLst>
          </c:dPt>
          <c:dPt>
            <c:idx val="25"/>
            <c:invertIfNegative val="0"/>
            <c:bubble3D val="0"/>
            <c:spPr>
              <a:solidFill>
                <a:schemeClr val="accent3">
                  <a:lumMod val="75000"/>
                </a:schemeClr>
              </a:solidFill>
              <a:ln>
                <a:noFill/>
              </a:ln>
              <a:effectLst/>
            </c:spPr>
            <c:extLst>
              <c:ext xmlns:c16="http://schemas.microsoft.com/office/drawing/2014/chart" uri="{C3380CC4-5D6E-409C-BE32-E72D297353CC}">
                <c16:uniqueId val="{00000049-DD2E-4FDB-A6E0-9740691AFEFF}"/>
              </c:ext>
            </c:extLst>
          </c:dPt>
          <c:dPt>
            <c:idx val="26"/>
            <c:invertIfNegative val="0"/>
            <c:bubble3D val="0"/>
            <c:spPr>
              <a:solidFill>
                <a:schemeClr val="accent3">
                  <a:lumMod val="75000"/>
                </a:schemeClr>
              </a:solidFill>
              <a:ln>
                <a:noFill/>
              </a:ln>
              <a:effectLst/>
            </c:spPr>
            <c:extLst>
              <c:ext xmlns:c16="http://schemas.microsoft.com/office/drawing/2014/chart" uri="{C3380CC4-5D6E-409C-BE32-E72D297353CC}">
                <c16:uniqueId val="{0000004A-DD2E-4FDB-A6E0-9740691AFEFF}"/>
              </c:ext>
            </c:extLst>
          </c:dPt>
          <c:dPt>
            <c:idx val="27"/>
            <c:invertIfNegative val="0"/>
            <c:bubble3D val="0"/>
            <c:spPr>
              <a:solidFill>
                <a:schemeClr val="accent3">
                  <a:lumMod val="75000"/>
                </a:schemeClr>
              </a:solidFill>
              <a:ln>
                <a:noFill/>
              </a:ln>
              <a:effectLst/>
            </c:spPr>
            <c:extLst>
              <c:ext xmlns:c16="http://schemas.microsoft.com/office/drawing/2014/chart" uri="{C3380CC4-5D6E-409C-BE32-E72D297353CC}">
                <c16:uniqueId val="{0000004B-DD2E-4FDB-A6E0-9740691AFEFF}"/>
              </c:ext>
            </c:extLst>
          </c:dPt>
          <c:dPt>
            <c:idx val="28"/>
            <c:invertIfNegative val="0"/>
            <c:bubble3D val="0"/>
            <c:spPr>
              <a:solidFill>
                <a:schemeClr val="accent3">
                  <a:lumMod val="75000"/>
                </a:schemeClr>
              </a:solidFill>
              <a:ln>
                <a:noFill/>
              </a:ln>
              <a:effectLst/>
            </c:spPr>
            <c:extLst>
              <c:ext xmlns:c16="http://schemas.microsoft.com/office/drawing/2014/chart" uri="{C3380CC4-5D6E-409C-BE32-E72D297353CC}">
                <c16:uniqueId val="{0000004C-DD2E-4FDB-A6E0-9740691AFEFF}"/>
              </c:ext>
            </c:extLst>
          </c:dPt>
          <c:dPt>
            <c:idx val="29"/>
            <c:invertIfNegative val="0"/>
            <c:bubble3D val="0"/>
            <c:spPr>
              <a:solidFill>
                <a:schemeClr val="accent3">
                  <a:lumMod val="75000"/>
                </a:schemeClr>
              </a:solidFill>
              <a:ln>
                <a:noFill/>
              </a:ln>
              <a:effectLst/>
            </c:spPr>
            <c:extLst>
              <c:ext xmlns:c16="http://schemas.microsoft.com/office/drawing/2014/chart" uri="{C3380CC4-5D6E-409C-BE32-E72D297353CC}">
                <c16:uniqueId val="{0000004D-DD2E-4FDB-A6E0-9740691AFEFF}"/>
              </c:ext>
            </c:extLst>
          </c:dPt>
          <c:dPt>
            <c:idx val="30"/>
            <c:invertIfNegative val="0"/>
            <c:bubble3D val="0"/>
            <c:spPr>
              <a:solidFill>
                <a:srgbClr val="856BA5"/>
              </a:solidFill>
              <a:ln>
                <a:noFill/>
              </a:ln>
              <a:effectLst/>
            </c:spPr>
            <c:extLst>
              <c:ext xmlns:c16="http://schemas.microsoft.com/office/drawing/2014/chart" uri="{C3380CC4-5D6E-409C-BE32-E72D297353CC}">
                <c16:uniqueId val="{0000004E-DD2E-4FDB-A6E0-9740691AFEFF}"/>
              </c:ext>
            </c:extLst>
          </c:dPt>
          <c:dPt>
            <c:idx val="31"/>
            <c:invertIfNegative val="0"/>
            <c:bubble3D val="0"/>
            <c:spPr>
              <a:solidFill>
                <a:srgbClr val="F4E89E"/>
              </a:solidFill>
              <a:ln>
                <a:noFill/>
              </a:ln>
              <a:effectLst/>
            </c:spPr>
            <c:extLst>
              <c:ext xmlns:c16="http://schemas.microsoft.com/office/drawing/2014/chart" uri="{C3380CC4-5D6E-409C-BE32-E72D297353CC}">
                <c16:uniqueId val="{00000050-DD2E-4FDB-A6E0-9740691AFEFF}"/>
              </c:ext>
            </c:extLst>
          </c:dPt>
          <c:dPt>
            <c:idx val="32"/>
            <c:invertIfNegative val="0"/>
            <c:bubble3D val="0"/>
            <c:spPr>
              <a:solidFill>
                <a:schemeClr val="bg1">
                  <a:lumMod val="65000"/>
                </a:schemeClr>
              </a:solidFill>
              <a:ln>
                <a:noFill/>
              </a:ln>
              <a:effectLst/>
            </c:spPr>
            <c:extLst>
              <c:ext xmlns:c16="http://schemas.microsoft.com/office/drawing/2014/chart" uri="{C3380CC4-5D6E-409C-BE32-E72D297353CC}">
                <c16:uniqueId val="{00000051-DD2E-4FDB-A6E0-9740691AFEFF}"/>
              </c:ext>
            </c:extLst>
          </c:dPt>
          <c:dPt>
            <c:idx val="33"/>
            <c:invertIfNegative val="0"/>
            <c:bubble3D val="0"/>
            <c:spPr>
              <a:solidFill>
                <a:schemeClr val="bg1">
                  <a:lumMod val="65000"/>
                </a:schemeClr>
              </a:solidFill>
              <a:ln>
                <a:noFill/>
              </a:ln>
              <a:effectLst/>
            </c:spPr>
            <c:extLst>
              <c:ext xmlns:c16="http://schemas.microsoft.com/office/drawing/2014/chart" uri="{C3380CC4-5D6E-409C-BE32-E72D297353CC}">
                <c16:uniqueId val="{00000052-DD2E-4FDB-A6E0-9740691AFEFF}"/>
              </c:ext>
            </c:extLst>
          </c:dPt>
          <c:dPt>
            <c:idx val="34"/>
            <c:invertIfNegative val="0"/>
            <c:bubble3D val="0"/>
            <c:spPr>
              <a:solidFill>
                <a:schemeClr val="bg1">
                  <a:lumMod val="65000"/>
                </a:schemeClr>
              </a:solidFill>
              <a:ln>
                <a:noFill/>
              </a:ln>
              <a:effectLst/>
            </c:spPr>
            <c:extLst>
              <c:ext xmlns:c16="http://schemas.microsoft.com/office/drawing/2014/chart" uri="{C3380CC4-5D6E-409C-BE32-E72D297353CC}">
                <c16:uniqueId val="{00000053-DD2E-4FDB-A6E0-9740691AFEFF}"/>
              </c:ext>
            </c:extLst>
          </c:dPt>
          <c:dPt>
            <c:idx val="35"/>
            <c:invertIfNegative val="0"/>
            <c:bubble3D val="0"/>
            <c:spPr>
              <a:solidFill>
                <a:schemeClr val="bg1">
                  <a:lumMod val="65000"/>
                </a:schemeClr>
              </a:solidFill>
              <a:ln>
                <a:noFill/>
              </a:ln>
              <a:effectLst/>
            </c:spPr>
            <c:extLst>
              <c:ext xmlns:c16="http://schemas.microsoft.com/office/drawing/2014/chart" uri="{C3380CC4-5D6E-409C-BE32-E72D297353CC}">
                <c16:uniqueId val="{00000054-DD2E-4FDB-A6E0-9740691AFEFF}"/>
              </c:ext>
            </c:extLst>
          </c:dPt>
          <c:dPt>
            <c:idx val="36"/>
            <c:invertIfNegative val="0"/>
            <c:bubble3D val="0"/>
            <c:spPr>
              <a:solidFill>
                <a:schemeClr val="bg1">
                  <a:lumMod val="65000"/>
                </a:schemeClr>
              </a:solidFill>
              <a:ln>
                <a:noFill/>
              </a:ln>
              <a:effectLst/>
            </c:spPr>
            <c:extLst>
              <c:ext xmlns:c16="http://schemas.microsoft.com/office/drawing/2014/chart" uri="{C3380CC4-5D6E-409C-BE32-E72D297353CC}">
                <c16:uniqueId val="{00000055-DD2E-4FDB-A6E0-9740691AFEFF}"/>
              </c:ext>
            </c:extLst>
          </c:dPt>
          <c:dPt>
            <c:idx val="37"/>
            <c:invertIfNegative val="0"/>
            <c:bubble3D val="0"/>
            <c:spPr>
              <a:solidFill>
                <a:schemeClr val="bg1">
                  <a:lumMod val="50000"/>
                </a:schemeClr>
              </a:solidFill>
              <a:ln>
                <a:noFill/>
              </a:ln>
              <a:effectLst/>
            </c:spPr>
            <c:extLst>
              <c:ext xmlns:c16="http://schemas.microsoft.com/office/drawing/2014/chart" uri="{C3380CC4-5D6E-409C-BE32-E72D297353CC}">
                <c16:uniqueId val="{00000056-DD2E-4FDB-A6E0-9740691AFEFF}"/>
              </c:ext>
            </c:extLst>
          </c:dPt>
          <c:dPt>
            <c:idx val="38"/>
            <c:invertIfNegative val="0"/>
            <c:bubble3D val="0"/>
            <c:spPr>
              <a:solidFill>
                <a:schemeClr val="bg1">
                  <a:lumMod val="50000"/>
                </a:schemeClr>
              </a:solidFill>
              <a:ln>
                <a:noFill/>
              </a:ln>
              <a:effectLst/>
            </c:spPr>
            <c:extLst>
              <c:ext xmlns:c16="http://schemas.microsoft.com/office/drawing/2014/chart" uri="{C3380CC4-5D6E-409C-BE32-E72D297353CC}">
                <c16:uniqueId val="{00000057-DD2E-4FDB-A6E0-9740691AFEFF}"/>
              </c:ext>
            </c:extLst>
          </c:dPt>
          <c:dPt>
            <c:idx val="39"/>
            <c:invertIfNegative val="0"/>
            <c:bubble3D val="0"/>
            <c:spPr>
              <a:solidFill>
                <a:schemeClr val="bg1">
                  <a:lumMod val="50000"/>
                </a:schemeClr>
              </a:solidFill>
              <a:ln>
                <a:noFill/>
              </a:ln>
              <a:effectLst/>
            </c:spPr>
            <c:extLst>
              <c:ext xmlns:c16="http://schemas.microsoft.com/office/drawing/2014/chart" uri="{C3380CC4-5D6E-409C-BE32-E72D297353CC}">
                <c16:uniqueId val="{00000058-DD2E-4FDB-A6E0-9740691AFEFF}"/>
              </c:ext>
            </c:extLst>
          </c:dPt>
          <c:dPt>
            <c:idx val="40"/>
            <c:invertIfNegative val="0"/>
            <c:bubble3D val="0"/>
            <c:spPr>
              <a:solidFill>
                <a:schemeClr val="bg1">
                  <a:lumMod val="50000"/>
                </a:schemeClr>
              </a:solidFill>
              <a:ln>
                <a:noFill/>
              </a:ln>
              <a:effectLst/>
            </c:spPr>
            <c:extLst>
              <c:ext xmlns:c16="http://schemas.microsoft.com/office/drawing/2014/chart" uri="{C3380CC4-5D6E-409C-BE32-E72D297353CC}">
                <c16:uniqueId val="{00000059-DD2E-4FDB-A6E0-9740691AFEFF}"/>
              </c:ext>
            </c:extLst>
          </c:dPt>
          <c:cat>
            <c:strRef>
              <c:f>'9_Contractor'!$B$78:$B$114</c:f>
              <c:strCache>
                <c:ptCount val="37"/>
                <c:pt idx="0">
                  <c:v>FEDERAL- NATIONAL MARINE FISHERIES</c:v>
                </c:pt>
                <c:pt idx="1">
                  <c:v>FEDERAL- US GEOLOGICAL SURVEY</c:v>
                </c:pt>
                <c:pt idx="2">
                  <c:v>FEDERAL- US FISH &amp; WILDLIFE SERVICE</c:v>
                </c:pt>
                <c:pt idx="3">
                  <c:v>FEDERAL- US FOREST SERVICE </c:v>
                </c:pt>
                <c:pt idx="4">
                  <c:v>FEDERAL- PACIFIC NW NATIONAL LABORATORY/DEPT. OF ENERGY</c:v>
                </c:pt>
                <c:pt idx="5">
                  <c:v>FEDERAL- US BUREAU OF RECLAMATION</c:v>
                </c:pt>
                <c:pt idx="6">
                  <c:v>STATE- IDAHO DEPARTMENT OF FISH &amp; WILDLIFE</c:v>
                </c:pt>
                <c:pt idx="7">
                  <c:v>STATE- OREGON DEPARTMENT OF FISH &amp; WILDLIFE</c:v>
                </c:pt>
                <c:pt idx="8">
                  <c:v>STATE- WASHINGTON DEPARTMENT OF FISH &amp; WILDLIFE</c:v>
                </c:pt>
                <c:pt idx="9">
                  <c:v>STATE- IDAHO STATE OFFICE OF SPECIES CONSERVATION</c:v>
                </c:pt>
                <c:pt idx="10">
                  <c:v>STATE- MONTANA FISH, WILDLIFE AND PARKS (MFWP)</c:v>
                </c:pt>
                <c:pt idx="11">
                  <c:v>TRIBE- YAKAMA CONFEDERATED TRIBES</c:v>
                </c:pt>
                <c:pt idx="12">
                  <c:v>TRIBE- UMATILLA CONFEDERATED TRIBES</c:v>
                </c:pt>
                <c:pt idx="13">
                  <c:v>TRIBE- COLVILLE CONFEDERATED TRIBES</c:v>
                </c:pt>
                <c:pt idx="14">
                  <c:v>TRIBE- NEZ PERCE TRIBE</c:v>
                </c:pt>
                <c:pt idx="15">
                  <c:v>TRIBE- KOOTENAI TRIBE</c:v>
                </c:pt>
                <c:pt idx="16">
                  <c:v>TRIBE- COLUMBIA RIVER INTERTRIBAL FISH COMMISSION</c:v>
                </c:pt>
                <c:pt idx="17">
                  <c:v>TRIBE- SPOKANE TRIBE OF INDIANS</c:v>
                </c:pt>
                <c:pt idx="18">
                  <c:v>TRIBE- COEUR D'ALENE TRIBE OF IDAHO</c:v>
                </c:pt>
                <c:pt idx="19">
                  <c:v>TRIBE- KALISPEL TRIBE OF INDIANS</c:v>
                </c:pt>
                <c:pt idx="20">
                  <c:v>TRIBE- SHOSHONE-BANNOCK TRIBES</c:v>
                </c:pt>
                <c:pt idx="21">
                  <c:v>TRIBE- CONFEDERATED TRIBES OF WARM SPRINGS</c:v>
                </c:pt>
                <c:pt idx="22">
                  <c:v>TRIBE- SHOSHONE-PAUITE TRIBES</c:v>
                </c:pt>
                <c:pt idx="23">
                  <c:v>TRIBE- BURNS PAIUTE TRIBE</c:v>
                </c:pt>
                <c:pt idx="24">
                  <c:v>TRIBE- SALISH AND KOOTENAI TRIBES CONFEDERATED TRIBES</c:v>
                </c:pt>
                <c:pt idx="25">
                  <c:v>TRIBE- UPPER COLUMBIA UNITED TRIBES (UCUT)</c:v>
                </c:pt>
                <c:pt idx="26">
                  <c:v>TRIBE- UPPER SNAKE RIVER TRIBES FOUNDATION</c:v>
                </c:pt>
                <c:pt idx="27">
                  <c:v>TRIBE- COWLITZ INDIAN TRIBE</c:v>
                </c:pt>
                <c:pt idx="28">
                  <c:v>TRIBE- CONFEDERATED TRIBES OF GRAND RONDE</c:v>
                </c:pt>
                <c:pt idx="29">
                  <c:v>TRIBE- CONFEDERATED TRIBES OF SILETZ INDIANS</c:v>
                </c:pt>
                <c:pt idx="30">
                  <c:v>INTERSTATE- PACIFIC STATES MARINE FISHERIES COMMISSION</c:v>
                </c:pt>
                <c:pt idx="31">
                  <c:v>UNIVERSITY</c:v>
                </c:pt>
                <c:pt idx="32">
                  <c:v>OTHER- PRIVATE/NON-PROFIT/OTHER3</c:v>
                </c:pt>
                <c:pt idx="33">
                  <c:v>OTHER- LAND ACQUISITIONS2</c:v>
                </c:pt>
                <c:pt idx="34">
                  <c:v>OTHER- LOCAL/SEMI GOVERNMENT4</c:v>
                </c:pt>
                <c:pt idx="35">
                  <c:v>OTHER- UTILITY</c:v>
                </c:pt>
                <c:pt idx="36">
                  <c:v>OTHER- NATIONAL FISH &amp; WILDLIFE FOUNDATION</c:v>
                </c:pt>
              </c:strCache>
            </c:strRef>
          </c:cat>
          <c:val>
            <c:numRef>
              <c:f>'9_Contractor'!$Q$78:$Q$114</c:f>
              <c:numCache>
                <c:formatCode>"$"#,##0</c:formatCode>
                <c:ptCount val="37"/>
                <c:pt idx="0">
                  <c:v>6234914.2400000002</c:v>
                </c:pt>
                <c:pt idx="1">
                  <c:v>2498238.8200000003</c:v>
                </c:pt>
                <c:pt idx="2">
                  <c:v>1777572.29</c:v>
                </c:pt>
                <c:pt idx="3">
                  <c:v>859944.32000000007</c:v>
                </c:pt>
                <c:pt idx="4">
                  <c:v>635970.11</c:v>
                </c:pt>
                <c:pt idx="5">
                  <c:v>132279.1</c:v>
                </c:pt>
                <c:pt idx="6">
                  <c:v>16910914.650000002</c:v>
                </c:pt>
                <c:pt idx="7">
                  <c:v>14959730.310000001</c:v>
                </c:pt>
                <c:pt idx="8">
                  <c:v>12755765.969999995</c:v>
                </c:pt>
                <c:pt idx="9">
                  <c:v>5275837.66</c:v>
                </c:pt>
                <c:pt idx="10">
                  <c:v>3817583.21</c:v>
                </c:pt>
                <c:pt idx="11">
                  <c:v>31764843.77</c:v>
                </c:pt>
                <c:pt idx="12">
                  <c:v>18444291.539999992</c:v>
                </c:pt>
                <c:pt idx="13">
                  <c:v>18160407.239999995</c:v>
                </c:pt>
                <c:pt idx="14">
                  <c:v>16495801.459999999</c:v>
                </c:pt>
                <c:pt idx="15">
                  <c:v>10096040.66</c:v>
                </c:pt>
                <c:pt idx="16">
                  <c:v>9881830.0399999991</c:v>
                </c:pt>
                <c:pt idx="17">
                  <c:v>5000808.1199999992</c:v>
                </c:pt>
                <c:pt idx="18">
                  <c:v>4604954.2799999993</c:v>
                </c:pt>
                <c:pt idx="19">
                  <c:v>4047721.9400000004</c:v>
                </c:pt>
                <c:pt idx="20">
                  <c:v>4919391.97</c:v>
                </c:pt>
                <c:pt idx="21">
                  <c:v>3766583.15</c:v>
                </c:pt>
                <c:pt idx="22">
                  <c:v>1094314.5299999998</c:v>
                </c:pt>
                <c:pt idx="23">
                  <c:v>590342</c:v>
                </c:pt>
                <c:pt idx="24">
                  <c:v>664729.8600000001</c:v>
                </c:pt>
                <c:pt idx="25">
                  <c:v>524346.05999999994</c:v>
                </c:pt>
                <c:pt idx="26">
                  <c:v>406232.08999999997</c:v>
                </c:pt>
                <c:pt idx="27">
                  <c:v>169088.22</c:v>
                </c:pt>
                <c:pt idx="28">
                  <c:v>221550.83999999997</c:v>
                </c:pt>
                <c:pt idx="29">
                  <c:v>114385.88</c:v>
                </c:pt>
                <c:pt idx="30">
                  <c:v>14601052.760000004</c:v>
                </c:pt>
                <c:pt idx="31">
                  <c:v>2629309.9099999997</c:v>
                </c:pt>
                <c:pt idx="32">
                  <c:v>28992694</c:v>
                </c:pt>
                <c:pt idx="33">
                  <c:v>14313886.999999998</c:v>
                </c:pt>
                <c:pt idx="34">
                  <c:v>4587072.1499999994</c:v>
                </c:pt>
                <c:pt idx="35">
                  <c:v>2420165.6599999997</c:v>
                </c:pt>
                <c:pt idx="36">
                  <c:v>1857001.67</c:v>
                </c:pt>
              </c:numCache>
            </c:numRef>
          </c:val>
          <c:extLst>
            <c:ext xmlns:c16="http://schemas.microsoft.com/office/drawing/2014/chart" uri="{C3380CC4-5D6E-409C-BE32-E72D297353CC}">
              <c16:uniqueId val="{00000000-ABC7-4D9D-AA9B-3B928F48D1DC}"/>
            </c:ext>
          </c:extLst>
        </c:ser>
        <c:dLbls>
          <c:showLegendKey val="0"/>
          <c:showVal val="0"/>
          <c:showCatName val="0"/>
          <c:showSerName val="0"/>
          <c:showPercent val="0"/>
          <c:showBubbleSize val="0"/>
        </c:dLbls>
        <c:gapWidth val="150"/>
        <c:axId val="483680552"/>
        <c:axId val="483680944"/>
      </c:barChart>
      <c:catAx>
        <c:axId val="48368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483680944"/>
        <c:crosses val="autoZero"/>
        <c:auto val="1"/>
        <c:lblAlgn val="ctr"/>
        <c:lblOffset val="100"/>
        <c:noMultiLvlLbl val="0"/>
      </c:catAx>
      <c:valAx>
        <c:axId val="483680944"/>
        <c:scaling>
          <c:orientation val="minMax"/>
          <c:max val="30000000"/>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Calibri Light" panose="020F0302020204030204" pitchFamily="34" charset="0"/>
                <a:ea typeface="+mn-ea"/>
                <a:cs typeface="Calibri Light" panose="020F0302020204030204" pitchFamily="34" charset="0"/>
              </a:defRPr>
            </a:pPr>
            <a:endParaRPr lang="en-US"/>
          </a:p>
        </c:txPr>
        <c:crossAx val="483680552"/>
        <c:crosses val="autoZero"/>
        <c:crossBetween val="between"/>
      </c:valAx>
      <c:spPr>
        <a:noFill/>
        <a:ln>
          <a:noFill/>
        </a:ln>
        <a:effectLst/>
      </c:spPr>
    </c:plotArea>
    <c:plotVisOnly val="1"/>
    <c:dispBlanksAs val="gap"/>
    <c:showDLblsOverMax val="0"/>
  </c:chart>
  <c:spPr>
    <a:solidFill>
      <a:schemeClr val="lt1"/>
    </a:solidFill>
    <a:ln w="25400" cap="flat" cmpd="sng" algn="ctr">
      <a:noFill/>
      <a:prstDash val="solid"/>
      <a:round/>
    </a:ln>
    <a:effectLst/>
  </c:spPr>
  <c:txPr>
    <a:bodyPr/>
    <a:lstStyle/>
    <a:p>
      <a:pPr>
        <a:defRPr>
          <a:solidFill>
            <a:schemeClr val="dk1"/>
          </a:solidFill>
          <a:latin typeface="Calibri Light" panose="020F0302020204030204" pitchFamily="34" charset="0"/>
          <a:ea typeface="+mn-ea"/>
          <a:cs typeface="Calibri Light" panose="020F030202020403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94"/>
          <c:y val="0.11535475795230497"/>
          <c:w val="0.59880164245374745"/>
          <c:h val="0.84200283655938235"/>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'10_LandPurchases'!$A$31:$A$37</c:f>
              <c:strCache>
                <c:ptCount val="7"/>
                <c:pt idx="0">
                  <c:v>Idaho Department of Fish and Game (IDFG)</c:v>
                </c:pt>
                <c:pt idx="1">
                  <c:v>Oregon Department of Fish and Wildlife</c:v>
                </c:pt>
                <c:pt idx="2">
                  <c:v>Salish and Kootenai Confederated Tribes</c:v>
                </c:pt>
                <c:pt idx="3">
                  <c:v>Columbia Land Trust</c:v>
                </c:pt>
                <c:pt idx="4">
                  <c:v>Umatilla Confederated Tribes (CTUIR)</c:v>
                </c:pt>
                <c:pt idx="5">
                  <c:v>Nez Perce Tribe</c:v>
                </c:pt>
                <c:pt idx="6">
                  <c:v>Yakama Confederated Tribes</c:v>
                </c:pt>
              </c:strCache>
            </c:strRef>
          </c:cat>
          <c:val>
            <c:numRef>
              <c:f>'10_LandPurchases'!$H$31:$H$37</c:f>
              <c:numCache>
                <c:formatCode>_("$"* #,##0_);_("$"* \(#,##0\);_("$"* "-"??_);_(@_)</c:formatCode>
                <c:ptCount val="7"/>
                <c:pt idx="0">
                  <c:v>7865150</c:v>
                </c:pt>
                <c:pt idx="1">
                  <c:v>4007678.68</c:v>
                </c:pt>
                <c:pt idx="2">
                  <c:v>1207847.1200000001</c:v>
                </c:pt>
                <c:pt idx="3">
                  <c:v>1085363.58</c:v>
                </c:pt>
                <c:pt idx="4">
                  <c:v>141647.62</c:v>
                </c:pt>
                <c:pt idx="5">
                  <c:v>5000</c:v>
                </c:pt>
                <c:pt idx="6">
                  <c:v>1200</c:v>
                </c:pt>
              </c:numCache>
            </c:numRef>
          </c:val>
          <c:extLst>
            <c:ext xmlns:c16="http://schemas.microsoft.com/office/drawing/2014/chart" uri="{C3380CC4-5D6E-409C-BE32-E72D297353CC}">
              <c16:uniqueId val="{00000000-F94D-4F3D-9B49-91469C917D6C}"/>
            </c:ext>
          </c:extLst>
        </c:ser>
        <c:dLbls>
          <c:showLegendKey val="0"/>
          <c:showVal val="0"/>
          <c:showCatName val="0"/>
          <c:showSerName val="0"/>
          <c:showPercent val="0"/>
          <c:showBubbleSize val="0"/>
        </c:dLbls>
        <c:gapWidth val="76"/>
        <c:overlap val="100"/>
        <c:axId val="483681728"/>
        <c:axId val="483682120"/>
      </c:barChart>
      <c:catAx>
        <c:axId val="483681728"/>
        <c:scaling>
          <c:orientation val="maxMin"/>
        </c:scaling>
        <c:delete val="0"/>
        <c:axPos val="l"/>
        <c:numFmt formatCode="General" sourceLinked="0"/>
        <c:majorTickMark val="out"/>
        <c:minorTickMark val="none"/>
        <c:tickLblPos val="nextTo"/>
        <c:txPr>
          <a:bodyPr rot="0" vert="horz"/>
          <a:lstStyle/>
          <a:p>
            <a:pPr>
              <a:defRPr/>
            </a:pPr>
            <a:endParaRPr lang="en-US"/>
          </a:p>
        </c:txPr>
        <c:crossAx val="483682120"/>
        <c:crosses val="autoZero"/>
        <c:auto val="1"/>
        <c:lblAlgn val="ctr"/>
        <c:lblOffset val="100"/>
        <c:noMultiLvlLbl val="0"/>
      </c:catAx>
      <c:valAx>
        <c:axId val="483682120"/>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crossAx val="483681728"/>
        <c:crosses val="autoZero"/>
        <c:crossBetween val="between"/>
      </c:valAx>
      <c:spPr>
        <a:ln>
          <a:solidFill>
            <a:sysClr val="window" lastClr="FFFFFF">
              <a:lumMod val="65000"/>
            </a:sysClr>
          </a:solidFill>
        </a:ln>
      </c:spPr>
    </c:plotArea>
    <c:plotVisOnly val="1"/>
    <c:dispBlanksAs val="gap"/>
    <c:showDLblsOverMax val="0"/>
  </c:chart>
  <c:spPr>
    <a:solidFill>
      <a:sysClr val="window" lastClr="FFFFFF"/>
    </a:solidFill>
    <a:ln w="25400" cap="flat" cmpd="sng" algn="ctr">
      <a:noFill/>
      <a:prstDash val="solid"/>
    </a:ln>
    <a:effectLst/>
  </c:spPr>
  <c:txPr>
    <a:bodyPr/>
    <a:lstStyle/>
    <a:p>
      <a:pPr>
        <a:defRPr>
          <a:solidFill>
            <a:sysClr val="windowText" lastClr="000000"/>
          </a:solidFill>
          <a:latin typeface="Calibri Light" panose="020F0302020204030204" pitchFamily="34" charset="0"/>
          <a:ea typeface="+mn-ea"/>
          <a:cs typeface="Calibri Light" panose="020F0302020204030204"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67379319038"/>
          <c:y val="3.5859820700896494E-2"/>
          <c:w val="0.7065669533049459"/>
          <c:h val="0.86161656411805998"/>
        </c:manualLayout>
      </c:layout>
      <c:areaChart>
        <c:grouping val="stacked"/>
        <c:varyColors val="0"/>
        <c:ser>
          <c:idx val="0"/>
          <c:order val="0"/>
          <c:tx>
            <c:strRef>
              <c:f>NA_Cumulative!$A$6</c:f>
              <c:strCache>
                <c:ptCount val="1"/>
                <c:pt idx="0">
                  <c:v>Power Purchases</c:v>
                </c:pt>
              </c:strCache>
            </c:strRef>
          </c:tx>
          <c:spPr>
            <a:solidFill>
              <a:srgbClr val="4F81BD"/>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NA_Cumulative!$C$6:$AN$6</c:f>
              <c:numCache>
                <c:formatCode>_(* #,##0.0_);_(* \(#,##0.0\);_(* "-"??_);_(@_)</c:formatCode>
                <c:ptCount val="38"/>
                <c:pt idx="0">
                  <c:v>0</c:v>
                </c:pt>
                <c:pt idx="1">
                  <c:v>0</c:v>
                </c:pt>
                <c:pt idx="2">
                  <c:v>0</c:v>
                </c:pt>
                <c:pt idx="3">
                  <c:v>12</c:v>
                </c:pt>
                <c:pt idx="4">
                  <c:v>29</c:v>
                </c:pt>
                <c:pt idx="5">
                  <c:v>103</c:v>
                </c:pt>
                <c:pt idx="6">
                  <c:v>114</c:v>
                </c:pt>
                <c:pt idx="7">
                  <c:v>154</c:v>
                </c:pt>
                <c:pt idx="8">
                  <c:v>194</c:v>
                </c:pt>
                <c:pt idx="9">
                  <c:v>234</c:v>
                </c:pt>
                <c:pt idx="10">
                  <c:v>274</c:v>
                </c:pt>
                <c:pt idx="11">
                  <c:v>333</c:v>
                </c:pt>
                <c:pt idx="12">
                  <c:v>437</c:v>
                </c:pt>
                <c:pt idx="13">
                  <c:v>548.70000000000005</c:v>
                </c:pt>
                <c:pt idx="14">
                  <c:v>612.20000000000005</c:v>
                </c:pt>
                <c:pt idx="15">
                  <c:v>612.20000000000005</c:v>
                </c:pt>
                <c:pt idx="16">
                  <c:v>612.20000000000005</c:v>
                </c:pt>
                <c:pt idx="17">
                  <c:v>617.6</c:v>
                </c:pt>
                <c:pt idx="18">
                  <c:v>665.2</c:v>
                </c:pt>
                <c:pt idx="19">
                  <c:v>730</c:v>
                </c:pt>
                <c:pt idx="20">
                  <c:v>2119.6</c:v>
                </c:pt>
                <c:pt idx="21">
                  <c:v>2267.4</c:v>
                </c:pt>
                <c:pt idx="22">
                  <c:v>2438.5</c:v>
                </c:pt>
                <c:pt idx="23">
                  <c:v>2629.5</c:v>
                </c:pt>
                <c:pt idx="24">
                  <c:v>2740.3</c:v>
                </c:pt>
                <c:pt idx="25">
                  <c:v>2908.4776403128003</c:v>
                </c:pt>
                <c:pt idx="26">
                  <c:v>3029.1676403128004</c:v>
                </c:pt>
                <c:pt idx="27">
                  <c:v>3304.1151715013721</c:v>
                </c:pt>
                <c:pt idx="28">
                  <c:v>3544.4265926055655</c:v>
                </c:pt>
                <c:pt idx="29">
                  <c:v>3854.4929987687915</c:v>
                </c:pt>
                <c:pt idx="30">
                  <c:v>3925.1834749287914</c:v>
                </c:pt>
                <c:pt idx="31">
                  <c:v>3963.6334749287912</c:v>
                </c:pt>
                <c:pt idx="32">
                  <c:v>4049.4374749287913</c:v>
                </c:pt>
                <c:pt idx="33">
                  <c:v>4245.589253548791</c:v>
                </c:pt>
                <c:pt idx="34">
                  <c:v>4313.070576635243</c:v>
                </c:pt>
                <c:pt idx="35">
                  <c:v>4363.3616128404046</c:v>
                </c:pt>
                <c:pt idx="36">
                  <c:v>4342.8256128404046</c:v>
                </c:pt>
                <c:pt idx="37">
                  <c:v>4367.086273836534</c:v>
                </c:pt>
              </c:numCache>
            </c:numRef>
          </c:val>
          <c:extLst>
            <c:ext xmlns:c16="http://schemas.microsoft.com/office/drawing/2014/chart" uri="{C3380CC4-5D6E-409C-BE32-E72D297353CC}">
              <c16:uniqueId val="{00000000-575D-460B-AEE9-BAF0696656B2}"/>
            </c:ext>
          </c:extLst>
        </c:ser>
        <c:ser>
          <c:idx val="1"/>
          <c:order val="1"/>
          <c:tx>
            <c:strRef>
              <c:f>NA_Cumulative!$A$7</c:f>
              <c:strCache>
                <c:ptCount val="1"/>
                <c:pt idx="0">
                  <c:v>Forgone Revenues</c:v>
                </c:pt>
              </c:strCache>
            </c:strRef>
          </c:tx>
          <c:spPr>
            <a:solidFill>
              <a:srgbClr val="C0504D"/>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NA_Cumulative!$C$7:$AN$7</c:f>
              <c:numCache>
                <c:formatCode>_(* #,##0.0_);_(* \(#,##0.0\);_(* "-"??_);_(@_)</c:formatCode>
                <c:ptCount val="38"/>
                <c:pt idx="0">
                  <c:v>3</c:v>
                </c:pt>
                <c:pt idx="1">
                  <c:v>17</c:v>
                </c:pt>
                <c:pt idx="2">
                  <c:v>18</c:v>
                </c:pt>
                <c:pt idx="3">
                  <c:v>26</c:v>
                </c:pt>
                <c:pt idx="4">
                  <c:v>53</c:v>
                </c:pt>
                <c:pt idx="5">
                  <c:v>72</c:v>
                </c:pt>
                <c:pt idx="6">
                  <c:v>81</c:v>
                </c:pt>
                <c:pt idx="7">
                  <c:v>91</c:v>
                </c:pt>
                <c:pt idx="8">
                  <c:v>106</c:v>
                </c:pt>
                <c:pt idx="9">
                  <c:v>121</c:v>
                </c:pt>
                <c:pt idx="10">
                  <c:v>136</c:v>
                </c:pt>
                <c:pt idx="11">
                  <c:v>159</c:v>
                </c:pt>
                <c:pt idx="12">
                  <c:v>204</c:v>
                </c:pt>
                <c:pt idx="13">
                  <c:v>266</c:v>
                </c:pt>
                <c:pt idx="14">
                  <c:v>273.10000000000002</c:v>
                </c:pt>
                <c:pt idx="15">
                  <c:v>354.8</c:v>
                </c:pt>
                <c:pt idx="16">
                  <c:v>462.6</c:v>
                </c:pt>
                <c:pt idx="17">
                  <c:v>579.1</c:v>
                </c:pt>
                <c:pt idx="18">
                  <c:v>776.90000000000009</c:v>
                </c:pt>
                <c:pt idx="19">
                  <c:v>970.00000000000011</c:v>
                </c:pt>
                <c:pt idx="20">
                  <c:v>1085.9000000000001</c:v>
                </c:pt>
                <c:pt idx="21">
                  <c:v>1098.5</c:v>
                </c:pt>
                <c:pt idx="22">
                  <c:v>1177.7</c:v>
                </c:pt>
                <c:pt idx="23">
                  <c:v>1199.4000000000001</c:v>
                </c:pt>
                <c:pt idx="24">
                  <c:v>1381.5</c:v>
                </c:pt>
                <c:pt idx="25">
                  <c:v>1778.9380996800001</c:v>
                </c:pt>
                <c:pt idx="26">
                  <c:v>2061.5630996800001</c:v>
                </c:pt>
                <c:pt idx="27">
                  <c:v>2335.0825265371427</c:v>
                </c:pt>
                <c:pt idx="28">
                  <c:v>2477.8965265371426</c:v>
                </c:pt>
                <c:pt idx="29">
                  <c:v>2577.3274901139166</c:v>
                </c:pt>
                <c:pt idx="30">
                  <c:v>2734.0094936139167</c:v>
                </c:pt>
                <c:pt idx="31">
                  <c:v>2886.2094936139165</c:v>
                </c:pt>
                <c:pt idx="32">
                  <c:v>3021.7174936139163</c:v>
                </c:pt>
                <c:pt idx="33">
                  <c:v>3144.4618380929487</c:v>
                </c:pt>
                <c:pt idx="34">
                  <c:v>3340.2572852013359</c:v>
                </c:pt>
                <c:pt idx="35">
                  <c:v>3416.8991706426264</c:v>
                </c:pt>
                <c:pt idx="36">
                  <c:v>3426.4991706426263</c:v>
                </c:pt>
                <c:pt idx="37">
                  <c:v>3429.3991706426264</c:v>
                </c:pt>
              </c:numCache>
            </c:numRef>
          </c:val>
          <c:extLst>
            <c:ext xmlns:c16="http://schemas.microsoft.com/office/drawing/2014/chart" uri="{C3380CC4-5D6E-409C-BE32-E72D297353CC}">
              <c16:uniqueId val="{00000001-575D-460B-AEE9-BAF0696656B2}"/>
            </c:ext>
          </c:extLst>
        </c:ser>
        <c:ser>
          <c:idx val="2"/>
          <c:order val="2"/>
          <c:tx>
            <c:strRef>
              <c:f>NA_Cumulative!$A$8</c:f>
              <c:strCache>
                <c:ptCount val="1"/>
                <c:pt idx="0">
                  <c:v>Reimbursable Expenses</c:v>
                </c:pt>
              </c:strCache>
            </c:strRef>
          </c:tx>
          <c:spPr>
            <a:solidFill>
              <a:srgbClr val="9BBB59"/>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NA_Cumulative!$C$8:$AN$8</c:f>
              <c:numCache>
                <c:formatCode>_(* #,##0.0_);_(* \(#,##0.0\);_(* "-"??_);_(@_)</c:formatCode>
                <c:ptCount val="38"/>
                <c:pt idx="0">
                  <c:v>21.1</c:v>
                </c:pt>
                <c:pt idx="1">
                  <c:v>32.6</c:v>
                </c:pt>
                <c:pt idx="2">
                  <c:v>46.8</c:v>
                </c:pt>
                <c:pt idx="3">
                  <c:v>62.8</c:v>
                </c:pt>
                <c:pt idx="4">
                  <c:v>82.699999999999989</c:v>
                </c:pt>
                <c:pt idx="5">
                  <c:v>106.39999999999999</c:v>
                </c:pt>
                <c:pt idx="6">
                  <c:v>136.1</c:v>
                </c:pt>
                <c:pt idx="7">
                  <c:v>155.1</c:v>
                </c:pt>
                <c:pt idx="8">
                  <c:v>178.7</c:v>
                </c:pt>
                <c:pt idx="9">
                  <c:v>202.1</c:v>
                </c:pt>
                <c:pt idx="10">
                  <c:v>226.4</c:v>
                </c:pt>
                <c:pt idx="11">
                  <c:v>254.8</c:v>
                </c:pt>
                <c:pt idx="12">
                  <c:v>285.3</c:v>
                </c:pt>
                <c:pt idx="13">
                  <c:v>320.2</c:v>
                </c:pt>
                <c:pt idx="14">
                  <c:v>356.3</c:v>
                </c:pt>
                <c:pt idx="15">
                  <c:v>391.7</c:v>
                </c:pt>
                <c:pt idx="16">
                  <c:v>427.6</c:v>
                </c:pt>
                <c:pt idx="17">
                  <c:v>463.98</c:v>
                </c:pt>
                <c:pt idx="18">
                  <c:v>502.88</c:v>
                </c:pt>
                <c:pt idx="19">
                  <c:v>540.48</c:v>
                </c:pt>
                <c:pt idx="20">
                  <c:v>582.98</c:v>
                </c:pt>
                <c:pt idx="21">
                  <c:v>633.89</c:v>
                </c:pt>
                <c:pt idx="22">
                  <c:v>686.44499999999994</c:v>
                </c:pt>
                <c:pt idx="23">
                  <c:v>743.64499999999998</c:v>
                </c:pt>
                <c:pt idx="24">
                  <c:v>801.56499999999994</c:v>
                </c:pt>
                <c:pt idx="25">
                  <c:v>862.21499999999992</c:v>
                </c:pt>
                <c:pt idx="26">
                  <c:v>922.4799999999999</c:v>
                </c:pt>
                <c:pt idx="27">
                  <c:v>984.70249999999987</c:v>
                </c:pt>
                <c:pt idx="28">
                  <c:v>1048.9724999999999</c:v>
                </c:pt>
                <c:pt idx="29">
                  <c:v>1118.6734873599999</c:v>
                </c:pt>
                <c:pt idx="30">
                  <c:v>1192.9385881399999</c:v>
                </c:pt>
                <c:pt idx="31">
                  <c:v>1265.9485881399999</c:v>
                </c:pt>
                <c:pt idx="32">
                  <c:v>1344.4485881399999</c:v>
                </c:pt>
                <c:pt idx="33">
                  <c:v>1434.7485881399998</c:v>
                </c:pt>
                <c:pt idx="34">
                  <c:v>1519.6140736399998</c:v>
                </c:pt>
                <c:pt idx="35">
                  <c:v>1607.7994219599998</c:v>
                </c:pt>
                <c:pt idx="36">
                  <c:v>1693.0222221549998</c:v>
                </c:pt>
                <c:pt idx="37">
                  <c:v>1782.8988112399998</c:v>
                </c:pt>
              </c:numCache>
            </c:numRef>
          </c:val>
          <c:extLst>
            <c:ext xmlns:c16="http://schemas.microsoft.com/office/drawing/2014/chart" uri="{C3380CC4-5D6E-409C-BE32-E72D297353CC}">
              <c16:uniqueId val="{00000002-575D-460B-AEE9-BAF0696656B2}"/>
            </c:ext>
          </c:extLst>
        </c:ser>
        <c:ser>
          <c:idx val="3"/>
          <c:order val="3"/>
          <c:tx>
            <c:strRef>
              <c:f>NA_Cumulative!$A$9</c:f>
              <c:strCache>
                <c:ptCount val="1"/>
                <c:pt idx="0">
                  <c:v>Direct Program</c:v>
                </c:pt>
              </c:strCache>
            </c:strRef>
          </c:tx>
          <c:spPr>
            <a:solidFill>
              <a:srgbClr val="8064A2"/>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NA_Cumulative!$C$9:$AN$9</c:f>
              <c:numCache>
                <c:formatCode>_(* #,##0.0_);_(* \(#,##0.0\);_(* "-"??_);_(@_)</c:formatCode>
                <c:ptCount val="38"/>
                <c:pt idx="0">
                  <c:v>4.5999999999999996</c:v>
                </c:pt>
                <c:pt idx="1">
                  <c:v>9.1999999999999993</c:v>
                </c:pt>
                <c:pt idx="2">
                  <c:v>18.299999999999997</c:v>
                </c:pt>
                <c:pt idx="3">
                  <c:v>37.9</c:v>
                </c:pt>
                <c:pt idx="4">
                  <c:v>53.8</c:v>
                </c:pt>
                <c:pt idx="5">
                  <c:v>73.400000000000006</c:v>
                </c:pt>
                <c:pt idx="6">
                  <c:v>95.600000000000009</c:v>
                </c:pt>
                <c:pt idx="7">
                  <c:v>114.4</c:v>
                </c:pt>
                <c:pt idx="8">
                  <c:v>137.4</c:v>
                </c:pt>
                <c:pt idx="9">
                  <c:v>170.2</c:v>
                </c:pt>
                <c:pt idx="10">
                  <c:v>203.2</c:v>
                </c:pt>
                <c:pt idx="11">
                  <c:v>270.2</c:v>
                </c:pt>
                <c:pt idx="12">
                  <c:v>319.8</c:v>
                </c:pt>
                <c:pt idx="13">
                  <c:v>375.7</c:v>
                </c:pt>
                <c:pt idx="14">
                  <c:v>447.1</c:v>
                </c:pt>
                <c:pt idx="15">
                  <c:v>515.6</c:v>
                </c:pt>
                <c:pt idx="16">
                  <c:v>597.80000000000007</c:v>
                </c:pt>
                <c:pt idx="17">
                  <c:v>702.7</c:v>
                </c:pt>
                <c:pt idx="18">
                  <c:v>810.90000000000009</c:v>
                </c:pt>
                <c:pt idx="19">
                  <c:v>919.10000000000014</c:v>
                </c:pt>
                <c:pt idx="20">
                  <c:v>1020.2000000000002</c:v>
                </c:pt>
                <c:pt idx="21">
                  <c:v>1157.3000000000002</c:v>
                </c:pt>
                <c:pt idx="22">
                  <c:v>1298.0000000000002</c:v>
                </c:pt>
                <c:pt idx="23">
                  <c:v>1435.9000000000003</c:v>
                </c:pt>
                <c:pt idx="24">
                  <c:v>1571.7000000000003</c:v>
                </c:pt>
                <c:pt idx="25">
                  <c:v>1709.6000000000004</c:v>
                </c:pt>
                <c:pt idx="26">
                  <c:v>1849.0820000000003</c:v>
                </c:pt>
                <c:pt idx="27">
                  <c:v>1997.9794339400003</c:v>
                </c:pt>
                <c:pt idx="28">
                  <c:v>2175.8388767700003</c:v>
                </c:pt>
                <c:pt idx="29">
                  <c:v>2375.4210898000001</c:v>
                </c:pt>
                <c:pt idx="30">
                  <c:v>2596.47471404</c:v>
                </c:pt>
                <c:pt idx="31">
                  <c:v>2845.4047140399998</c:v>
                </c:pt>
                <c:pt idx="32">
                  <c:v>3084.4047140399998</c:v>
                </c:pt>
                <c:pt idx="33">
                  <c:v>3316.2061960399997</c:v>
                </c:pt>
                <c:pt idx="34">
                  <c:v>3574.3834078699997</c:v>
                </c:pt>
                <c:pt idx="35">
                  <c:v>3832.5255977999996</c:v>
                </c:pt>
                <c:pt idx="36">
                  <c:v>4087.2298052899996</c:v>
                </c:pt>
                <c:pt idx="37">
                  <c:v>4345.9344566299997</c:v>
                </c:pt>
              </c:numCache>
            </c:numRef>
          </c:val>
          <c:extLst>
            <c:ext xmlns:c16="http://schemas.microsoft.com/office/drawing/2014/chart" uri="{C3380CC4-5D6E-409C-BE32-E72D297353CC}">
              <c16:uniqueId val="{00000003-575D-460B-AEE9-BAF0696656B2}"/>
            </c:ext>
          </c:extLst>
        </c:ser>
        <c:ser>
          <c:idx val="4"/>
          <c:order val="4"/>
          <c:tx>
            <c:strRef>
              <c:f>NA_Cumulative!$A$10</c:f>
              <c:strCache>
                <c:ptCount val="1"/>
                <c:pt idx="0">
                  <c:v>Fixed Expenses</c:v>
                </c:pt>
              </c:strCache>
            </c:strRef>
          </c:tx>
          <c:spPr>
            <a:solidFill>
              <a:srgbClr val="4BACC6"/>
            </a:solidFill>
            <a:ln>
              <a:noFill/>
            </a:ln>
            <a:effectLst/>
          </c:spPr>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NA_Cumulative!$C$10:$AN$10</c:f>
              <c:numCache>
                <c:formatCode>_(* #,##0.0_);_(* \(#,##0.0\);_(* "-"??_);_(@_)</c:formatCode>
                <c:ptCount val="38"/>
                <c:pt idx="0">
                  <c:v>32.799999999999997</c:v>
                </c:pt>
                <c:pt idx="1">
                  <c:v>45.199999999999996</c:v>
                </c:pt>
                <c:pt idx="2">
                  <c:v>61.099999999999994</c:v>
                </c:pt>
                <c:pt idx="3">
                  <c:v>77.699999999999989</c:v>
                </c:pt>
                <c:pt idx="4">
                  <c:v>97.399999999999991</c:v>
                </c:pt>
                <c:pt idx="5">
                  <c:v>119.5</c:v>
                </c:pt>
                <c:pt idx="6">
                  <c:v>148</c:v>
                </c:pt>
                <c:pt idx="7">
                  <c:v>179</c:v>
                </c:pt>
                <c:pt idx="8">
                  <c:v>210.9</c:v>
                </c:pt>
                <c:pt idx="9">
                  <c:v>245.2</c:v>
                </c:pt>
                <c:pt idx="10">
                  <c:v>283.39999999999998</c:v>
                </c:pt>
                <c:pt idx="11">
                  <c:v>325.29999999999995</c:v>
                </c:pt>
                <c:pt idx="12">
                  <c:v>378.9</c:v>
                </c:pt>
                <c:pt idx="13">
                  <c:v>440.2</c:v>
                </c:pt>
                <c:pt idx="14">
                  <c:v>503.79999999999995</c:v>
                </c:pt>
                <c:pt idx="15">
                  <c:v>576.9</c:v>
                </c:pt>
                <c:pt idx="16">
                  <c:v>653.19999999999993</c:v>
                </c:pt>
                <c:pt idx="17">
                  <c:v>727.3</c:v>
                </c:pt>
                <c:pt idx="18">
                  <c:v>803.4</c:v>
                </c:pt>
                <c:pt idx="19">
                  <c:v>879.69999999999993</c:v>
                </c:pt>
                <c:pt idx="20">
                  <c:v>957.9</c:v>
                </c:pt>
                <c:pt idx="21">
                  <c:v>1036.0999999999999</c:v>
                </c:pt>
                <c:pt idx="22">
                  <c:v>1116.5999999999999</c:v>
                </c:pt>
                <c:pt idx="23">
                  <c:v>1202</c:v>
                </c:pt>
                <c:pt idx="24">
                  <c:v>1291.7</c:v>
                </c:pt>
                <c:pt idx="25">
                  <c:v>1379.2</c:v>
                </c:pt>
                <c:pt idx="26">
                  <c:v>1492.1100000000001</c:v>
                </c:pt>
                <c:pt idx="27">
                  <c:v>1608.3100000000002</c:v>
                </c:pt>
                <c:pt idx="28">
                  <c:v>1728.3100000000002</c:v>
                </c:pt>
                <c:pt idx="29">
                  <c:v>1851.8261102145098</c:v>
                </c:pt>
                <c:pt idx="30">
                  <c:v>1978.9986920591759</c:v>
                </c:pt>
                <c:pt idx="31">
                  <c:v>2110.4986920591759</c:v>
                </c:pt>
                <c:pt idx="32">
                  <c:v>2253.898692059176</c:v>
                </c:pt>
                <c:pt idx="33">
                  <c:v>2395.1986920591762</c:v>
                </c:pt>
                <c:pt idx="34">
                  <c:v>2545.7774713522472</c:v>
                </c:pt>
                <c:pt idx="35">
                  <c:v>2693.99445848705</c:v>
                </c:pt>
                <c:pt idx="36">
                  <c:v>2815.371941085838</c:v>
                </c:pt>
                <c:pt idx="37">
                  <c:v>2920.4450397831351</c:v>
                </c:pt>
              </c:numCache>
            </c:numRef>
          </c:val>
          <c:extLst>
            <c:ext xmlns:c16="http://schemas.microsoft.com/office/drawing/2014/chart" uri="{C3380CC4-5D6E-409C-BE32-E72D297353CC}">
              <c16:uniqueId val="{00000004-575D-460B-AEE9-BAF0696656B2}"/>
            </c:ext>
          </c:extLst>
        </c:ser>
        <c:dLbls>
          <c:showLegendKey val="0"/>
          <c:showVal val="0"/>
          <c:showCatName val="0"/>
          <c:showSerName val="0"/>
          <c:showPercent val="0"/>
          <c:showBubbleSize val="0"/>
        </c:dLbls>
        <c:axId val="483682904"/>
        <c:axId val="483683296"/>
      </c:areaChart>
      <c:catAx>
        <c:axId val="483682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3296"/>
        <c:crosses val="autoZero"/>
        <c:auto val="1"/>
        <c:lblAlgn val="ctr"/>
        <c:lblOffset val="100"/>
        <c:noMultiLvlLbl val="0"/>
      </c:catAx>
      <c:valAx>
        <c:axId val="483683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2904"/>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8559850561086"/>
          <c:y val="3.8974061187221104E-2"/>
          <c:w val="0.87779334245867058"/>
          <c:h val="0.86161656411805998"/>
        </c:manualLayout>
      </c:layout>
      <c:barChart>
        <c:barDir val="col"/>
        <c:grouping val="clustered"/>
        <c:varyColors val="0"/>
        <c:ser>
          <c:idx val="0"/>
          <c:order val="0"/>
          <c:spPr>
            <a:solidFill>
              <a:schemeClr val="accent1"/>
            </a:solidFill>
            <a:ln w="25400">
              <a:noFill/>
            </a:ln>
            <a:effectLst/>
          </c:spPr>
          <c:invertIfNegative val="0"/>
          <c:cat>
            <c:numRef>
              <c:f>NA_Cumulative!$C$5:$AN$5</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NA_Cumulative!$C$21:$AN$21</c:f>
              <c:numCache>
                <c:formatCode>_(* #,##0.0_);_(* \(#,##0.0\);_(* "-"??_);_(@_)</c:formatCode>
                <c:ptCount val="38"/>
                <c:pt idx="0">
                  <c:v>2.2999999999999998</c:v>
                </c:pt>
                <c:pt idx="1">
                  <c:v>4.5999999999999996</c:v>
                </c:pt>
                <c:pt idx="2">
                  <c:v>9.1</c:v>
                </c:pt>
                <c:pt idx="3">
                  <c:v>19.600000000000001</c:v>
                </c:pt>
                <c:pt idx="4">
                  <c:v>15.9</c:v>
                </c:pt>
                <c:pt idx="5">
                  <c:v>19.600000000000001</c:v>
                </c:pt>
                <c:pt idx="6">
                  <c:v>22.2</c:v>
                </c:pt>
                <c:pt idx="7">
                  <c:v>18.8</c:v>
                </c:pt>
                <c:pt idx="8">
                  <c:v>23</c:v>
                </c:pt>
                <c:pt idx="9">
                  <c:v>32.799999999999997</c:v>
                </c:pt>
                <c:pt idx="10">
                  <c:v>33</c:v>
                </c:pt>
                <c:pt idx="11">
                  <c:v>67</c:v>
                </c:pt>
                <c:pt idx="12">
                  <c:v>49.6</c:v>
                </c:pt>
                <c:pt idx="13">
                  <c:v>55.9</c:v>
                </c:pt>
                <c:pt idx="14">
                  <c:v>71.400000000000006</c:v>
                </c:pt>
                <c:pt idx="15">
                  <c:v>68.5</c:v>
                </c:pt>
                <c:pt idx="16">
                  <c:v>82.2</c:v>
                </c:pt>
                <c:pt idx="17">
                  <c:v>104.9</c:v>
                </c:pt>
                <c:pt idx="18">
                  <c:v>108.2</c:v>
                </c:pt>
                <c:pt idx="19">
                  <c:v>108.2</c:v>
                </c:pt>
                <c:pt idx="20">
                  <c:v>101.1</c:v>
                </c:pt>
                <c:pt idx="21">
                  <c:v>137.1</c:v>
                </c:pt>
                <c:pt idx="22">
                  <c:v>140.69999999999999</c:v>
                </c:pt>
                <c:pt idx="23">
                  <c:v>137.9</c:v>
                </c:pt>
                <c:pt idx="24">
                  <c:v>135.80000000000001</c:v>
                </c:pt>
                <c:pt idx="25">
                  <c:v>137.9</c:v>
                </c:pt>
                <c:pt idx="26">
                  <c:v>139.482</c:v>
                </c:pt>
                <c:pt idx="27">
                  <c:v>148.89743393999996</c:v>
                </c:pt>
                <c:pt idx="28">
                  <c:v>177.85944282999998</c:v>
                </c:pt>
                <c:pt idx="29">
                  <c:v>199.58221303000002</c:v>
                </c:pt>
                <c:pt idx="30">
                  <c:v>221.05362423999992</c:v>
                </c:pt>
                <c:pt idx="31">
                  <c:v>248.93</c:v>
                </c:pt>
                <c:pt idx="32">
                  <c:v>239</c:v>
                </c:pt>
                <c:pt idx="33">
                  <c:v>231.80148199999996</c:v>
                </c:pt>
                <c:pt idx="34">
                  <c:v>258.17721182999998</c:v>
                </c:pt>
                <c:pt idx="35">
                  <c:v>258.14218992999997</c:v>
                </c:pt>
                <c:pt idx="36">
                  <c:v>254.70420748999999</c:v>
                </c:pt>
                <c:pt idx="37">
                  <c:v>258.70465134000005</c:v>
                </c:pt>
              </c:numCache>
            </c:numRef>
          </c:val>
          <c:extLst>
            <c:ext xmlns:c16="http://schemas.microsoft.com/office/drawing/2014/chart" uri="{C3380CC4-5D6E-409C-BE32-E72D297353CC}">
              <c16:uniqueId val="{00000000-B77B-454B-B89A-1057F3AE6292}"/>
            </c:ext>
          </c:extLst>
        </c:ser>
        <c:dLbls>
          <c:showLegendKey val="0"/>
          <c:showVal val="0"/>
          <c:showCatName val="0"/>
          <c:showSerName val="0"/>
          <c:showPercent val="0"/>
          <c:showBubbleSize val="0"/>
        </c:dLbls>
        <c:gapWidth val="150"/>
        <c:axId val="625337248"/>
        <c:axId val="625337640"/>
      </c:barChart>
      <c:catAx>
        <c:axId val="62533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640"/>
        <c:crosses val="autoZero"/>
        <c:auto val="1"/>
        <c:lblAlgn val="ctr"/>
        <c:lblOffset val="100"/>
        <c:noMultiLvlLbl val="0"/>
      </c:catAx>
      <c:valAx>
        <c:axId val="625337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r>
                  <a:rPr lang="en-US">
                    <a:latin typeface="Century Gothic" panose="020B0502020202020204" pitchFamily="34" charset="0"/>
                  </a:rPr>
                  <a:t>(millions)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25337248"/>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7</xdr:col>
      <xdr:colOff>693203</xdr:colOff>
      <xdr:row>8</xdr:row>
      <xdr:rowOff>160914</xdr:rowOff>
    </xdr:from>
    <xdr:to>
      <xdr:col>17</xdr:col>
      <xdr:colOff>526804</xdr:colOff>
      <xdr:row>30</xdr:row>
      <xdr:rowOff>286715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605116</xdr:colOff>
      <xdr:row>2</xdr:row>
      <xdr:rowOff>93346</xdr:rowOff>
    </xdr:from>
    <xdr:to>
      <xdr:col>19</xdr:col>
      <xdr:colOff>520064</xdr:colOff>
      <xdr:row>30</xdr:row>
      <xdr:rowOff>95581</xdr:rowOff>
    </xdr:to>
    <xdr:graphicFrame macro="">
      <xdr:nvGraphicFramePr>
        <xdr:cNvPr id="2" name="Chart 1">
          <a:extLst>
            <a:ext uri="{FF2B5EF4-FFF2-40B4-BE49-F238E27FC236}">
              <a16:creationId xmlns:a16="http://schemas.microsoft.com/office/drawing/2014/main" id="{8136D266-9A6A-4698-9447-9A612CBD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366656</xdr:colOff>
      <xdr:row>15</xdr:row>
      <xdr:rowOff>131591</xdr:rowOff>
    </xdr:from>
    <xdr:to>
      <xdr:col>14</xdr:col>
      <xdr:colOff>395359</xdr:colOff>
      <xdr:row>41</xdr:row>
      <xdr:rowOff>69028</xdr:rowOff>
    </xdr:to>
    <xdr:graphicFrame macro="">
      <xdr:nvGraphicFramePr>
        <xdr:cNvPr id="2" name="Chart 1">
          <a:extLst>
            <a:ext uri="{FF2B5EF4-FFF2-40B4-BE49-F238E27FC236}">
              <a16:creationId xmlns:a16="http://schemas.microsoft.com/office/drawing/2014/main" id="{CA744F15-A628-4AB0-AD50-523BE7CA43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154056</xdr:colOff>
      <xdr:row>23</xdr:row>
      <xdr:rowOff>59075</xdr:rowOff>
    </xdr:from>
    <xdr:to>
      <xdr:col>16</xdr:col>
      <xdr:colOff>355758</xdr:colOff>
      <xdr:row>52</xdr:row>
      <xdr:rowOff>109726</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426720</xdr:colOff>
      <xdr:row>13</xdr:row>
      <xdr:rowOff>144926</xdr:rowOff>
    </xdr:from>
    <xdr:to>
      <xdr:col>17</xdr:col>
      <xdr:colOff>228599</xdr:colOff>
      <xdr:row>35</xdr:row>
      <xdr:rowOff>21103</xdr:rowOff>
    </xdr:to>
    <xdr:graphicFrame macro="">
      <xdr:nvGraphicFramePr>
        <xdr:cNvPr id="2" name="Chart 1">
          <a:extLst>
            <a:ext uri="{FF2B5EF4-FFF2-40B4-BE49-F238E27FC236}">
              <a16:creationId xmlns:a16="http://schemas.microsoft.com/office/drawing/2014/main" id="{B9124D64-E89F-4659-A27D-3F544673F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40585</xdr:colOff>
      <xdr:row>27</xdr:row>
      <xdr:rowOff>10162</xdr:rowOff>
    </xdr:from>
    <xdr:to>
      <xdr:col>6</xdr:col>
      <xdr:colOff>168729</xdr:colOff>
      <xdr:row>57</xdr:row>
      <xdr:rowOff>147194</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2150624</xdr:colOff>
      <xdr:row>16</xdr:row>
      <xdr:rowOff>170400</xdr:rowOff>
    </xdr:from>
    <xdr:to>
      <xdr:col>15</xdr:col>
      <xdr:colOff>936948</xdr:colOff>
      <xdr:row>39</xdr:row>
      <xdr:rowOff>130397</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133773</xdr:colOff>
      <xdr:row>14</xdr:row>
      <xdr:rowOff>69638</xdr:rowOff>
    </xdr:from>
    <xdr:to>
      <xdr:col>15</xdr:col>
      <xdr:colOff>222250</xdr:colOff>
      <xdr:row>32</xdr:row>
      <xdr:rowOff>74084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0.60516</cdr:x>
      <cdr:y>0.11317</cdr:y>
    </cdr:from>
    <cdr:to>
      <cdr:x>0.72043</cdr:x>
      <cdr:y>0.11317</cdr:y>
    </cdr:to>
    <cdr:cxnSp macro="">
      <cdr:nvCxnSpPr>
        <cdr:cNvPr id="3" name="Straight Connector 2">
          <a:extLst xmlns:a="http://schemas.openxmlformats.org/drawingml/2006/main">
            <a:ext uri="{FF2B5EF4-FFF2-40B4-BE49-F238E27FC236}">
              <a16:creationId xmlns:a16="http://schemas.microsoft.com/office/drawing/2014/main" id="{E4465C5F-B6C1-645E-616B-EDE9CA9FF1A7}"/>
            </a:ext>
          </a:extLst>
        </cdr:cNvPr>
        <cdr:cNvCxnSpPr/>
      </cdr:nvCxnSpPr>
      <cdr:spPr bwMode="auto">
        <a:xfrm xmlns:a="http://schemas.openxmlformats.org/drawingml/2006/main">
          <a:off x="3478695" y="354431"/>
          <a:ext cx="662609"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bg1">
              <a:lumMod val="50000"/>
            </a:schemeClr>
          </a:solidFill>
          <a:prstDash val="solid"/>
          <a:round/>
          <a:headEnd type="none" w="med" len="med"/>
          <a:tailEnd type="none" w="med" len="med"/>
        </a:ln>
        <a:effectLst xmlns:a="http://schemas.openxmlformats.org/drawingml/2006/main"/>
      </cdr:spPr>
    </cdr:cxnSp>
  </cdr:relSizeAnchor>
</c:userShapes>
</file>

<file path=xl/drawings/drawing10.xml><?xml version="1.0" encoding="utf-8"?>
<xdr:wsDr xmlns:xdr="http://schemas.openxmlformats.org/drawingml/2006/spreadsheetDrawing" xmlns:a="http://schemas.openxmlformats.org/drawingml/2006/main">
  <xdr:twoCellAnchor editAs="oneCell">
    <xdr:from>
      <xdr:col>5</xdr:col>
      <xdr:colOff>95499</xdr:colOff>
      <xdr:row>15</xdr:row>
      <xdr:rowOff>4970</xdr:rowOff>
    </xdr:from>
    <xdr:to>
      <xdr:col>10</xdr:col>
      <xdr:colOff>627490</xdr:colOff>
      <xdr:row>36</xdr:row>
      <xdr:rowOff>66261</xdr:rowOff>
    </xdr:to>
    <xdr:graphicFrame macro="">
      <xdr:nvGraphicFramePr>
        <xdr:cNvPr id="2" name="Chart 1">
          <a:extLst>
            <a:ext uri="{FF2B5EF4-FFF2-40B4-BE49-F238E27FC236}">
              <a16:creationId xmlns:a16="http://schemas.microsoft.com/office/drawing/2014/main" id="{2B62F96A-69C4-4336-8D4D-4432C84EB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0.14589</cdr:x>
      <cdr:y>0.89954</cdr:y>
    </cdr:from>
    <cdr:to>
      <cdr:x>0.21134</cdr:x>
      <cdr:y>0.90016</cdr:y>
    </cdr:to>
    <cdr:cxnSp macro="">
      <cdr:nvCxnSpPr>
        <cdr:cNvPr id="3" name="Straight Connector 2">
          <a:extLst xmlns:a="http://schemas.openxmlformats.org/drawingml/2006/main">
            <a:ext uri="{FF2B5EF4-FFF2-40B4-BE49-F238E27FC236}">
              <a16:creationId xmlns:a16="http://schemas.microsoft.com/office/drawing/2014/main" id="{9BE93AFB-3309-FEB9-16E0-739A2AFE7A63}"/>
            </a:ext>
          </a:extLst>
        </cdr:cNvPr>
        <cdr:cNvCxnSpPr/>
      </cdr:nvCxnSpPr>
      <cdr:spPr bwMode="auto">
        <a:xfrm xmlns:a="http://schemas.openxmlformats.org/drawingml/2006/main">
          <a:off x="812275" y="3559865"/>
          <a:ext cx="364435" cy="243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50000"/>
              <a:lumOff val="50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0.44539</cdr:x>
      <cdr:y>0.9327</cdr:y>
    </cdr:from>
    <cdr:to>
      <cdr:x>0.57312</cdr:x>
      <cdr:y>0.9327</cdr:y>
    </cdr:to>
    <cdr:cxnSp macro="">
      <cdr:nvCxnSpPr>
        <cdr:cNvPr id="4" name="Straight Connector 3">
          <a:extLst xmlns:a="http://schemas.openxmlformats.org/drawingml/2006/main">
            <a:ext uri="{FF2B5EF4-FFF2-40B4-BE49-F238E27FC236}">
              <a16:creationId xmlns:a16="http://schemas.microsoft.com/office/drawing/2014/main" id="{D9D17230-5DFE-9162-BEC8-08DBD2262175}"/>
            </a:ext>
          </a:extLst>
        </cdr:cNvPr>
        <cdr:cNvCxnSpPr/>
      </cdr:nvCxnSpPr>
      <cdr:spPr bwMode="auto">
        <a:xfrm xmlns:a="http://schemas.openxmlformats.org/drawingml/2006/main">
          <a:off x="2479841" y="3691107"/>
          <a:ext cx="711199"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chemeClr val="tx1">
              <a:lumMod val="50000"/>
              <a:lumOff val="50000"/>
            </a:schemeClr>
          </a:solidFill>
          <a:prstDash val="solid"/>
          <a:round/>
          <a:headEnd type="none" w="med" len="med"/>
          <a:tailEnd type="none" w="med" len="med"/>
        </a:ln>
        <a:effectLst xmlns:a="http://schemas.openxmlformats.org/drawingml/2006/main"/>
      </cdr:spPr>
    </cdr:cxnSp>
  </cdr:relSizeAnchor>
</c:userShapes>
</file>

<file path=xl/drawings/drawing12.xml><?xml version="1.0" encoding="utf-8"?>
<xdr:wsDr xmlns:xdr="http://schemas.openxmlformats.org/drawingml/2006/spreadsheetDrawing" xmlns:a="http://schemas.openxmlformats.org/drawingml/2006/main">
  <xdr:twoCellAnchor editAs="absolute">
    <xdr:from>
      <xdr:col>0</xdr:col>
      <xdr:colOff>1387040</xdr:colOff>
      <xdr:row>27</xdr:row>
      <xdr:rowOff>18742</xdr:rowOff>
    </xdr:from>
    <xdr:to>
      <xdr:col>15</xdr:col>
      <xdr:colOff>1041898</xdr:colOff>
      <xdr:row>46</xdr:row>
      <xdr:rowOff>132522</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356971</xdr:colOff>
      <xdr:row>2</xdr:row>
      <xdr:rowOff>47106</xdr:rowOff>
    </xdr:from>
    <xdr:to>
      <xdr:col>25</xdr:col>
      <xdr:colOff>139830</xdr:colOff>
      <xdr:row>71</xdr:row>
      <xdr:rowOff>56029</xdr:rowOff>
    </xdr:to>
    <xdr:graphicFrame macro="">
      <xdr:nvGraphicFramePr>
        <xdr:cNvPr id="2" name="Chart 1">
          <a:extLst>
            <a:ext uri="{FF2B5EF4-FFF2-40B4-BE49-F238E27FC236}">
              <a16:creationId xmlns:a16="http://schemas.microsoft.com/office/drawing/2014/main" id="{16798463-AC7C-4CE7-9606-E74BC8F7B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17</xdr:col>
      <xdr:colOff>290056</xdr:colOff>
      <xdr:row>73</xdr:row>
      <xdr:rowOff>118215</xdr:rowOff>
    </xdr:from>
    <xdr:ext cx="8334374" cy="7466646"/>
    <xdr:graphicFrame macro="">
      <xdr:nvGraphicFramePr>
        <xdr:cNvPr id="2" name="Chart 1">
          <a:extLst>
            <a:ext uri="{FF2B5EF4-FFF2-40B4-BE49-F238E27FC236}">
              <a16:creationId xmlns:a16="http://schemas.microsoft.com/office/drawing/2014/main" id="{89ED2140-9AA1-4999-9647-AA83AA7BB1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11</xdr:col>
      <xdr:colOff>273844</xdr:colOff>
      <xdr:row>77</xdr:row>
      <xdr:rowOff>0</xdr:rowOff>
    </xdr:from>
    <xdr:to>
      <xdr:col>14</xdr:col>
      <xdr:colOff>532925</xdr:colOff>
      <xdr:row>84</xdr:row>
      <xdr:rowOff>29527</xdr:rowOff>
    </xdr:to>
    <xdr:sp macro="" textlink="">
      <xdr:nvSpPr>
        <xdr:cNvPr id="4" name="Explosion: 14 Points 3">
          <a:extLst>
            <a:ext uri="{FF2B5EF4-FFF2-40B4-BE49-F238E27FC236}">
              <a16:creationId xmlns:a16="http://schemas.microsoft.com/office/drawing/2014/main" id="{5006AA9B-E41E-4E0A-B165-B5A9613DFD1F}"/>
            </a:ext>
          </a:extLst>
        </xdr:cNvPr>
        <xdr:cNvSpPr/>
      </xdr:nvSpPr>
      <xdr:spPr bwMode="auto">
        <a:xfrm>
          <a:off x="7167563" y="15263812"/>
          <a:ext cx="3402331" cy="1624965"/>
        </a:xfrm>
        <a:prstGeom prst="irregularSeal2">
          <a:avLst/>
        </a:prstGeom>
        <a:solidFill>
          <a:srgbClr val="92D050"/>
        </a:solidFill>
        <a:ln w="762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r>
            <a:rPr lang="en-US" sz="1600" b="1">
              <a:solidFill>
                <a:schemeClr val="tx1"/>
              </a:solidFill>
              <a:latin typeface="Calibri Light" panose="020F0302020204030204" pitchFamily="34" charset="0"/>
              <a:ea typeface="Calibri Light" panose="020F0302020204030204" pitchFamily="34" charset="0"/>
              <a:cs typeface="Calibri Light" panose="020F0302020204030204" pitchFamily="34" charset="0"/>
            </a:rPr>
            <a:t>need to update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347763</xdr:colOff>
      <xdr:row>29</xdr:row>
      <xdr:rowOff>94591</xdr:rowOff>
    </xdr:from>
    <xdr:to>
      <xdr:col>15</xdr:col>
      <xdr:colOff>244999</xdr:colOff>
      <xdr:row>44</xdr:row>
      <xdr:rowOff>158694</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32</xdr:col>
      <xdr:colOff>0</xdr:colOff>
      <xdr:row>28</xdr:row>
      <xdr:rowOff>1242</xdr:rowOff>
    </xdr:from>
    <xdr:to>
      <xdr:col>41</xdr:col>
      <xdr:colOff>361951</xdr:colOff>
      <xdr:row>53</xdr:row>
      <xdr:rowOff>0</xdr:rowOff>
    </xdr:to>
    <xdr:graphicFrame macro="">
      <xdr:nvGraphicFramePr>
        <xdr:cNvPr id="4" name="Chart 3">
          <a:extLst>
            <a:ext uri="{FF2B5EF4-FFF2-40B4-BE49-F238E27FC236}">
              <a16:creationId xmlns:a16="http://schemas.microsoft.com/office/drawing/2014/main" id="{DEED4456-E4EF-4CA2-9820-728F5D702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29</xdr:row>
      <xdr:rowOff>0</xdr:rowOff>
    </xdr:from>
    <xdr:to>
      <xdr:col>53</xdr:col>
      <xdr:colOff>447262</xdr:colOff>
      <xdr:row>54</xdr:row>
      <xdr:rowOff>20293</xdr:rowOff>
    </xdr:to>
    <xdr:graphicFrame macro="">
      <xdr:nvGraphicFramePr>
        <xdr:cNvPr id="5" name="Chart 4">
          <a:extLst>
            <a:ext uri="{FF2B5EF4-FFF2-40B4-BE49-F238E27FC236}">
              <a16:creationId xmlns:a16="http://schemas.microsoft.com/office/drawing/2014/main" id="{4356DCE3-651D-4C9F-85C2-87436A52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0.7935</cdr:x>
      <cdr:y>0.13755</cdr:y>
    </cdr:from>
    <cdr:to>
      <cdr:x>0.94712</cdr:x>
      <cdr:y>0.19777</cdr:y>
    </cdr:to>
    <cdr:sp macro="" textlink="">
      <cdr:nvSpPr>
        <cdr:cNvPr id="3" name="TextBox 2"/>
        <cdr:cNvSpPr txBox="1"/>
      </cdr:nvSpPr>
      <cdr:spPr>
        <a:xfrm xmlns:a="http://schemas.openxmlformats.org/drawingml/2006/main">
          <a:off x="4973222" y="556657"/>
          <a:ext cx="962806" cy="243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$2.9B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0.80295</cdr:x>
      <cdr:y>0.07316</cdr:y>
    </cdr:from>
    <cdr:to>
      <cdr:x>0.88479</cdr:x>
      <cdr:y>0.13337</cdr:y>
    </cdr:to>
    <cdr:sp macro="" textlink="">
      <cdr:nvSpPr>
        <cdr:cNvPr id="4" name="TextBox 1"/>
        <cdr:cNvSpPr txBox="1"/>
      </cdr:nvSpPr>
      <cdr:spPr>
        <a:xfrm xmlns:a="http://schemas.openxmlformats.org/drawingml/2006/main">
          <a:off x="5032451" y="296053"/>
          <a:ext cx="512928" cy="24366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Totals</a:t>
          </a:r>
        </a:p>
      </cdr:txBody>
    </cdr:sp>
  </cdr:relSizeAnchor>
  <cdr:relSizeAnchor xmlns:cdr="http://schemas.openxmlformats.org/drawingml/2006/chartDrawing">
    <cdr:from>
      <cdr:x>0.79473</cdr:x>
      <cdr:y>0.30329</cdr:y>
    </cdr:from>
    <cdr:to>
      <cdr:x>0.94835</cdr:x>
      <cdr:y>0.36351</cdr:y>
    </cdr:to>
    <cdr:sp macro="" textlink="">
      <cdr:nvSpPr>
        <cdr:cNvPr id="5" name="TextBox 1"/>
        <cdr:cNvSpPr txBox="1"/>
      </cdr:nvSpPr>
      <cdr:spPr>
        <a:xfrm xmlns:a="http://schemas.openxmlformats.org/drawingml/2006/main">
          <a:off x="4980931" y="1227362"/>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0.79486</cdr:x>
      <cdr:y>0.45044</cdr:y>
    </cdr:from>
    <cdr:to>
      <cdr:x>0.94848</cdr:x>
      <cdr:y>0.51066</cdr:y>
    </cdr:to>
    <cdr:sp macro="" textlink="">
      <cdr:nvSpPr>
        <cdr:cNvPr id="6" name="TextBox 1"/>
        <cdr:cNvSpPr txBox="1"/>
      </cdr:nvSpPr>
      <cdr:spPr>
        <a:xfrm xmlns:a="http://schemas.openxmlformats.org/drawingml/2006/main">
          <a:off x="4981745" y="1822866"/>
          <a:ext cx="962805"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$1.8B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0.79473</cdr:x>
      <cdr:y>0.57322</cdr:y>
    </cdr:from>
    <cdr:to>
      <cdr:x>0.94835</cdr:x>
      <cdr:y>0.63344</cdr:y>
    </cdr:to>
    <cdr:sp macro="" textlink="">
      <cdr:nvSpPr>
        <cdr:cNvPr id="7" name="TextBox 1"/>
        <cdr:cNvSpPr txBox="1"/>
      </cdr:nvSpPr>
      <cdr:spPr>
        <a:xfrm xmlns:a="http://schemas.openxmlformats.org/drawingml/2006/main">
          <a:off x="4980931" y="2319757"/>
          <a:ext cx="962806" cy="2437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$3.4B</a:t>
          </a:r>
          <a:endParaRPr lang="en-US" sz="1000">
            <a:solidFill>
              <a:schemeClr val="bg1">
                <a:lumMod val="50000"/>
              </a:schemeClr>
            </a:solidFill>
            <a:latin typeface="Century Gothic" panose="020B0502020202020204" pitchFamily="34" charset="0"/>
          </a:endParaRPr>
        </a:p>
      </cdr:txBody>
    </cdr:sp>
  </cdr:relSizeAnchor>
  <cdr:relSizeAnchor xmlns:cdr="http://schemas.openxmlformats.org/drawingml/2006/chartDrawing">
    <cdr:from>
      <cdr:x>0.79334</cdr:x>
      <cdr:y>0.7727</cdr:y>
    </cdr:from>
    <cdr:to>
      <cdr:x>0.94696</cdr:x>
      <cdr:y>0.83292</cdr:y>
    </cdr:to>
    <cdr:sp macro="" textlink="">
      <cdr:nvSpPr>
        <cdr:cNvPr id="8" name="TextBox 1"/>
        <cdr:cNvSpPr txBox="1"/>
      </cdr:nvSpPr>
      <cdr:spPr>
        <a:xfrm xmlns:a="http://schemas.openxmlformats.org/drawingml/2006/main">
          <a:off x="4722192" y="3082235"/>
          <a:ext cx="914400" cy="2401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solidFill>
                <a:schemeClr val="bg1">
                  <a:lumMod val="50000"/>
                </a:schemeClr>
              </a:solidFill>
              <a:latin typeface="Century Gothic" panose="020B0502020202020204" pitchFamily="34" charset="0"/>
            </a:rPr>
            <a:t>–</a:t>
          </a:r>
          <a:r>
            <a:rPr lang="en-US" sz="1000" baseline="0">
              <a:solidFill>
                <a:schemeClr val="bg1">
                  <a:lumMod val="50000"/>
                </a:schemeClr>
              </a:solidFill>
              <a:latin typeface="Century Gothic" panose="020B0502020202020204" pitchFamily="34" charset="0"/>
            </a:rPr>
            <a:t> $4.3B</a:t>
          </a:r>
          <a:endParaRPr lang="en-US" sz="1000">
            <a:solidFill>
              <a:schemeClr val="bg1">
                <a:lumMod val="50000"/>
              </a:schemeClr>
            </a:solidFill>
            <a:latin typeface="Century Gothic" panose="020B0502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Z:\E\EFW\EWB\EWB%20Staff%20Folders\OMalleyM\Governor%20Report\FY23GovernorsReport_Data_for_Council2.xlsx" TargetMode="External"/><Relationship Id="rId1" Type="http://schemas.openxmlformats.org/officeDocument/2006/relationships/externalLinkPath" Target="file:///Z:\E\EFW\EWB\EWB%20Staff%20Folders\OMalleyM\Governor%20Report\FY23GovernorsReport_Data_for_Council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E\EFW\EWB\EWB%20Staff%20Folders\OMalleyM\Governor%20Report\FY23GovernorsReport_MO_old.xlsx" TargetMode="External"/><Relationship Id="rId1" Type="http://schemas.openxmlformats.org/officeDocument/2006/relationships/externalLinkPath" Target="file:///Z:\E\EFW\EWB\EWB%20Staff%20Folders\OMalleyM\Governor%20Report\FY23GovernorsReport_MO_ol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Z:\E\EFW\EWB\BUDGET\Annual%20Reports\Governor's%20Report\2025%20Governors%20Report%20(for%202024)\Gov%20Report%20Back%20Up%20Data\01%20Fish%20Table%20Costs%201978-2024.xlsx" TargetMode="External"/><Relationship Id="rId1" Type="http://schemas.openxmlformats.org/officeDocument/2006/relationships/externalLinkPath" Target="file:///Z:\E\EFW\EWB\BUDGET\Annual%20Reports\Governor's%20Report\2025%20Governors%20Report%20(for%202024)\Gov%20Report%20Back%20Up%20Data\01%20Fish%20Table%20Costs%201978-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A_ByArea"/>
      <sheetName val="1B_Direct"/>
      <sheetName val="2_SpeciesType"/>
      <sheetName val="3_FCRPS_CRS"/>
      <sheetName val="4_ESASpecies"/>
      <sheetName val="5 Fund"/>
      <sheetName val="6A_Category"/>
      <sheetName val="6A Project List"/>
      <sheetName val="6B_ArtProd"/>
      <sheetName val="6B Project List"/>
      <sheetName val="6C_RME"/>
      <sheetName val="6C Project List"/>
      <sheetName val="7A_Province"/>
      <sheetName val="7B_Subbasin"/>
      <sheetName val="8_Location"/>
      <sheetName val="9_Contractor"/>
      <sheetName val="10_LandPurchases"/>
      <sheetName val="NA_Cumulative"/>
      <sheetName val="BPA Costs Table"/>
    </sheetNames>
    <sheetDataSet>
      <sheetData sheetId="0"/>
      <sheetData sheetId="1"/>
      <sheetData sheetId="2"/>
      <sheetData sheetId="3"/>
      <sheetData sheetId="4"/>
      <sheetData sheetId="5"/>
      <sheetData sheetId="6">
        <row r="14">
          <cell r="R14">
            <v>275501268</v>
          </cell>
        </row>
      </sheetData>
      <sheetData sheetId="7"/>
      <sheetData sheetId="8">
        <row r="7">
          <cell r="R7">
            <v>57520170</v>
          </cell>
        </row>
      </sheetData>
      <sheetData sheetId="9"/>
      <sheetData sheetId="10">
        <row r="10">
          <cell r="N10">
            <v>75077624.799999997</v>
          </cell>
        </row>
      </sheetData>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A_ByArea"/>
      <sheetName val="1B_Direct"/>
      <sheetName val="2_SpeciesType"/>
      <sheetName val="3_CRS"/>
      <sheetName val="4_ESASpecies"/>
      <sheetName val="5_Fund"/>
      <sheetName val="6A_Category"/>
      <sheetName val="6B_ArtProd"/>
      <sheetName val="6C_RME"/>
      <sheetName val="7A_Province"/>
      <sheetName val="7B_Subbasin"/>
      <sheetName val="8_Location"/>
      <sheetName val="9_Contractor"/>
      <sheetName val="10_LandPurchases"/>
      <sheetName val="NA_Cumulative"/>
      <sheetName val="BPA Costs Table"/>
      <sheetName val="TO DELETE"/>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978-2024 Table"/>
      <sheetName val="FY24 Certification"/>
      <sheetName val="OM COE BOR"/>
      <sheetName val="Fed Hydro"/>
      <sheetName val="Power Purchase Final"/>
      <sheetName val="Lower Snake-Cons Council"/>
      <sheetName val="Fixed Expenses"/>
    </sheetNames>
    <sheetDataSet>
      <sheetData sheetId="0">
        <row r="2">
          <cell r="B2" t="str">
            <v xml:space="preserve"> 1978-1980</v>
          </cell>
          <cell r="C2" t="str">
            <v xml:space="preserve"> 1981</v>
          </cell>
          <cell r="D2" t="str">
            <v xml:space="preserve"> 1982</v>
          </cell>
          <cell r="E2" t="str">
            <v xml:space="preserve"> 1983</v>
          </cell>
          <cell r="F2" t="str">
            <v xml:space="preserve"> 1984</v>
          </cell>
          <cell r="G2" t="str">
            <v xml:space="preserve"> 1985</v>
          </cell>
          <cell r="H2" t="str">
            <v xml:space="preserve"> 1986</v>
          </cell>
          <cell r="I2" t="str">
            <v xml:space="preserve"> 1987</v>
          </cell>
          <cell r="J2" t="str">
            <v xml:space="preserve"> 1988</v>
          </cell>
          <cell r="K2" t="str">
            <v xml:space="preserve"> 1989</v>
          </cell>
          <cell r="L2" t="str">
            <v xml:space="preserve"> 1990</v>
          </cell>
          <cell r="M2" t="str">
            <v xml:space="preserve"> 1991</v>
          </cell>
          <cell r="N2">
            <v>1992</v>
          </cell>
          <cell r="O2">
            <v>1993</v>
          </cell>
          <cell r="P2">
            <v>1994</v>
          </cell>
          <cell r="Q2">
            <v>1995</v>
          </cell>
          <cell r="R2">
            <v>1996</v>
          </cell>
          <cell r="S2">
            <v>1997</v>
          </cell>
          <cell r="T2">
            <v>1998</v>
          </cell>
          <cell r="U2">
            <v>1999</v>
          </cell>
          <cell r="V2">
            <v>2000</v>
          </cell>
          <cell r="W2">
            <v>2001</v>
          </cell>
          <cell r="X2">
            <v>2002</v>
          </cell>
          <cell r="Y2">
            <v>2003</v>
          </cell>
          <cell r="Z2">
            <v>2004</v>
          </cell>
          <cell r="AA2">
            <v>2005</v>
          </cell>
          <cell r="AB2">
            <v>2006</v>
          </cell>
          <cell r="AC2">
            <v>2007</v>
          </cell>
        </row>
        <row r="29">
          <cell r="B29">
            <v>41.3</v>
          </cell>
          <cell r="C29">
            <v>20.2</v>
          </cell>
          <cell r="D29">
            <v>42.5</v>
          </cell>
          <cell r="E29">
            <v>40.199999999999996</v>
          </cell>
          <cell r="F29">
            <v>72.2</v>
          </cell>
          <cell r="G29">
            <v>99.5</v>
          </cell>
          <cell r="H29">
            <v>158.4</v>
          </cell>
          <cell r="I29">
            <v>100.4</v>
          </cell>
          <cell r="J29">
            <v>118.8</v>
          </cell>
          <cell r="K29">
            <v>133.5</v>
          </cell>
          <cell r="L29">
            <v>145.5</v>
          </cell>
          <cell r="M29">
            <v>150.5</v>
          </cell>
          <cell r="N29">
            <v>219.3</v>
          </cell>
          <cell r="O29">
            <v>282.7</v>
          </cell>
          <cell r="P29">
            <v>325.79999999999995</v>
          </cell>
          <cell r="Q29">
            <v>241.7</v>
          </cell>
          <cell r="R29">
            <v>258.7</v>
          </cell>
          <cell r="S29">
            <v>302.2</v>
          </cell>
          <cell r="T29">
            <v>337.28</v>
          </cell>
          <cell r="U29">
            <v>468.6</v>
          </cell>
          <cell r="V29">
            <v>480</v>
          </cell>
          <cell r="W29">
            <v>1730.2</v>
          </cell>
          <cell r="X29">
            <v>433.71000000000004</v>
          </cell>
          <cell r="Y29">
            <v>530.55500000000006</v>
          </cell>
          <cell r="Z29">
            <v>501</v>
          </cell>
          <cell r="AA29">
            <v>576.32999999999993</v>
          </cell>
          <cell r="AB29">
            <v>851.66573999280013</v>
          </cell>
          <cell r="AC29">
            <v>715.97199999999998</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-45.2</v>
          </cell>
          <cell r="R33">
            <v>-25.5</v>
          </cell>
          <cell r="S33">
            <v>-29.7</v>
          </cell>
          <cell r="T33">
            <v>-35.700000000000003</v>
          </cell>
          <cell r="U33">
            <v>-46</v>
          </cell>
          <cell r="V33">
            <v>-50.4</v>
          </cell>
          <cell r="W33">
            <v>-583.1</v>
          </cell>
          <cell r="X33">
            <v>-66.400000000000006</v>
          </cell>
          <cell r="Y33">
            <v>-152.30000000000001</v>
          </cell>
          <cell r="Z33">
            <v>-77</v>
          </cell>
          <cell r="AA33">
            <v>-57.7</v>
          </cell>
          <cell r="AB33">
            <v>-76.352833301624401</v>
          </cell>
          <cell r="AC33">
            <v>-66.099999999999994</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JK42"/>
  <sheetViews>
    <sheetView tabSelected="1" zoomScale="85" zoomScaleNormal="85" workbookViewId="0">
      <selection activeCell="A5" sqref="A5:B5"/>
    </sheetView>
  </sheetViews>
  <sheetFormatPr defaultColWidth="9.1796875" defaultRowHeight="14.5"/>
  <cols>
    <col min="1" max="1" width="2.453125" style="3" customWidth="1"/>
    <col min="2" max="2" width="47.1796875" style="3" customWidth="1"/>
    <col min="3" max="3" width="10.26953125" style="3" customWidth="1"/>
    <col min="4" max="4" width="11.26953125" style="124" customWidth="1"/>
    <col min="5" max="5" width="26.54296875" style="3" customWidth="1"/>
    <col min="6" max="6" width="9.1796875" style="3"/>
    <col min="7" max="7" width="10.7265625" style="3" customWidth="1"/>
    <col min="8" max="8" width="11.453125" style="3" customWidth="1"/>
    <col min="9" max="16384" width="9.1796875" style="3"/>
  </cols>
  <sheetData>
    <row r="1" spans="1:7" ht="25.5" customHeight="1">
      <c r="A1" s="190" t="s">
        <v>451</v>
      </c>
      <c r="B1" s="190"/>
      <c r="C1" s="190"/>
      <c r="D1" s="188"/>
      <c r="E1" s="188"/>
      <c r="F1" s="188"/>
    </row>
    <row r="2" spans="1:7" ht="16.5">
      <c r="A2" s="30" t="s">
        <v>452</v>
      </c>
      <c r="B2" s="30"/>
      <c r="C2" s="30"/>
      <c r="D2" s="111"/>
      <c r="E2" s="30"/>
    </row>
    <row r="3" spans="1:7">
      <c r="A3" s="450"/>
      <c r="B3" s="450"/>
      <c r="C3" s="30"/>
      <c r="D3" s="111"/>
      <c r="E3" s="30"/>
    </row>
    <row r="4" spans="1:7" ht="18.75" customHeight="1">
      <c r="A4" s="449" t="s">
        <v>386</v>
      </c>
      <c r="B4" s="449"/>
      <c r="C4" s="391"/>
      <c r="D4" s="367"/>
      <c r="E4" s="392" t="s">
        <v>401</v>
      </c>
      <c r="F4" s="261"/>
      <c r="G4" s="261"/>
    </row>
    <row r="5" spans="1:7" ht="16">
      <c r="A5" s="451"/>
      <c r="B5" s="451"/>
      <c r="C5" s="261"/>
      <c r="D5" s="367"/>
      <c r="E5" s="393" t="s">
        <v>438</v>
      </c>
      <c r="F5" s="261"/>
      <c r="G5" s="394">
        <f>270800000</f>
        <v>270800000</v>
      </c>
    </row>
    <row r="6" spans="1:7" ht="13.9" customHeight="1">
      <c r="A6" s="395" t="s">
        <v>453</v>
      </c>
      <c r="B6" s="363"/>
      <c r="C6" s="396"/>
      <c r="D6" s="397">
        <f>270800000</f>
        <v>270800000</v>
      </c>
      <c r="E6" s="261" t="s">
        <v>261</v>
      </c>
      <c r="F6" s="261"/>
      <c r="G6" s="394">
        <f>36600000</f>
        <v>36600000</v>
      </c>
    </row>
    <row r="7" spans="1:7" ht="16">
      <c r="A7" s="444" t="s">
        <v>261</v>
      </c>
      <c r="B7" s="444"/>
      <c r="C7" s="261"/>
      <c r="D7" s="397">
        <f>36600000</f>
        <v>36600000</v>
      </c>
      <c r="E7" s="261" t="s">
        <v>38</v>
      </c>
      <c r="F7" s="261"/>
      <c r="G7" s="394">
        <f>D13</f>
        <v>103800000</v>
      </c>
    </row>
    <row r="8" spans="1:7" ht="16">
      <c r="A8" s="444" t="s">
        <v>38</v>
      </c>
      <c r="B8" s="444"/>
      <c r="C8" s="261"/>
      <c r="D8" s="398"/>
      <c r="E8" s="261" t="s">
        <v>36</v>
      </c>
      <c r="F8" s="261"/>
      <c r="G8" s="394">
        <f>D17</f>
        <v>101200000</v>
      </c>
    </row>
    <row r="9" spans="1:7" ht="16">
      <c r="A9" s="452" t="s">
        <v>394</v>
      </c>
      <c r="B9" s="451"/>
      <c r="C9" s="399">
        <f>51100000</f>
        <v>51100000</v>
      </c>
      <c r="D9" s="367"/>
      <c r="E9" s="261" t="s">
        <v>109</v>
      </c>
      <c r="F9" s="261"/>
      <c r="G9" s="394">
        <f>856200000</f>
        <v>856200000</v>
      </c>
    </row>
    <row r="10" spans="1:7" ht="16">
      <c r="A10" s="452" t="s">
        <v>395</v>
      </c>
      <c r="B10" s="451"/>
      <c r="C10" s="399">
        <f>40200000</f>
        <v>40200000</v>
      </c>
      <c r="D10" s="398"/>
      <c r="E10" s="261"/>
      <c r="F10" s="261"/>
      <c r="G10" s="261"/>
    </row>
    <row r="11" spans="1:7" ht="16">
      <c r="A11" s="452" t="s">
        <v>396</v>
      </c>
      <c r="B11" s="451"/>
      <c r="C11" s="399">
        <f>7400000</f>
        <v>7400000</v>
      </c>
      <c r="D11" s="398"/>
      <c r="E11" s="261"/>
      <c r="F11" s="261"/>
      <c r="G11" s="261"/>
    </row>
    <row r="12" spans="1:7" ht="15" customHeight="1">
      <c r="A12" s="452" t="s">
        <v>397</v>
      </c>
      <c r="B12" s="451"/>
      <c r="C12" s="399">
        <f>5100000</f>
        <v>5100000</v>
      </c>
      <c r="D12" s="398"/>
      <c r="E12" s="261"/>
      <c r="F12" s="261"/>
      <c r="G12" s="400">
        <f>SUM(G5:G11)</f>
        <v>1368600000</v>
      </c>
    </row>
    <row r="13" spans="1:7" ht="15" customHeight="1">
      <c r="A13" s="453" t="s">
        <v>454</v>
      </c>
      <c r="B13" s="453"/>
      <c r="C13" s="453"/>
      <c r="D13" s="397">
        <f>SUM(C9:C12)</f>
        <v>103800000</v>
      </c>
      <c r="E13" s="261"/>
      <c r="F13" s="261"/>
      <c r="G13" s="261"/>
    </row>
    <row r="14" spans="1:7" ht="15" customHeight="1">
      <c r="A14" s="444" t="s">
        <v>36</v>
      </c>
      <c r="B14" s="444"/>
      <c r="C14" s="261"/>
      <c r="D14" s="367"/>
      <c r="E14" s="261"/>
      <c r="F14" s="261"/>
      <c r="G14" s="261"/>
    </row>
    <row r="15" spans="1:7" ht="16">
      <c r="A15" s="452" t="s">
        <v>398</v>
      </c>
      <c r="B15" s="451"/>
      <c r="C15" s="399">
        <f>24700000</f>
        <v>24700000</v>
      </c>
      <c r="D15" s="398"/>
      <c r="E15" s="261"/>
      <c r="F15" s="261"/>
      <c r="G15" s="261"/>
    </row>
    <row r="16" spans="1:7" ht="16">
      <c r="A16" s="452" t="s">
        <v>399</v>
      </c>
      <c r="B16" s="451"/>
      <c r="C16" s="399">
        <f>76500000</f>
        <v>76500000</v>
      </c>
      <c r="D16" s="398"/>
      <c r="E16" s="261"/>
      <c r="F16" s="261"/>
      <c r="G16" s="261"/>
    </row>
    <row r="17" spans="1:271" ht="18">
      <c r="A17" s="453" t="s">
        <v>455</v>
      </c>
      <c r="B17" s="453"/>
      <c r="C17" s="401"/>
      <c r="D17" s="397">
        <f>SUM(C15:C16)</f>
        <v>101200000</v>
      </c>
      <c r="E17" s="261"/>
      <c r="F17" s="261"/>
      <c r="G17" s="261"/>
    </row>
    <row r="18" spans="1:271" ht="16">
      <c r="A18" s="444" t="s">
        <v>109</v>
      </c>
      <c r="B18" s="444"/>
      <c r="C18" s="261"/>
      <c r="D18" s="397">
        <f>856200000</f>
        <v>856200000</v>
      </c>
      <c r="E18" s="261"/>
      <c r="F18" s="261"/>
      <c r="G18" s="261"/>
    </row>
    <row r="19" spans="1:271" ht="16">
      <c r="A19" s="393"/>
      <c r="B19" s="393"/>
      <c r="C19" s="402"/>
      <c r="D19" s="398"/>
      <c r="E19" s="261"/>
      <c r="F19" s="261"/>
      <c r="G19" s="261"/>
    </row>
    <row r="20" spans="1:271" ht="18">
      <c r="A20" s="448" t="s">
        <v>456</v>
      </c>
      <c r="B20" s="448"/>
      <c r="C20" s="403"/>
      <c r="D20" s="404">
        <f>SUM(D6:D18)</f>
        <v>1368600000</v>
      </c>
      <c r="E20" s="261"/>
      <c r="F20" s="261"/>
      <c r="G20" s="261"/>
    </row>
    <row r="21" spans="1:271" ht="15" thickBot="1">
      <c r="A21" s="450"/>
      <c r="B21" s="450"/>
      <c r="C21" s="99"/>
      <c r="D21" s="189"/>
      <c r="E21" s="30"/>
    </row>
    <row r="22" spans="1:271" ht="17" thickBot="1">
      <c r="A22" s="445" t="s">
        <v>457</v>
      </c>
      <c r="B22" s="446"/>
      <c r="C22" s="406">
        <v>39.299999999999997</v>
      </c>
      <c r="D22" s="407"/>
      <c r="E22" s="407"/>
      <c r="F22" s="407"/>
    </row>
    <row r="23" spans="1:271" ht="15" thickBot="1">
      <c r="A23" s="407" t="s">
        <v>400</v>
      </c>
      <c r="B23" s="405"/>
      <c r="C23" s="408" t="s">
        <v>368</v>
      </c>
      <c r="D23" s="409"/>
      <c r="E23" s="407"/>
      <c r="F23" s="407"/>
    </row>
    <row r="24" spans="1:271" ht="15" thickBot="1">
      <c r="A24" s="445" t="s">
        <v>446</v>
      </c>
      <c r="B24" s="446"/>
      <c r="C24" s="410">
        <v>-257.8</v>
      </c>
      <c r="D24" s="411"/>
      <c r="E24" s="407"/>
      <c r="F24" s="407"/>
    </row>
    <row r="25" spans="1:271">
      <c r="A25" s="447"/>
      <c r="B25" s="447"/>
      <c r="C25" s="407"/>
      <c r="D25" s="411"/>
      <c r="E25" s="407"/>
      <c r="F25" s="407"/>
    </row>
    <row r="26" spans="1:271" ht="30.75" customHeight="1">
      <c r="A26" s="443" t="s">
        <v>458</v>
      </c>
      <c r="B26" s="443"/>
      <c r="C26" s="443"/>
      <c r="D26" s="443"/>
      <c r="E26" s="443"/>
      <c r="F26" s="443"/>
      <c r="G26" s="443"/>
      <c r="H26" s="16"/>
      <c r="I26" s="16"/>
      <c r="J26" s="16"/>
      <c r="K26" s="16"/>
      <c r="L26" s="16"/>
      <c r="M26" s="16"/>
      <c r="N26" s="16"/>
      <c r="O26" s="16"/>
      <c r="P26" s="16"/>
      <c r="Q26" s="16"/>
      <c r="R26" s="16"/>
      <c r="S26" s="16"/>
      <c r="T26" s="16"/>
      <c r="U26" s="16"/>
      <c r="V26" s="16"/>
      <c r="W26" s="16"/>
    </row>
    <row r="27" spans="1:271" ht="43.5" customHeight="1">
      <c r="A27" s="443" t="s">
        <v>459</v>
      </c>
      <c r="B27" s="443"/>
      <c r="C27" s="443"/>
      <c r="D27" s="443"/>
      <c r="E27" s="443"/>
      <c r="F27" s="443"/>
      <c r="G27" s="443"/>
      <c r="H27" s="16"/>
      <c r="I27" s="16"/>
      <c r="J27" s="16"/>
      <c r="K27" s="16"/>
      <c r="L27" s="16"/>
      <c r="M27" s="16"/>
      <c r="N27" s="16"/>
      <c r="O27" s="16"/>
      <c r="P27" s="16"/>
      <c r="Q27" s="16"/>
      <c r="R27" s="16"/>
      <c r="S27" s="16"/>
      <c r="T27" s="16"/>
      <c r="U27" s="16"/>
      <c r="V27" s="16"/>
      <c r="W27" s="16"/>
    </row>
    <row r="28" spans="1:271" ht="28.15" customHeight="1">
      <c r="A28" s="443" t="s">
        <v>460</v>
      </c>
      <c r="B28" s="443"/>
      <c r="C28" s="443"/>
      <c r="D28" s="443"/>
      <c r="E28" s="443"/>
      <c r="F28" s="443"/>
      <c r="G28" s="443"/>
      <c r="H28" s="11"/>
      <c r="I28" s="11"/>
      <c r="J28" s="11"/>
      <c r="K28" s="12"/>
      <c r="L28" s="12"/>
      <c r="M28" s="12"/>
      <c r="N28" s="12"/>
      <c r="O28" s="12"/>
      <c r="P28" s="12"/>
      <c r="Q28" s="12"/>
      <c r="R28" s="12"/>
      <c r="S28" s="12"/>
      <c r="T28" s="12"/>
      <c r="U28" s="12"/>
      <c r="V28" s="12"/>
      <c r="W28" s="10"/>
    </row>
    <row r="29" spans="1:271" ht="29.25" customHeight="1">
      <c r="A29" s="443" t="s">
        <v>461</v>
      </c>
      <c r="B29" s="443"/>
      <c r="C29" s="443"/>
      <c r="D29" s="443"/>
      <c r="E29" s="443"/>
      <c r="F29" s="443"/>
      <c r="G29" s="443"/>
      <c r="H29" s="11"/>
      <c r="I29" s="11"/>
      <c r="J29" s="11"/>
      <c r="K29" s="11"/>
      <c r="L29" s="11"/>
      <c r="M29" s="11"/>
      <c r="N29" s="11"/>
      <c r="O29" s="11"/>
      <c r="P29" s="11"/>
      <c r="Q29" s="11"/>
      <c r="R29" s="11"/>
      <c r="S29" s="11"/>
      <c r="T29" s="11"/>
      <c r="U29" s="11"/>
      <c r="V29" s="11"/>
      <c r="W29" s="10"/>
    </row>
    <row r="30" spans="1:271" s="120" customFormat="1" ht="30" customHeight="1">
      <c r="A30" s="443" t="s">
        <v>462</v>
      </c>
      <c r="B30" s="443"/>
      <c r="C30" s="443"/>
      <c r="D30" s="443"/>
      <c r="E30" s="443"/>
      <c r="F30" s="443"/>
      <c r="G30" s="44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row>
    <row r="31" spans="1:271" s="120" customFormat="1" ht="43.15" customHeight="1">
      <c r="A31" s="443" t="s">
        <v>463</v>
      </c>
      <c r="B31" s="443"/>
      <c r="C31" s="443"/>
      <c r="D31" s="443"/>
      <c r="E31" s="443"/>
      <c r="F31" s="443"/>
      <c r="G31" s="44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row>
    <row r="32" spans="1:271" s="120" customFormat="1">
      <c r="A32" s="438"/>
      <c r="B32" s="439"/>
      <c r="C32" s="440"/>
      <c r="D32" s="438"/>
      <c r="E32" s="438"/>
      <c r="F32" s="438"/>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row>
    <row r="42" spans="2:2">
      <c r="B42" s="15"/>
    </row>
  </sheetData>
  <mergeCells count="26">
    <mergeCell ref="A31:G31"/>
    <mergeCell ref="A4:B4"/>
    <mergeCell ref="A3:B3"/>
    <mergeCell ref="A5:B5"/>
    <mergeCell ref="A12:B12"/>
    <mergeCell ref="A15:B15"/>
    <mergeCell ref="A16:B16"/>
    <mergeCell ref="A18:B18"/>
    <mergeCell ref="A21:B21"/>
    <mergeCell ref="A7:B7"/>
    <mergeCell ref="A9:B9"/>
    <mergeCell ref="A10:B10"/>
    <mergeCell ref="A11:B11"/>
    <mergeCell ref="A8:B8"/>
    <mergeCell ref="A13:C13"/>
    <mergeCell ref="A17:B17"/>
    <mergeCell ref="A14:B14"/>
    <mergeCell ref="A24:B24"/>
    <mergeCell ref="A25:B25"/>
    <mergeCell ref="A22:B22"/>
    <mergeCell ref="A20:B20"/>
    <mergeCell ref="A26:G26"/>
    <mergeCell ref="A27:G27"/>
    <mergeCell ref="A28:G28"/>
    <mergeCell ref="A29:G29"/>
    <mergeCell ref="A30:G3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2"/>
  <sheetViews>
    <sheetView zoomScale="85" zoomScaleNormal="85" workbookViewId="0"/>
  </sheetViews>
  <sheetFormatPr defaultRowHeight="12.5"/>
  <sheetData>
    <row r="1" spans="1:1" ht="18.5">
      <c r="A1" s="215" t="s">
        <v>393</v>
      </c>
    </row>
    <row r="2" spans="1:1">
      <c r="A2" s="29" t="s">
        <v>258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1CD0-DAE6-4443-982C-198F8AA830DE}">
  <sheetPr>
    <tabColor rgb="FF92D050"/>
  </sheetPr>
  <dimension ref="A1:S21"/>
  <sheetViews>
    <sheetView topLeftCell="A11" zoomScaleNormal="100" workbookViewId="0">
      <selection activeCell="A26" sqref="A26"/>
    </sheetView>
  </sheetViews>
  <sheetFormatPr defaultColWidth="8.81640625" defaultRowHeight="15.5"/>
  <cols>
    <col min="1" max="1" width="39.81640625" style="165" customWidth="1"/>
    <col min="2" max="7" width="14.26953125" style="160" hidden="1" customWidth="1"/>
    <col min="8" max="17" width="16.453125" style="160" customWidth="1"/>
    <col min="18" max="18" width="11.81640625" style="160" bestFit="1" customWidth="1"/>
    <col min="19" max="19" width="13.26953125" style="160" bestFit="1" customWidth="1"/>
    <col min="20" max="16384" width="8.81640625" style="160"/>
  </cols>
  <sheetData>
    <row r="1" spans="1:19" ht="18.75" customHeight="1">
      <c r="A1" s="214" t="s">
        <v>363</v>
      </c>
      <c r="B1" s="187"/>
      <c r="C1" s="187"/>
      <c r="D1" s="187"/>
      <c r="E1" s="187"/>
      <c r="F1" s="187"/>
      <c r="G1" s="187"/>
      <c r="H1" s="187"/>
    </row>
    <row r="2" spans="1:19" ht="13">
      <c r="A2" s="208" t="s">
        <v>11</v>
      </c>
      <c r="B2" s="208">
        <v>2009</v>
      </c>
      <c r="C2" s="208">
        <v>2010</v>
      </c>
      <c r="D2" s="208">
        <v>2011</v>
      </c>
      <c r="E2" s="208">
        <v>2012</v>
      </c>
      <c r="F2" s="208">
        <v>2013</v>
      </c>
      <c r="G2" s="208">
        <v>2014</v>
      </c>
      <c r="H2" s="208">
        <v>2015</v>
      </c>
      <c r="I2" s="208">
        <v>2016</v>
      </c>
      <c r="J2" s="208">
        <v>2017</v>
      </c>
      <c r="K2" s="208">
        <v>2018</v>
      </c>
      <c r="L2" s="208">
        <v>2019</v>
      </c>
      <c r="M2" s="208">
        <v>2020</v>
      </c>
      <c r="N2" s="208">
        <v>2021</v>
      </c>
      <c r="O2" s="208">
        <v>2022</v>
      </c>
      <c r="P2" s="208">
        <v>2023</v>
      </c>
      <c r="Q2" s="208">
        <v>2024</v>
      </c>
    </row>
    <row r="3" spans="1:19">
      <c r="A3" s="209" t="s">
        <v>407</v>
      </c>
      <c r="B3" s="210">
        <v>54630439</v>
      </c>
      <c r="C3" s="210">
        <v>83781069</v>
      </c>
      <c r="D3" s="210">
        <v>116253098</v>
      </c>
      <c r="E3" s="210">
        <v>121116193</v>
      </c>
      <c r="F3" s="210">
        <v>123406157</v>
      </c>
      <c r="G3" s="210">
        <v>103620376</v>
      </c>
      <c r="H3" s="210">
        <v>114935554</v>
      </c>
      <c r="I3" s="210">
        <v>105146351</v>
      </c>
      <c r="J3" s="210">
        <v>103230372</v>
      </c>
      <c r="K3" s="210">
        <v>121302394</v>
      </c>
      <c r="L3" s="210">
        <v>118626191</v>
      </c>
      <c r="M3" s="210">
        <v>128331994</v>
      </c>
      <c r="N3" s="210">
        <v>157717130.22999993</v>
      </c>
      <c r="O3" s="210">
        <v>144780701.69</v>
      </c>
      <c r="P3" s="210">
        <v>144372363.8000001</v>
      </c>
      <c r="Q3" s="210">
        <v>153124843</v>
      </c>
      <c r="S3" s="167"/>
    </row>
    <row r="4" spans="1:19">
      <c r="A4" s="209" t="s">
        <v>464</v>
      </c>
      <c r="B4" s="210">
        <v>150749342</v>
      </c>
      <c r="C4" s="210">
        <v>155804932</v>
      </c>
      <c r="D4" s="210">
        <v>194961799</v>
      </c>
      <c r="E4" s="210">
        <v>185293580</v>
      </c>
      <c r="F4" s="210">
        <v>167695737</v>
      </c>
      <c r="G4" s="210">
        <v>165513733</v>
      </c>
      <c r="H4" s="210">
        <v>164614996</v>
      </c>
      <c r="I4" s="210">
        <v>169025826</v>
      </c>
      <c r="J4" s="210">
        <v>156727163</v>
      </c>
      <c r="K4" s="210">
        <v>157397698</v>
      </c>
      <c r="L4" s="210">
        <v>132226711</v>
      </c>
      <c r="M4" s="210">
        <v>138088715</v>
      </c>
      <c r="N4" s="210">
        <v>125291215.81</v>
      </c>
      <c r="O4" s="210">
        <v>106309508.65999998</v>
      </c>
      <c r="P4" s="210">
        <v>101638043</v>
      </c>
      <c r="Q4" s="210">
        <v>111617888</v>
      </c>
      <c r="R4" s="166"/>
      <c r="S4" s="167"/>
    </row>
    <row r="5" spans="1:19">
      <c r="A5" s="209" t="s">
        <v>442</v>
      </c>
      <c r="B5" s="210"/>
      <c r="C5" s="210"/>
      <c r="D5" s="210"/>
      <c r="E5" s="210"/>
      <c r="F5" s="210"/>
      <c r="G5" s="210"/>
      <c r="H5" s="210"/>
      <c r="I5" s="210"/>
      <c r="J5" s="210"/>
      <c r="K5" s="210"/>
      <c r="L5" s="210"/>
      <c r="M5" s="210"/>
      <c r="N5" s="210"/>
      <c r="O5" s="210"/>
      <c r="P5" s="210">
        <v>14683588</v>
      </c>
      <c r="Q5" s="210">
        <v>16134984</v>
      </c>
      <c r="R5" s="166"/>
      <c r="S5" s="167"/>
    </row>
    <row r="6" spans="1:19">
      <c r="A6" s="209" t="s">
        <v>443</v>
      </c>
      <c r="B6" s="210"/>
      <c r="C6" s="210"/>
      <c r="D6" s="210"/>
      <c r="E6" s="210"/>
      <c r="F6" s="210"/>
      <c r="G6" s="210"/>
      <c r="H6" s="210"/>
      <c r="I6" s="210"/>
      <c r="J6" s="210"/>
      <c r="K6" s="210"/>
      <c r="L6" s="210"/>
      <c r="M6" s="210"/>
      <c r="N6" s="210"/>
      <c r="O6" s="210"/>
      <c r="P6" s="210">
        <v>24499</v>
      </c>
      <c r="Q6" s="210">
        <v>2742281.89</v>
      </c>
      <c r="S6" s="167"/>
    </row>
    <row r="7" spans="1:19">
      <c r="A7" s="209" t="s">
        <v>444</v>
      </c>
      <c r="B7" s="210"/>
      <c r="C7" s="210"/>
      <c r="D7" s="210"/>
      <c r="E7" s="210"/>
      <c r="F7" s="210"/>
      <c r="G7" s="210"/>
      <c r="H7" s="210"/>
      <c r="I7" s="210"/>
      <c r="J7" s="210"/>
      <c r="K7" s="210">
        <v>10367580</v>
      </c>
      <c r="L7" s="210">
        <v>11607301</v>
      </c>
      <c r="M7" s="210">
        <v>11601030</v>
      </c>
      <c r="N7" s="210">
        <v>12327352</v>
      </c>
      <c r="O7" s="210">
        <v>14614137</v>
      </c>
      <c r="P7" s="210">
        <v>14782774</v>
      </c>
      <c r="Q7" s="210">
        <v>14966548</v>
      </c>
      <c r="S7" s="167"/>
    </row>
    <row r="8" spans="1:19" ht="15" thickBot="1">
      <c r="A8" s="211" t="s">
        <v>408</v>
      </c>
      <c r="B8" s="212">
        <f t="shared" ref="B8:G8" si="0">SUM(B4:B7)</f>
        <v>150749342</v>
      </c>
      <c r="C8" s="212">
        <f t="shared" si="0"/>
        <v>155804932</v>
      </c>
      <c r="D8" s="212">
        <f t="shared" si="0"/>
        <v>194961799</v>
      </c>
      <c r="E8" s="212">
        <f t="shared" si="0"/>
        <v>185293580</v>
      </c>
      <c r="F8" s="212">
        <f t="shared" si="0"/>
        <v>167695737</v>
      </c>
      <c r="G8" s="212">
        <f t="shared" si="0"/>
        <v>165513733</v>
      </c>
      <c r="H8" s="213">
        <v>279550548.80000001</v>
      </c>
      <c r="I8" s="213">
        <v>274172174</v>
      </c>
      <c r="J8" s="213">
        <v>259957536</v>
      </c>
      <c r="K8" s="213">
        <v>289067670</v>
      </c>
      <c r="L8" s="213">
        <v>262460202</v>
      </c>
      <c r="M8" s="213">
        <v>278021987</v>
      </c>
      <c r="N8" s="213">
        <v>295333677.0399999</v>
      </c>
      <c r="O8" s="213">
        <v>265704347.34999996</v>
      </c>
      <c r="P8" s="213">
        <v>275501267.93000007</v>
      </c>
      <c r="Q8" s="213">
        <f>SUM(Q3:Q7)</f>
        <v>298586544.88999999</v>
      </c>
    </row>
    <row r="9" spans="1:19" ht="16" thickTop="1">
      <c r="B9" s="166"/>
    </row>
    <row r="10" spans="1:19" ht="16">
      <c r="A10" s="387" t="s">
        <v>0</v>
      </c>
      <c r="B10" s="388"/>
      <c r="C10" s="388"/>
      <c r="D10" s="388"/>
      <c r="E10" s="388"/>
      <c r="F10" s="388"/>
      <c r="G10" s="388"/>
      <c r="H10" s="388"/>
      <c r="I10" s="388"/>
      <c r="J10" s="388"/>
      <c r="K10" s="388"/>
      <c r="L10" s="388"/>
      <c r="M10" s="388"/>
      <c r="N10" s="388"/>
      <c r="O10" s="388"/>
      <c r="P10" s="388"/>
      <c r="Q10" s="388"/>
    </row>
    <row r="11" spans="1:19" ht="30.65" customHeight="1">
      <c r="A11" s="454" t="s">
        <v>439</v>
      </c>
      <c r="B11" s="454"/>
      <c r="C11" s="454"/>
      <c r="D11" s="454"/>
      <c r="E11" s="454"/>
      <c r="F11" s="454"/>
      <c r="G11" s="454"/>
      <c r="H11" s="454"/>
      <c r="I11" s="454"/>
      <c r="J11" s="454"/>
      <c r="K11" s="454"/>
      <c r="L11" s="454"/>
      <c r="M11" s="454"/>
      <c r="N11" s="454"/>
      <c r="O11" s="454"/>
      <c r="P11" s="454"/>
      <c r="Q11" s="454"/>
    </row>
    <row r="12" spans="1:19" ht="32.5" customHeight="1">
      <c r="A12" s="455" t="s">
        <v>440</v>
      </c>
      <c r="B12" s="455"/>
      <c r="C12" s="455"/>
      <c r="D12" s="455"/>
      <c r="E12" s="455"/>
      <c r="F12" s="455"/>
      <c r="G12" s="455"/>
      <c r="H12" s="455"/>
      <c r="I12" s="455"/>
      <c r="J12" s="455"/>
      <c r="K12" s="455"/>
      <c r="L12" s="455"/>
      <c r="M12" s="455"/>
      <c r="N12" s="455"/>
      <c r="O12" s="455"/>
      <c r="P12" s="455"/>
      <c r="Q12" s="455"/>
    </row>
    <row r="13" spans="1:19" ht="40" customHeight="1">
      <c r="A13" s="457" t="s">
        <v>441</v>
      </c>
      <c r="B13" s="457"/>
      <c r="C13" s="457"/>
      <c r="D13" s="457"/>
      <c r="E13" s="457"/>
      <c r="F13" s="457"/>
      <c r="G13" s="457"/>
      <c r="H13" s="457"/>
      <c r="I13" s="457"/>
      <c r="J13" s="457"/>
      <c r="K13" s="457"/>
      <c r="L13" s="457"/>
      <c r="M13" s="457"/>
      <c r="N13" s="457"/>
      <c r="O13" s="457"/>
      <c r="P13" s="457"/>
      <c r="Q13" s="457"/>
    </row>
    <row r="14" spans="1:19" ht="28.15" customHeight="1">
      <c r="A14" s="456" t="s">
        <v>466</v>
      </c>
      <c r="B14" s="456"/>
      <c r="C14" s="456"/>
      <c r="D14" s="456"/>
      <c r="E14" s="456"/>
      <c r="F14" s="456"/>
      <c r="G14" s="456"/>
      <c r="H14" s="456"/>
      <c r="I14" s="456"/>
      <c r="J14" s="456"/>
      <c r="K14" s="456"/>
      <c r="L14" s="456"/>
      <c r="M14" s="456"/>
      <c r="N14" s="456"/>
      <c r="O14" s="456"/>
      <c r="P14" s="456"/>
      <c r="Q14" s="456"/>
      <c r="R14" s="180"/>
      <c r="S14" s="180"/>
    </row>
    <row r="15" spans="1:19" ht="35" customHeight="1">
      <c r="A15" s="456" t="s">
        <v>445</v>
      </c>
      <c r="B15" s="456"/>
      <c r="C15" s="456"/>
      <c r="D15" s="456"/>
      <c r="E15" s="456"/>
      <c r="F15" s="456"/>
      <c r="G15" s="456"/>
      <c r="H15" s="456"/>
      <c r="I15" s="456"/>
      <c r="J15" s="456"/>
      <c r="K15" s="456"/>
      <c r="L15" s="456"/>
      <c r="M15" s="456"/>
      <c r="N15" s="456"/>
      <c r="O15" s="456"/>
      <c r="P15" s="456"/>
      <c r="Q15" s="456"/>
    </row>
    <row r="16" spans="1:19" ht="37" customHeight="1">
      <c r="A16" s="206"/>
      <c r="B16" s="388"/>
      <c r="C16" s="388"/>
      <c r="D16" s="388"/>
      <c r="E16" s="388"/>
      <c r="F16" s="388"/>
      <c r="G16" s="388"/>
      <c r="H16" s="388"/>
      <c r="I16" s="388"/>
      <c r="J16" s="388"/>
      <c r="K16" s="388"/>
      <c r="L16" s="388"/>
      <c r="M16" s="388"/>
      <c r="N16" s="388"/>
      <c r="O16" s="388"/>
      <c r="P16" s="388"/>
      <c r="Q16" s="388"/>
    </row>
    <row r="17" spans="1:17" ht="16">
      <c r="A17" s="206" t="s">
        <v>465</v>
      </c>
      <c r="B17" s="388"/>
      <c r="C17" s="388"/>
      <c r="D17" s="388"/>
      <c r="E17" s="388"/>
      <c r="F17" s="388"/>
      <c r="G17" s="388"/>
      <c r="H17" s="389">
        <f>Q4</f>
        <v>111617888</v>
      </c>
      <c r="I17" s="388"/>
      <c r="J17" s="388"/>
      <c r="K17" s="388"/>
      <c r="L17" s="388"/>
      <c r="M17" s="388"/>
      <c r="N17" s="388"/>
      <c r="O17" s="388"/>
      <c r="P17" s="388"/>
      <c r="Q17" s="388"/>
    </row>
    <row r="18" spans="1:17" ht="16">
      <c r="A18" s="206" t="s">
        <v>367</v>
      </c>
      <c r="B18" s="388"/>
      <c r="C18" s="388"/>
      <c r="D18" s="388"/>
      <c r="E18" s="388"/>
      <c r="F18" s="388"/>
      <c r="G18" s="388"/>
      <c r="H18" s="389">
        <f>Q5</f>
        <v>16134984</v>
      </c>
      <c r="I18" s="388"/>
      <c r="J18" s="388"/>
      <c r="K18" s="388"/>
      <c r="L18" s="388"/>
      <c r="M18" s="388"/>
      <c r="N18" s="388"/>
      <c r="O18" s="388"/>
      <c r="P18" s="388"/>
      <c r="Q18" s="388"/>
    </row>
    <row r="19" spans="1:17" ht="16">
      <c r="A19" s="206" t="s">
        <v>364</v>
      </c>
      <c r="B19" s="388"/>
      <c r="C19" s="388"/>
      <c r="D19" s="388"/>
      <c r="E19" s="388"/>
      <c r="F19" s="388"/>
      <c r="G19" s="388"/>
      <c r="H19" s="389">
        <f>Q3</f>
        <v>153124843</v>
      </c>
      <c r="I19" s="388"/>
      <c r="J19" s="388"/>
      <c r="K19" s="388"/>
      <c r="L19" s="388"/>
      <c r="M19" s="388"/>
      <c r="N19" s="388"/>
      <c r="O19" s="388"/>
      <c r="P19" s="388"/>
      <c r="Q19" s="388"/>
    </row>
    <row r="20" spans="1:17" ht="16">
      <c r="A20" s="206" t="s">
        <v>141</v>
      </c>
      <c r="B20" s="388"/>
      <c r="C20" s="388"/>
      <c r="D20" s="388"/>
      <c r="E20" s="388"/>
      <c r="F20" s="388"/>
      <c r="G20" s="388"/>
      <c r="H20" s="390">
        <f>Q7</f>
        <v>14966548</v>
      </c>
      <c r="I20" s="388"/>
      <c r="J20" s="388"/>
      <c r="K20" s="388"/>
      <c r="L20" s="388"/>
      <c r="M20" s="388"/>
      <c r="N20" s="388"/>
      <c r="O20" s="388"/>
      <c r="P20" s="388"/>
      <c r="Q20" s="388"/>
    </row>
    <row r="21" spans="1:17" ht="16">
      <c r="A21" s="206" t="s">
        <v>283</v>
      </c>
      <c r="B21" s="388"/>
      <c r="C21" s="388"/>
      <c r="D21" s="388"/>
      <c r="E21" s="388"/>
      <c r="F21" s="388"/>
      <c r="G21" s="388"/>
      <c r="H21" s="389">
        <f>Q6</f>
        <v>2742281.89</v>
      </c>
      <c r="I21" s="388"/>
      <c r="J21" s="388"/>
      <c r="K21" s="388"/>
      <c r="L21" s="388"/>
      <c r="M21" s="388"/>
      <c r="N21" s="388"/>
      <c r="O21" s="388"/>
      <c r="P21" s="388"/>
      <c r="Q21" s="388"/>
    </row>
  </sheetData>
  <mergeCells count="5">
    <mergeCell ref="A11:Q11"/>
    <mergeCell ref="A12:Q12"/>
    <mergeCell ref="A14:Q14"/>
    <mergeCell ref="A13:Q13"/>
    <mergeCell ref="A15:Q15"/>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U33"/>
  <sheetViews>
    <sheetView zoomScale="115" zoomScaleNormal="115" workbookViewId="0">
      <selection activeCell="A15" sqref="A15:T15"/>
    </sheetView>
  </sheetViews>
  <sheetFormatPr defaultColWidth="9.1796875" defaultRowHeight="10.5"/>
  <cols>
    <col min="1" max="1" width="22.1796875" style="102" customWidth="1"/>
    <col min="2" max="2" width="19.1796875" style="53" hidden="1" customWidth="1"/>
    <col min="3" max="6" width="13.26953125" style="53" hidden="1" customWidth="1"/>
    <col min="7" max="7" width="20" style="53" hidden="1" customWidth="1"/>
    <col min="8" max="10" width="14.54296875" style="53" hidden="1" customWidth="1"/>
    <col min="11" max="18" width="14.54296875" style="53" bestFit="1" customWidth="1"/>
    <col min="19" max="20" width="14.54296875" style="53" customWidth="1"/>
    <col min="21" max="16384" width="9.1796875" style="53"/>
  </cols>
  <sheetData>
    <row r="1" spans="1:21" ht="18.5">
      <c r="A1" s="458" t="s">
        <v>387</v>
      </c>
      <c r="B1" s="458"/>
      <c r="C1" s="458"/>
      <c r="D1" s="458"/>
      <c r="E1" s="458"/>
      <c r="F1" s="458"/>
      <c r="G1" s="458"/>
      <c r="H1" s="458"/>
      <c r="I1" s="458"/>
      <c r="J1" s="458"/>
      <c r="K1" s="458"/>
      <c r="L1" s="458"/>
      <c r="M1" s="458"/>
    </row>
    <row r="2" spans="1:21" ht="18.649999999999999" customHeight="1">
      <c r="A2" s="224" t="s">
        <v>409</v>
      </c>
      <c r="B2" s="225">
        <v>2006</v>
      </c>
      <c r="C2" s="225">
        <v>2007</v>
      </c>
      <c r="D2" s="225">
        <v>2008</v>
      </c>
      <c r="E2" s="225">
        <v>2009</v>
      </c>
      <c r="F2" s="225">
        <v>2010</v>
      </c>
      <c r="G2" s="225">
        <v>2011</v>
      </c>
      <c r="H2" s="225">
        <v>2012</v>
      </c>
      <c r="I2" s="225">
        <v>2013</v>
      </c>
      <c r="J2" s="225">
        <v>2014</v>
      </c>
      <c r="K2" s="225">
        <v>2015</v>
      </c>
      <c r="L2" s="225">
        <v>2016</v>
      </c>
      <c r="M2" s="225">
        <v>2017</v>
      </c>
      <c r="N2" s="225">
        <v>2018</v>
      </c>
      <c r="O2" s="225">
        <v>2019</v>
      </c>
      <c r="P2" s="225">
        <v>2020</v>
      </c>
      <c r="Q2" s="225">
        <v>2021</v>
      </c>
      <c r="R2" s="225">
        <v>2022</v>
      </c>
      <c r="S2" s="225">
        <v>2023</v>
      </c>
      <c r="T2" s="225">
        <v>2024</v>
      </c>
      <c r="U2" s="100"/>
    </row>
    <row r="3" spans="1:21" ht="18" customHeight="1">
      <c r="A3" s="226" t="s">
        <v>7</v>
      </c>
      <c r="B3" s="226"/>
      <c r="C3" s="226"/>
      <c r="D3" s="226"/>
      <c r="E3" s="226"/>
      <c r="F3" s="226"/>
      <c r="G3" s="227"/>
      <c r="H3" s="227"/>
      <c r="I3" s="227"/>
      <c r="J3" s="227"/>
      <c r="K3" s="227"/>
      <c r="L3" s="227"/>
      <c r="M3" s="227"/>
      <c r="N3" s="227"/>
      <c r="O3" s="227"/>
      <c r="P3" s="227"/>
      <c r="Q3" s="227"/>
      <c r="R3" s="227"/>
      <c r="S3" s="227"/>
      <c r="T3" s="227"/>
    </row>
    <row r="4" spans="1:21" ht="12">
      <c r="A4" s="228" t="s">
        <v>5</v>
      </c>
      <c r="B4" s="229">
        <v>97220988.599999994</v>
      </c>
      <c r="C4" s="229">
        <v>95383738.870000005</v>
      </c>
      <c r="D4" s="229">
        <v>93937949</v>
      </c>
      <c r="E4" s="229">
        <v>115447417.25</v>
      </c>
      <c r="F4" s="229">
        <v>133710043</v>
      </c>
      <c r="G4" s="229">
        <v>152268151.75</v>
      </c>
      <c r="H4" s="229">
        <v>172625716.75</v>
      </c>
      <c r="I4" s="229">
        <v>162598812.96000001</v>
      </c>
      <c r="J4" s="230">
        <v>160287940</v>
      </c>
      <c r="K4" s="229">
        <v>181979402</v>
      </c>
      <c r="L4" s="231">
        <v>187926100.50999999</v>
      </c>
      <c r="M4" s="231">
        <v>174955973</v>
      </c>
      <c r="N4" s="231">
        <v>181907429</v>
      </c>
      <c r="O4" s="231">
        <v>168490894</v>
      </c>
      <c r="P4" s="231">
        <v>163848363</v>
      </c>
      <c r="Q4" s="231">
        <v>173556193</v>
      </c>
      <c r="R4" s="231">
        <v>164788858</v>
      </c>
      <c r="S4" s="231">
        <v>176625976</v>
      </c>
      <c r="T4" s="231">
        <v>176925814</v>
      </c>
    </row>
    <row r="5" spans="1:21" ht="12">
      <c r="A5" s="228" t="s">
        <v>4</v>
      </c>
      <c r="B5" s="229">
        <v>19147677.510000002</v>
      </c>
      <c r="C5" s="229">
        <v>20466940.75</v>
      </c>
      <c r="D5" s="229">
        <v>30166347</v>
      </c>
      <c r="E5" s="229">
        <v>30945648.239999998</v>
      </c>
      <c r="F5" s="229">
        <v>33492947</v>
      </c>
      <c r="G5" s="229">
        <v>38469679.740000002</v>
      </c>
      <c r="H5" s="229">
        <v>41986003.759999998</v>
      </c>
      <c r="I5" s="229">
        <v>39747604.240000002</v>
      </c>
      <c r="J5" s="230">
        <v>34671529</v>
      </c>
      <c r="K5" s="229">
        <v>36131999</v>
      </c>
      <c r="L5" s="231">
        <v>42949758.75</v>
      </c>
      <c r="M5" s="231">
        <v>41626757</v>
      </c>
      <c r="N5" s="231">
        <v>41544634</v>
      </c>
      <c r="O5" s="231">
        <v>34601360</v>
      </c>
      <c r="P5" s="231">
        <v>35251201</v>
      </c>
      <c r="Q5" s="231">
        <v>33209380</v>
      </c>
      <c r="R5" s="231">
        <v>36502616</v>
      </c>
      <c r="S5" s="231">
        <v>40237684</v>
      </c>
      <c r="T5" s="231">
        <v>40600082</v>
      </c>
    </row>
    <row r="6" spans="1:21" ht="12">
      <c r="A6" s="228" t="s">
        <v>3</v>
      </c>
      <c r="B6" s="229">
        <v>7380451.6200000001</v>
      </c>
      <c r="C6" s="229">
        <v>8894313.6999999993</v>
      </c>
      <c r="D6" s="229">
        <v>10153866</v>
      </c>
      <c r="E6" s="229">
        <v>11491287.24</v>
      </c>
      <c r="F6" s="229">
        <v>12105809</v>
      </c>
      <c r="G6" s="229">
        <v>12032226</v>
      </c>
      <c r="H6" s="229">
        <v>13214569.75</v>
      </c>
      <c r="I6" s="229">
        <v>11401470.98</v>
      </c>
      <c r="J6" s="230">
        <v>11970486</v>
      </c>
      <c r="K6" s="229">
        <v>16630031</v>
      </c>
      <c r="L6" s="229">
        <v>14091922</v>
      </c>
      <c r="M6" s="229">
        <v>12514234</v>
      </c>
      <c r="N6" s="229">
        <v>12569629</v>
      </c>
      <c r="O6" s="229">
        <v>13576360</v>
      </c>
      <c r="P6" s="229">
        <v>17035067</v>
      </c>
      <c r="Q6" s="229">
        <v>15107376</v>
      </c>
      <c r="R6" s="229">
        <v>18246154</v>
      </c>
      <c r="S6" s="229">
        <v>17233714</v>
      </c>
      <c r="T6" s="229">
        <v>21536923</v>
      </c>
    </row>
    <row r="7" spans="1:21" ht="18" customHeight="1">
      <c r="A7" s="226" t="s">
        <v>6</v>
      </c>
      <c r="B7" s="229"/>
      <c r="C7" s="229"/>
      <c r="D7" s="229"/>
      <c r="E7" s="229"/>
      <c r="F7" s="229"/>
      <c r="G7" s="227"/>
      <c r="H7" s="227"/>
      <c r="I7" s="229"/>
      <c r="J7" s="230"/>
      <c r="K7" s="229"/>
      <c r="L7" s="231"/>
      <c r="M7" s="231"/>
      <c r="N7" s="231"/>
      <c r="O7" s="231"/>
      <c r="P7" s="231"/>
      <c r="Q7" s="231"/>
      <c r="R7" s="231"/>
      <c r="S7" s="231"/>
      <c r="T7" s="231"/>
    </row>
    <row r="8" spans="1:21" ht="12">
      <c r="A8" s="228" t="s">
        <v>5</v>
      </c>
      <c r="B8" s="229">
        <v>9409948.5899999999</v>
      </c>
      <c r="C8" s="229">
        <v>9738655.0700000003</v>
      </c>
      <c r="D8" s="229">
        <v>8817105</v>
      </c>
      <c r="E8" s="229">
        <v>11123909</v>
      </c>
      <c r="F8" s="229">
        <v>26914846.25</v>
      </c>
      <c r="G8" s="229">
        <v>56777878.75</v>
      </c>
      <c r="H8" s="229">
        <v>33006552</v>
      </c>
      <c r="I8" s="229">
        <v>32488550.530000001</v>
      </c>
      <c r="J8" s="230">
        <v>6079913</v>
      </c>
      <c r="K8" s="229">
        <v>10173686</v>
      </c>
      <c r="L8" s="231">
        <v>4896855</v>
      </c>
      <c r="M8" s="231">
        <v>122159</v>
      </c>
      <c r="N8" s="231">
        <v>5368928</v>
      </c>
      <c r="O8" s="231">
        <v>12711401</v>
      </c>
      <c r="P8" s="231">
        <v>27436953</v>
      </c>
      <c r="Q8" s="231">
        <v>19779123</v>
      </c>
      <c r="R8" s="231">
        <v>2951841</v>
      </c>
      <c r="S8" s="231">
        <v>2758400</v>
      </c>
      <c r="T8" s="231">
        <v>9896580</v>
      </c>
    </row>
    <row r="9" spans="1:21" ht="12">
      <c r="A9" s="228" t="s">
        <v>4</v>
      </c>
      <c r="B9" s="229">
        <v>6540613.0099999998</v>
      </c>
      <c r="C9" s="229">
        <v>977723.81</v>
      </c>
      <c r="D9" s="229">
        <v>843692</v>
      </c>
      <c r="E9" s="229">
        <v>10279652</v>
      </c>
      <c r="F9" s="229">
        <v>3163912.24</v>
      </c>
      <c r="G9" s="229">
        <v>20472137.739999998</v>
      </c>
      <c r="H9" s="229">
        <v>11692569</v>
      </c>
      <c r="I9" s="229">
        <v>8440507.1400000006</v>
      </c>
      <c r="J9" s="230">
        <v>16958535</v>
      </c>
      <c r="K9" s="229">
        <v>2603188</v>
      </c>
      <c r="L9" s="231">
        <v>2164485</v>
      </c>
      <c r="M9" s="231">
        <v>241080</v>
      </c>
      <c r="N9" s="231">
        <v>13564447</v>
      </c>
      <c r="O9" s="231">
        <v>455850</v>
      </c>
      <c r="P9" s="231">
        <v>2320569</v>
      </c>
      <c r="Q9" s="231">
        <v>11091883</v>
      </c>
      <c r="R9" s="231">
        <v>1954445</v>
      </c>
      <c r="S9" s="231">
        <v>1175889</v>
      </c>
      <c r="T9" s="231">
        <v>2843579</v>
      </c>
    </row>
    <row r="10" spans="1:21" ht="12">
      <c r="A10" s="228" t="s">
        <v>3</v>
      </c>
      <c r="B10" s="229">
        <v>19462456.739999998</v>
      </c>
      <c r="C10" s="229">
        <v>24469221.629999999</v>
      </c>
      <c r="D10" s="229">
        <v>6525720</v>
      </c>
      <c r="E10" s="229">
        <v>2261438</v>
      </c>
      <c r="F10" s="229">
        <v>9564849.2400000002</v>
      </c>
      <c r="G10" s="229">
        <v>18676436.75</v>
      </c>
      <c r="H10" s="229">
        <v>15853187</v>
      </c>
      <c r="I10" s="229">
        <v>10813833.08</v>
      </c>
      <c r="J10" s="230">
        <v>14438818</v>
      </c>
      <c r="K10" s="229">
        <v>9789350</v>
      </c>
      <c r="L10" s="231">
        <v>8973342</v>
      </c>
      <c r="M10" s="231">
        <v>5038680</v>
      </c>
      <c r="N10" s="231">
        <v>11735362</v>
      </c>
      <c r="O10" s="231">
        <v>9795748</v>
      </c>
      <c r="P10" s="231">
        <v>9602782</v>
      </c>
      <c r="Q10" s="231">
        <v>10707995</v>
      </c>
      <c r="R10" s="231">
        <v>11203015</v>
      </c>
      <c r="S10" s="231">
        <v>10715958</v>
      </c>
      <c r="T10" s="231">
        <v>12241296</v>
      </c>
    </row>
    <row r="11" spans="1:21" ht="16.899999999999999" customHeight="1" thickBot="1">
      <c r="A11" s="232" t="s">
        <v>410</v>
      </c>
      <c r="B11" s="233">
        <f t="shared" ref="B11:R11" si="0">SUM(B3:B10)</f>
        <v>159162136.07000002</v>
      </c>
      <c r="C11" s="233">
        <f t="shared" si="0"/>
        <v>159930593.83000001</v>
      </c>
      <c r="D11" s="233">
        <f t="shared" si="0"/>
        <v>150444679</v>
      </c>
      <c r="E11" s="233">
        <f t="shared" si="0"/>
        <v>181549351.73000002</v>
      </c>
      <c r="F11" s="233">
        <f t="shared" si="0"/>
        <v>218952406.73000002</v>
      </c>
      <c r="G11" s="233">
        <f t="shared" si="0"/>
        <v>298696510.73000002</v>
      </c>
      <c r="H11" s="233">
        <f t="shared" si="0"/>
        <v>288378598.25999999</v>
      </c>
      <c r="I11" s="233">
        <f t="shared" si="0"/>
        <v>265490778.93000004</v>
      </c>
      <c r="J11" s="233">
        <f t="shared" si="0"/>
        <v>244407221</v>
      </c>
      <c r="K11" s="233">
        <f t="shared" si="0"/>
        <v>257307656</v>
      </c>
      <c r="L11" s="233">
        <f t="shared" si="0"/>
        <v>261002463.25999999</v>
      </c>
      <c r="M11" s="233">
        <f t="shared" si="0"/>
        <v>234498883</v>
      </c>
      <c r="N11" s="233">
        <f t="shared" si="0"/>
        <v>266690429</v>
      </c>
      <c r="O11" s="233">
        <f t="shared" si="0"/>
        <v>239631613</v>
      </c>
      <c r="P11" s="233">
        <f t="shared" si="0"/>
        <v>255494935</v>
      </c>
      <c r="Q11" s="233">
        <f t="shared" si="0"/>
        <v>263451950</v>
      </c>
      <c r="R11" s="233">
        <f t="shared" si="0"/>
        <v>235646929</v>
      </c>
      <c r="S11" s="233">
        <f>SUM(S4:S10)</f>
        <v>248747621</v>
      </c>
      <c r="T11" s="233">
        <f>SUM(T4:T10)</f>
        <v>264044274</v>
      </c>
    </row>
    <row r="12" spans="1:21" ht="16" thickTop="1">
      <c r="A12" s="101"/>
      <c r="B12" s="101"/>
      <c r="C12" s="101"/>
      <c r="D12" s="101"/>
      <c r="E12" s="101"/>
      <c r="F12" s="101"/>
      <c r="G12" s="51"/>
      <c r="H12" s="51"/>
      <c r="I12" s="51"/>
      <c r="J12" s="51"/>
      <c r="K12" s="51"/>
      <c r="L12" s="51"/>
    </row>
    <row r="13" spans="1:21" ht="16">
      <c r="A13" s="386" t="s">
        <v>0</v>
      </c>
      <c r="B13" s="235"/>
      <c r="C13" s="235"/>
      <c r="D13" s="235"/>
      <c r="E13" s="235"/>
      <c r="F13" s="235"/>
      <c r="G13" s="235"/>
      <c r="H13" s="235"/>
      <c r="I13" s="235"/>
      <c r="J13" s="235"/>
      <c r="K13" s="235"/>
      <c r="L13" s="235"/>
      <c r="M13" s="235"/>
      <c r="N13" s="235"/>
      <c r="O13" s="374"/>
      <c r="P13" s="374"/>
      <c r="Q13" s="374"/>
      <c r="R13" s="374"/>
      <c r="S13" s="374"/>
      <c r="T13" s="374"/>
    </row>
    <row r="14" spans="1:21" ht="16">
      <c r="A14" s="459" t="s">
        <v>355</v>
      </c>
      <c r="B14" s="459"/>
      <c r="C14" s="459"/>
      <c r="D14" s="459"/>
      <c r="E14" s="459"/>
      <c r="F14" s="459"/>
      <c r="G14" s="459"/>
      <c r="H14" s="459"/>
      <c r="I14" s="459"/>
      <c r="J14" s="459"/>
      <c r="K14" s="459"/>
      <c r="L14" s="459"/>
      <c r="M14" s="459"/>
      <c r="N14" s="459"/>
      <c r="O14" s="459"/>
      <c r="P14" s="459"/>
      <c r="Q14" s="459"/>
      <c r="R14" s="459"/>
      <c r="S14" s="459"/>
      <c r="T14" s="459"/>
    </row>
    <row r="15" spans="1:21" ht="30" customHeight="1">
      <c r="A15" s="459" t="s">
        <v>373</v>
      </c>
      <c r="B15" s="459"/>
      <c r="C15" s="459"/>
      <c r="D15" s="459"/>
      <c r="E15" s="459"/>
      <c r="F15" s="459"/>
      <c r="G15" s="459"/>
      <c r="H15" s="459"/>
      <c r="I15" s="459"/>
      <c r="J15" s="459"/>
      <c r="K15" s="459"/>
      <c r="L15" s="459"/>
      <c r="M15" s="459"/>
      <c r="N15" s="459"/>
      <c r="O15" s="459"/>
      <c r="P15" s="459"/>
      <c r="Q15" s="459"/>
      <c r="R15" s="459"/>
      <c r="S15" s="459"/>
      <c r="T15" s="459"/>
    </row>
    <row r="16" spans="1:21" ht="15.5">
      <c r="A16" s="44"/>
      <c r="B16" s="44"/>
      <c r="C16" s="44"/>
      <c r="D16" s="44"/>
      <c r="E16" s="44"/>
      <c r="F16" s="44"/>
      <c r="G16" s="44"/>
      <c r="H16" s="44"/>
      <c r="I16" s="44"/>
      <c r="J16" s="44"/>
      <c r="K16" s="44"/>
      <c r="L16" s="44"/>
      <c r="M16" s="44"/>
      <c r="N16" s="44"/>
      <c r="O16" s="44"/>
      <c r="P16" s="44"/>
      <c r="Q16" s="44"/>
      <c r="R16" s="44"/>
      <c r="S16" s="44"/>
    </row>
    <row r="17" spans="1:21" ht="9.65" customHeight="1">
      <c r="A17" s="106" t="s">
        <v>140</v>
      </c>
      <c r="B17" s="106"/>
      <c r="C17" s="106"/>
      <c r="D17" s="106"/>
      <c r="E17" s="106"/>
      <c r="F17" s="106"/>
    </row>
    <row r="18" spans="1:21">
      <c r="A18" s="117" t="s">
        <v>8</v>
      </c>
      <c r="B18" s="118">
        <v>2006</v>
      </c>
      <c r="C18" s="118">
        <v>2007</v>
      </c>
      <c r="D18" s="118">
        <v>2008</v>
      </c>
      <c r="E18" s="118">
        <v>2009</v>
      </c>
      <c r="F18" s="118">
        <v>2010</v>
      </c>
      <c r="G18" s="118">
        <f t="shared" ref="G18:Q18" si="1">G2</f>
        <v>2011</v>
      </c>
      <c r="H18" s="118">
        <f t="shared" si="1"/>
        <v>2012</v>
      </c>
      <c r="I18" s="118">
        <f t="shared" si="1"/>
        <v>2013</v>
      </c>
      <c r="J18" s="118">
        <f t="shared" si="1"/>
        <v>2014</v>
      </c>
      <c r="K18" s="118">
        <f t="shared" si="1"/>
        <v>2015</v>
      </c>
      <c r="L18" s="118">
        <f t="shared" si="1"/>
        <v>2016</v>
      </c>
      <c r="M18" s="118">
        <f t="shared" si="1"/>
        <v>2017</v>
      </c>
      <c r="N18" s="118">
        <f t="shared" si="1"/>
        <v>2018</v>
      </c>
      <c r="O18" s="118">
        <f t="shared" si="1"/>
        <v>2019</v>
      </c>
      <c r="P18" s="118">
        <f t="shared" si="1"/>
        <v>2020</v>
      </c>
      <c r="Q18" s="118">
        <f t="shared" si="1"/>
        <v>2021</v>
      </c>
      <c r="R18" s="118">
        <v>2022</v>
      </c>
      <c r="S18" s="118">
        <v>2023</v>
      </c>
      <c r="T18" s="118">
        <v>2024</v>
      </c>
    </row>
    <row r="19" spans="1:21">
      <c r="A19" s="107" t="s">
        <v>5</v>
      </c>
      <c r="B19" s="108">
        <f t="shared" ref="B19:S19" si="2">B4+B8</f>
        <v>106630937.19</v>
      </c>
      <c r="C19" s="108">
        <f t="shared" si="2"/>
        <v>105122393.94</v>
      </c>
      <c r="D19" s="108">
        <f t="shared" si="2"/>
        <v>102755054</v>
      </c>
      <c r="E19" s="108">
        <f t="shared" si="2"/>
        <v>126571326.25</v>
      </c>
      <c r="F19" s="108">
        <f t="shared" si="2"/>
        <v>160624889.25</v>
      </c>
      <c r="G19" s="108">
        <f t="shared" si="2"/>
        <v>209046030.5</v>
      </c>
      <c r="H19" s="108">
        <f t="shared" si="2"/>
        <v>205632268.75</v>
      </c>
      <c r="I19" s="108">
        <f t="shared" si="2"/>
        <v>195087363.49000001</v>
      </c>
      <c r="J19" s="108">
        <f t="shared" si="2"/>
        <v>166367853</v>
      </c>
      <c r="K19" s="108">
        <f t="shared" si="2"/>
        <v>192153088</v>
      </c>
      <c r="L19" s="108">
        <f t="shared" si="2"/>
        <v>192822955.50999999</v>
      </c>
      <c r="M19" s="108">
        <f t="shared" si="2"/>
        <v>175078132</v>
      </c>
      <c r="N19" s="108">
        <f t="shared" si="2"/>
        <v>187276357</v>
      </c>
      <c r="O19" s="108">
        <f t="shared" si="2"/>
        <v>181202295</v>
      </c>
      <c r="P19" s="108">
        <f t="shared" si="2"/>
        <v>191285316</v>
      </c>
      <c r="Q19" s="108">
        <f t="shared" si="2"/>
        <v>193335316</v>
      </c>
      <c r="R19" s="108">
        <f t="shared" si="2"/>
        <v>167740699</v>
      </c>
      <c r="S19" s="108">
        <f t="shared" si="2"/>
        <v>179384376</v>
      </c>
      <c r="T19" s="108">
        <f>SUM(T4,T8)</f>
        <v>186822394</v>
      </c>
    </row>
    <row r="20" spans="1:21">
      <c r="A20" s="107" t="s">
        <v>4</v>
      </c>
      <c r="B20" s="108">
        <f t="shared" ref="B20:S20" si="3">B5+B9</f>
        <v>25688290.520000003</v>
      </c>
      <c r="C20" s="108">
        <f t="shared" si="3"/>
        <v>21444664.559999999</v>
      </c>
      <c r="D20" s="108">
        <f t="shared" si="3"/>
        <v>31010039</v>
      </c>
      <c r="E20" s="108">
        <f t="shared" si="3"/>
        <v>41225300.239999995</v>
      </c>
      <c r="F20" s="108">
        <f t="shared" si="3"/>
        <v>36656859.240000002</v>
      </c>
      <c r="G20" s="108">
        <f t="shared" si="3"/>
        <v>58941817.480000004</v>
      </c>
      <c r="H20" s="108">
        <f t="shared" si="3"/>
        <v>53678572.759999998</v>
      </c>
      <c r="I20" s="108">
        <f t="shared" si="3"/>
        <v>48188111.380000003</v>
      </c>
      <c r="J20" s="108">
        <f t="shared" si="3"/>
        <v>51630064</v>
      </c>
      <c r="K20" s="108">
        <f t="shared" si="3"/>
        <v>38735187</v>
      </c>
      <c r="L20" s="108">
        <f t="shared" si="3"/>
        <v>45114243.75</v>
      </c>
      <c r="M20" s="108">
        <f t="shared" si="3"/>
        <v>41867837</v>
      </c>
      <c r="N20" s="108">
        <f t="shared" si="3"/>
        <v>55109081</v>
      </c>
      <c r="O20" s="108">
        <f t="shared" si="3"/>
        <v>35057210</v>
      </c>
      <c r="P20" s="108">
        <f t="shared" si="3"/>
        <v>37571770</v>
      </c>
      <c r="Q20" s="108">
        <f t="shared" si="3"/>
        <v>44301263</v>
      </c>
      <c r="R20" s="108">
        <f t="shared" si="3"/>
        <v>38457061</v>
      </c>
      <c r="S20" s="108">
        <f t="shared" si="3"/>
        <v>41413573</v>
      </c>
      <c r="T20" s="108">
        <f>SUM(T5,T9)</f>
        <v>43443661</v>
      </c>
    </row>
    <row r="21" spans="1:21">
      <c r="A21" s="107" t="s">
        <v>3</v>
      </c>
      <c r="B21" s="108">
        <f t="shared" ref="B21:S21" si="4">B6+B10</f>
        <v>26842908.359999999</v>
      </c>
      <c r="C21" s="108">
        <f t="shared" si="4"/>
        <v>33363535.329999998</v>
      </c>
      <c r="D21" s="108">
        <f t="shared" si="4"/>
        <v>16679586</v>
      </c>
      <c r="E21" s="108">
        <f t="shared" si="4"/>
        <v>13752725.24</v>
      </c>
      <c r="F21" s="108">
        <f t="shared" si="4"/>
        <v>21670658.240000002</v>
      </c>
      <c r="G21" s="108">
        <f t="shared" si="4"/>
        <v>30708662.75</v>
      </c>
      <c r="H21" s="108">
        <f t="shared" si="4"/>
        <v>29067756.75</v>
      </c>
      <c r="I21" s="108">
        <f t="shared" si="4"/>
        <v>22215304.060000002</v>
      </c>
      <c r="J21" s="108">
        <f t="shared" si="4"/>
        <v>26409304</v>
      </c>
      <c r="K21" s="108">
        <f t="shared" si="4"/>
        <v>26419381</v>
      </c>
      <c r="L21" s="108">
        <f t="shared" si="4"/>
        <v>23065264</v>
      </c>
      <c r="M21" s="108">
        <f t="shared" si="4"/>
        <v>17552914</v>
      </c>
      <c r="N21" s="108">
        <f t="shared" si="4"/>
        <v>24304991</v>
      </c>
      <c r="O21" s="108">
        <f t="shared" si="4"/>
        <v>23372108</v>
      </c>
      <c r="P21" s="108">
        <f t="shared" si="4"/>
        <v>26637849</v>
      </c>
      <c r="Q21" s="108">
        <f t="shared" si="4"/>
        <v>25815371</v>
      </c>
      <c r="R21" s="108">
        <f t="shared" si="4"/>
        <v>29449169</v>
      </c>
      <c r="S21" s="108">
        <f t="shared" si="4"/>
        <v>27949672</v>
      </c>
      <c r="T21" s="108">
        <f>SUM(T6,T10)</f>
        <v>33778219</v>
      </c>
      <c r="U21" s="108">
        <f>SUM(T19:T21)</f>
        <v>264044274</v>
      </c>
    </row>
    <row r="22" spans="1:21" hidden="1">
      <c r="A22" s="163" t="s">
        <v>2</v>
      </c>
      <c r="B22" s="164" t="e">
        <f>#REF!+#REF!</f>
        <v>#REF!</v>
      </c>
      <c r="C22" s="164" t="e">
        <f>#REF!+#REF!</f>
        <v>#REF!</v>
      </c>
      <c r="D22" s="164" t="e">
        <f>#REF!+#REF!</f>
        <v>#REF!</v>
      </c>
      <c r="E22" s="164" t="e">
        <f>#REF!+#REF!</f>
        <v>#REF!</v>
      </c>
      <c r="F22" s="164" t="e">
        <f>#REF!+#REF!</f>
        <v>#REF!</v>
      </c>
      <c r="G22" s="164" t="e">
        <f>#REF!+#REF!</f>
        <v>#REF!</v>
      </c>
      <c r="H22" s="164" t="e">
        <f>#REF!+#REF!</f>
        <v>#REF!</v>
      </c>
      <c r="I22" s="164" t="e">
        <f>#REF!+#REF!</f>
        <v>#REF!</v>
      </c>
      <c r="J22" s="164" t="e">
        <f>#REF!+#REF!</f>
        <v>#REF!</v>
      </c>
      <c r="K22" s="164" t="e">
        <f>#REF!+#REF!</f>
        <v>#REF!</v>
      </c>
      <c r="L22" s="164" t="e">
        <f>#REF!+#REF!</f>
        <v>#REF!</v>
      </c>
      <c r="M22" s="164" t="e">
        <f>#REF!+#REF!</f>
        <v>#REF!</v>
      </c>
      <c r="N22" s="164" t="e">
        <f>#REF!+#REF!</f>
        <v>#REF!</v>
      </c>
      <c r="O22" s="164" t="e">
        <f>#REF!+#REF!</f>
        <v>#REF!</v>
      </c>
      <c r="P22" s="164" t="e">
        <f>#REF!+#REF!</f>
        <v>#REF!</v>
      </c>
      <c r="Q22" s="164" t="e">
        <f>#REF!+#REF!</f>
        <v>#REF!</v>
      </c>
      <c r="R22" s="164" t="e">
        <f>#REF!+#REF!</f>
        <v>#REF!</v>
      </c>
      <c r="S22" s="164" t="e">
        <f>#REF!+#REF!</f>
        <v>#REF!</v>
      </c>
      <c r="T22" s="164" t="e">
        <f>#REF!+#REF!</f>
        <v>#REF!</v>
      </c>
    </row>
    <row r="23" spans="1:21" ht="11" thickBot="1">
      <c r="A23" s="109" t="s">
        <v>1</v>
      </c>
      <c r="B23" s="110">
        <f t="shared" ref="B23:T23" si="5">B11</f>
        <v>159162136.07000002</v>
      </c>
      <c r="C23" s="110">
        <f t="shared" si="5"/>
        <v>159930593.83000001</v>
      </c>
      <c r="D23" s="110">
        <f t="shared" si="5"/>
        <v>150444679</v>
      </c>
      <c r="E23" s="110">
        <f t="shared" si="5"/>
        <v>181549351.73000002</v>
      </c>
      <c r="F23" s="110">
        <f t="shared" si="5"/>
        <v>218952406.73000002</v>
      </c>
      <c r="G23" s="110">
        <f t="shared" si="5"/>
        <v>298696510.73000002</v>
      </c>
      <c r="H23" s="110">
        <f t="shared" si="5"/>
        <v>288378598.25999999</v>
      </c>
      <c r="I23" s="110">
        <f t="shared" si="5"/>
        <v>265490778.93000004</v>
      </c>
      <c r="J23" s="110">
        <f t="shared" si="5"/>
        <v>244407221</v>
      </c>
      <c r="K23" s="110">
        <f t="shared" si="5"/>
        <v>257307656</v>
      </c>
      <c r="L23" s="110">
        <f t="shared" si="5"/>
        <v>261002463.25999999</v>
      </c>
      <c r="M23" s="110">
        <f t="shared" si="5"/>
        <v>234498883</v>
      </c>
      <c r="N23" s="110">
        <f t="shared" si="5"/>
        <v>266690429</v>
      </c>
      <c r="O23" s="110">
        <f t="shared" si="5"/>
        <v>239631613</v>
      </c>
      <c r="P23" s="110">
        <f t="shared" si="5"/>
        <v>255494935</v>
      </c>
      <c r="Q23" s="110">
        <f t="shared" si="5"/>
        <v>263451950</v>
      </c>
      <c r="R23" s="110">
        <f t="shared" si="5"/>
        <v>235646929</v>
      </c>
      <c r="S23" s="110">
        <f t="shared" si="5"/>
        <v>248747621</v>
      </c>
      <c r="T23" s="110">
        <f t="shared" si="5"/>
        <v>264044274</v>
      </c>
    </row>
    <row r="24" spans="1:21" ht="16" thickTop="1">
      <c r="A24" s="51" t="s">
        <v>5</v>
      </c>
      <c r="I24" s="122">
        <f>S19</f>
        <v>179384376</v>
      </c>
    </row>
    <row r="25" spans="1:21" ht="15.5">
      <c r="A25" s="51" t="s">
        <v>4</v>
      </c>
      <c r="D25" s="104"/>
      <c r="E25" s="105"/>
      <c r="F25" s="105"/>
      <c r="H25" s="105"/>
      <c r="I25" s="122">
        <f>S20</f>
        <v>41413573</v>
      </c>
      <c r="J25" s="105"/>
      <c r="K25" s="105"/>
      <c r="L25" s="105"/>
      <c r="M25" s="105"/>
      <c r="N25" s="105"/>
      <c r="O25" s="105"/>
    </row>
    <row r="26" spans="1:21" ht="17.25" customHeight="1">
      <c r="A26" s="51" t="s">
        <v>3</v>
      </c>
      <c r="D26" s="103"/>
      <c r="E26" s="103"/>
      <c r="F26" s="103"/>
      <c r="H26" s="103"/>
      <c r="I26" s="122">
        <f>S21</f>
        <v>27949672</v>
      </c>
      <c r="J26" s="103"/>
      <c r="K26" s="103"/>
      <c r="L26" s="103"/>
      <c r="M26" s="103"/>
      <c r="N26" s="103"/>
      <c r="O26" s="103"/>
    </row>
    <row r="27" spans="1:21" ht="15.5">
      <c r="A27" s="51"/>
      <c r="D27" s="103"/>
      <c r="E27" s="103"/>
      <c r="F27" s="103"/>
      <c r="H27" s="103"/>
      <c r="I27" s="122" t="e">
        <f>S22</f>
        <v>#REF!</v>
      </c>
      <c r="J27" s="103"/>
      <c r="K27" s="103"/>
      <c r="L27" s="103"/>
      <c r="M27" s="103"/>
      <c r="N27" s="103"/>
      <c r="O27" s="103"/>
    </row>
    <row r="28" spans="1:21" ht="15.5">
      <c r="A28" s="51"/>
      <c r="B28" s="52"/>
    </row>
    <row r="29" spans="1:21" ht="15.5">
      <c r="A29" s="51"/>
      <c r="B29" s="51"/>
      <c r="I29" s="125"/>
    </row>
    <row r="30" spans="1:21" ht="15.5">
      <c r="A30" s="51"/>
      <c r="B30" s="52"/>
    </row>
    <row r="31" spans="1:21" ht="15.5">
      <c r="A31" s="51"/>
      <c r="B31" s="51"/>
    </row>
    <row r="32" spans="1:21" ht="15.5">
      <c r="A32" s="51"/>
      <c r="B32" s="51"/>
    </row>
    <row r="33" spans="1:2" ht="15.5">
      <c r="A33" s="53"/>
      <c r="B33" s="51"/>
    </row>
  </sheetData>
  <mergeCells count="3">
    <mergeCell ref="A1:M1"/>
    <mergeCell ref="A15:T15"/>
    <mergeCell ref="A14:T14"/>
  </mergeCells>
  <pageMargins left="0.36" right="0.35" top="0.82" bottom="0.28000000000000003" header="0.21" footer="0.16"/>
  <pageSetup scale="4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93025-3E77-41DF-8E70-606177148C79}">
  <sheetPr>
    <tabColor rgb="FF00B050"/>
    <pageSetUpPr fitToPage="1"/>
  </sheetPr>
  <dimension ref="A1:V15"/>
  <sheetViews>
    <sheetView zoomScale="115" zoomScaleNormal="115" workbookViewId="0">
      <selection activeCell="A12" sqref="A12:T12"/>
    </sheetView>
  </sheetViews>
  <sheetFormatPr defaultColWidth="9.1796875" defaultRowHeight="14.5"/>
  <cols>
    <col min="1" max="1" width="21.54296875" style="131" customWidth="1"/>
    <col min="2" max="3" width="13.453125" style="131" hidden="1" customWidth="1"/>
    <col min="4" max="6" width="14.7265625" style="131" hidden="1" customWidth="1"/>
    <col min="7" max="10" width="15.26953125" style="131" hidden="1" customWidth="1"/>
    <col min="11" max="18" width="15.26953125" style="131" bestFit="1" customWidth="1"/>
    <col min="19" max="19" width="15.26953125" style="131" customWidth="1"/>
    <col min="20" max="21" width="15.7265625" style="131" bestFit="1" customWidth="1"/>
    <col min="22" max="16384" width="9.1796875" style="131"/>
  </cols>
  <sheetData>
    <row r="1" spans="1:22" ht="18.5">
      <c r="A1" s="216" t="s">
        <v>365</v>
      </c>
      <c r="B1" s="130"/>
      <c r="C1" s="130"/>
      <c r="D1" s="130"/>
      <c r="E1" s="130"/>
      <c r="V1" s="134" t="s">
        <v>321</v>
      </c>
    </row>
    <row r="2" spans="1:22" s="133" customFormat="1" ht="19.899999999999999" customHeight="1">
      <c r="A2" s="460" t="s">
        <v>371</v>
      </c>
      <c r="B2" s="238"/>
      <c r="C2" s="238"/>
      <c r="D2" s="237" t="s">
        <v>326</v>
      </c>
      <c r="E2" s="237" t="s">
        <v>326</v>
      </c>
      <c r="F2" s="237" t="s">
        <v>326</v>
      </c>
      <c r="G2" s="237" t="s">
        <v>326</v>
      </c>
      <c r="H2" s="237" t="s">
        <v>326</v>
      </c>
      <c r="I2" s="237" t="s">
        <v>326</v>
      </c>
      <c r="J2" s="237" t="s">
        <v>411</v>
      </c>
      <c r="K2" s="239" t="s">
        <v>411</v>
      </c>
      <c r="L2" s="239" t="s">
        <v>326</v>
      </c>
      <c r="M2" s="239" t="s">
        <v>326</v>
      </c>
      <c r="N2" s="239" t="s">
        <v>326</v>
      </c>
      <c r="O2" s="239" t="s">
        <v>326</v>
      </c>
      <c r="P2" s="239" t="s">
        <v>326</v>
      </c>
      <c r="Q2" s="240" t="s">
        <v>412</v>
      </c>
      <c r="R2" s="240" t="s">
        <v>327</v>
      </c>
      <c r="S2" s="240" t="s">
        <v>327</v>
      </c>
      <c r="T2" s="240" t="s">
        <v>327</v>
      </c>
      <c r="V2" s="135"/>
    </row>
    <row r="3" spans="1:22" s="133" customFormat="1" ht="17.5" customHeight="1">
      <c r="A3" s="460"/>
      <c r="B3" s="237">
        <v>2006</v>
      </c>
      <c r="C3" s="237">
        <v>2007</v>
      </c>
      <c r="D3" s="237">
        <v>2008</v>
      </c>
      <c r="E3" s="237">
        <v>2009</v>
      </c>
      <c r="F3" s="237">
        <v>2010</v>
      </c>
      <c r="G3" s="237">
        <v>2011</v>
      </c>
      <c r="H3" s="237">
        <v>2012</v>
      </c>
      <c r="I3" s="237">
        <v>2013</v>
      </c>
      <c r="J3" s="237">
        <v>2014</v>
      </c>
      <c r="K3" s="241">
        <v>2015</v>
      </c>
      <c r="L3" s="241">
        <v>2016</v>
      </c>
      <c r="M3" s="241">
        <v>2017</v>
      </c>
      <c r="N3" s="241">
        <v>2018</v>
      </c>
      <c r="O3" s="241">
        <v>2019</v>
      </c>
      <c r="P3" s="241">
        <v>2020</v>
      </c>
      <c r="Q3" s="242">
        <v>2021</v>
      </c>
      <c r="R3" s="242">
        <v>2022</v>
      </c>
      <c r="S3" s="242">
        <v>2023</v>
      </c>
      <c r="T3" s="242">
        <v>2024</v>
      </c>
      <c r="V3" s="135" t="s">
        <v>322</v>
      </c>
    </row>
    <row r="4" spans="1:22" ht="15.65" customHeight="1">
      <c r="A4" s="243" t="s">
        <v>10</v>
      </c>
      <c r="B4" s="244">
        <v>74024959.329999998</v>
      </c>
      <c r="C4" s="244">
        <v>78219265.00000003</v>
      </c>
      <c r="D4" s="244">
        <v>91806508</v>
      </c>
      <c r="E4" s="244">
        <v>113900603</v>
      </c>
      <c r="F4" s="244">
        <v>129758323</v>
      </c>
      <c r="G4" s="244">
        <v>143477289</v>
      </c>
      <c r="H4" s="244">
        <v>162060445</v>
      </c>
      <c r="I4" s="244">
        <v>151177409</v>
      </c>
      <c r="J4" s="244">
        <v>143128947.90000001</v>
      </c>
      <c r="K4" s="244">
        <v>165362220.78999999</v>
      </c>
      <c r="L4" s="244">
        <v>159987743.56999999</v>
      </c>
      <c r="M4" s="244">
        <v>156828472.72999999</v>
      </c>
      <c r="N4" s="244">
        <v>153679667</v>
      </c>
      <c r="O4" s="244">
        <v>137887504</v>
      </c>
      <c r="P4" s="244">
        <v>132646392</v>
      </c>
      <c r="Q4" s="244">
        <v>126070279.08</v>
      </c>
      <c r="R4" s="244">
        <v>121728287.82999998</v>
      </c>
      <c r="S4" s="244">
        <v>127853479.86000001</v>
      </c>
      <c r="T4" s="244">
        <v>139158792</v>
      </c>
      <c r="V4" s="135" t="s">
        <v>323</v>
      </c>
    </row>
    <row r="5" spans="1:22" ht="15.5">
      <c r="A5" s="243" t="s">
        <v>9</v>
      </c>
      <c r="B5" s="244">
        <v>5086155.01</v>
      </c>
      <c r="C5" s="244">
        <v>8839587.0300000012</v>
      </c>
      <c r="D5" s="244">
        <v>9869097</v>
      </c>
      <c r="E5" s="244">
        <v>11668863</v>
      </c>
      <c r="F5" s="244">
        <v>21761323</v>
      </c>
      <c r="G5" s="244">
        <v>31297548</v>
      </c>
      <c r="H5" s="244">
        <v>29240867</v>
      </c>
      <c r="I5" s="244">
        <v>29683425</v>
      </c>
      <c r="J5" s="244">
        <v>5925196.1100000003</v>
      </c>
      <c r="K5" s="244">
        <v>7703153.2699999996</v>
      </c>
      <c r="L5" s="244">
        <v>1249955.1399999999</v>
      </c>
      <c r="M5" s="244">
        <v>-396792.47</v>
      </c>
      <c r="N5" s="244">
        <v>25343</v>
      </c>
      <c r="O5" s="244">
        <v>1470148</v>
      </c>
      <c r="P5" s="244">
        <v>8024833</v>
      </c>
      <c r="Q5" s="244">
        <v>9332114.2800000012</v>
      </c>
      <c r="R5" s="244">
        <v>3005982.87</v>
      </c>
      <c r="S5" s="244">
        <v>1458117.04</v>
      </c>
      <c r="T5" s="244">
        <v>5252226</v>
      </c>
      <c r="V5" s="135" t="s">
        <v>324</v>
      </c>
    </row>
    <row r="6" spans="1:22" s="53" customFormat="1" ht="21.65" customHeight="1" thickBot="1">
      <c r="A6" s="245" t="s">
        <v>413</v>
      </c>
      <c r="B6" s="233">
        <f t="shared" ref="B6:P6" si="0">SUM(B4:B5)</f>
        <v>79111114.340000004</v>
      </c>
      <c r="C6" s="233">
        <f t="shared" si="0"/>
        <v>87058852.030000031</v>
      </c>
      <c r="D6" s="233">
        <f t="shared" si="0"/>
        <v>101675605</v>
      </c>
      <c r="E6" s="233">
        <f t="shared" si="0"/>
        <v>125569466</v>
      </c>
      <c r="F6" s="233">
        <f t="shared" si="0"/>
        <v>151519646</v>
      </c>
      <c r="G6" s="233">
        <f t="shared" si="0"/>
        <v>174774837</v>
      </c>
      <c r="H6" s="233">
        <f t="shared" si="0"/>
        <v>191301312</v>
      </c>
      <c r="I6" s="233">
        <f t="shared" si="0"/>
        <v>180860834</v>
      </c>
      <c r="J6" s="233">
        <f t="shared" si="0"/>
        <v>149054144.01000002</v>
      </c>
      <c r="K6" s="233">
        <f t="shared" si="0"/>
        <v>173065374.06</v>
      </c>
      <c r="L6" s="233">
        <f t="shared" si="0"/>
        <v>161237698.70999998</v>
      </c>
      <c r="M6" s="233">
        <f t="shared" si="0"/>
        <v>156431680.25999999</v>
      </c>
      <c r="N6" s="233">
        <f t="shared" si="0"/>
        <v>153705010</v>
      </c>
      <c r="O6" s="233">
        <f t="shared" si="0"/>
        <v>139357652</v>
      </c>
      <c r="P6" s="233">
        <f t="shared" si="0"/>
        <v>140671225</v>
      </c>
      <c r="Q6" s="233">
        <f>SUM(Q4:Q5)</f>
        <v>135402393.36000001</v>
      </c>
      <c r="R6" s="233">
        <f>SUM(R4:R5)</f>
        <v>124734270.69999999</v>
      </c>
      <c r="S6" s="233">
        <f>SUM(S4:S5)</f>
        <v>129311596.90000002</v>
      </c>
      <c r="T6" s="233">
        <f>SUM(T4:T5)</f>
        <v>144411018</v>
      </c>
      <c r="V6" s="135" t="s">
        <v>325</v>
      </c>
    </row>
    <row r="7" spans="1:22" s="132" customFormat="1" ht="16" thickTop="1">
      <c r="A7" s="136"/>
      <c r="B7" s="171"/>
      <c r="C7" s="171"/>
      <c r="D7" s="171"/>
      <c r="E7" s="171"/>
      <c r="F7" s="137"/>
      <c r="G7" s="137"/>
      <c r="H7" s="137"/>
      <c r="I7" s="137"/>
      <c r="J7" s="137"/>
      <c r="K7" s="137"/>
      <c r="L7" s="137"/>
      <c r="M7" s="137"/>
      <c r="N7" s="137"/>
      <c r="O7" s="137"/>
      <c r="P7" s="137"/>
      <c r="Q7" s="138"/>
      <c r="R7" s="139"/>
      <c r="S7" s="139"/>
      <c r="T7" s="139"/>
      <c r="V7" s="135"/>
    </row>
    <row r="8" spans="1:22">
      <c r="B8" s="131" t="str">
        <f t="shared" ref="B8:E8" si="1">LEFT(B3,4)</f>
        <v>2006</v>
      </c>
      <c r="C8" s="131" t="str">
        <f t="shared" si="1"/>
        <v>2007</v>
      </c>
      <c r="D8" s="131" t="str">
        <f t="shared" si="1"/>
        <v>2008</v>
      </c>
      <c r="E8" s="131" t="str">
        <f t="shared" si="1"/>
        <v>2009</v>
      </c>
      <c r="F8" s="131" t="str">
        <f>LEFT(F3,4)</f>
        <v>2010</v>
      </c>
      <c r="G8" s="131" t="str">
        <f t="shared" ref="G8:I8" si="2">LEFT(G3,4)</f>
        <v>2011</v>
      </c>
      <c r="H8" s="131" t="str">
        <f t="shared" si="2"/>
        <v>2012</v>
      </c>
      <c r="I8" s="131" t="str">
        <f t="shared" si="2"/>
        <v>2013</v>
      </c>
    </row>
    <row r="9" spans="1:22" ht="16">
      <c r="A9" s="381" t="s">
        <v>0</v>
      </c>
      <c r="B9" s="381"/>
      <c r="C9" s="381"/>
      <c r="D9" s="381"/>
      <c r="E9" s="381"/>
      <c r="F9" s="382"/>
      <c r="G9" s="382"/>
      <c r="H9" s="382"/>
      <c r="I9" s="382"/>
      <c r="J9" s="382"/>
      <c r="K9" s="382"/>
      <c r="L9" s="382"/>
      <c r="M9" s="382"/>
      <c r="N9" s="382"/>
      <c r="O9" s="382"/>
      <c r="P9" s="382"/>
      <c r="Q9" s="382"/>
      <c r="R9" s="382"/>
      <c r="S9" s="382"/>
      <c r="T9" s="383"/>
    </row>
    <row r="10" spans="1:22" ht="16">
      <c r="A10" s="382" t="s">
        <v>369</v>
      </c>
      <c r="B10" s="381"/>
      <c r="C10" s="381"/>
      <c r="D10" s="381"/>
      <c r="E10" s="381"/>
      <c r="F10" s="382"/>
      <c r="G10" s="382"/>
      <c r="H10" s="382"/>
      <c r="I10" s="382"/>
      <c r="J10" s="382"/>
      <c r="K10" s="382"/>
      <c r="L10" s="382"/>
      <c r="M10" s="382"/>
      <c r="N10" s="382"/>
      <c r="O10" s="382"/>
      <c r="P10" s="382"/>
      <c r="Q10" s="382"/>
      <c r="R10" s="382"/>
      <c r="S10" s="382"/>
      <c r="T10" s="384"/>
    </row>
    <row r="11" spans="1:22" ht="16">
      <c r="A11" s="385" t="s">
        <v>467</v>
      </c>
      <c r="B11" s="235"/>
      <c r="C11" s="235"/>
      <c r="D11" s="235"/>
      <c r="E11" s="235"/>
      <c r="F11" s="235"/>
      <c r="G11" s="235"/>
      <c r="H11" s="235"/>
      <c r="I11" s="235"/>
      <c r="J11" s="235"/>
      <c r="K11" s="235"/>
      <c r="L11" s="235"/>
      <c r="M11" s="235"/>
      <c r="N11" s="235"/>
      <c r="O11" s="235"/>
      <c r="P11" s="235"/>
      <c r="Q11" s="235"/>
      <c r="R11" s="235"/>
      <c r="S11" s="235"/>
      <c r="T11" s="382"/>
    </row>
    <row r="12" spans="1:22" ht="30" customHeight="1">
      <c r="A12" s="461" t="s">
        <v>374</v>
      </c>
      <c r="B12" s="461"/>
      <c r="C12" s="461"/>
      <c r="D12" s="461"/>
      <c r="E12" s="461"/>
      <c r="F12" s="461"/>
      <c r="G12" s="461"/>
      <c r="H12" s="461"/>
      <c r="I12" s="461"/>
      <c r="J12" s="461"/>
      <c r="K12" s="461"/>
      <c r="L12" s="461"/>
      <c r="M12" s="461"/>
      <c r="N12" s="461"/>
      <c r="O12" s="461"/>
      <c r="P12" s="461"/>
      <c r="Q12" s="461"/>
      <c r="R12" s="461"/>
      <c r="S12" s="461"/>
      <c r="T12" s="461"/>
    </row>
    <row r="13" spans="1:22" ht="15" customHeight="1">
      <c r="A13" s="40"/>
      <c r="B13" s="40"/>
      <c r="C13" s="40"/>
      <c r="D13" s="40"/>
      <c r="E13" s="40"/>
      <c r="F13" s="40"/>
      <c r="G13" s="40"/>
      <c r="H13" s="40"/>
      <c r="I13" s="40"/>
      <c r="J13" s="40"/>
      <c r="K13" s="40"/>
      <c r="L13" s="40"/>
      <c r="M13" s="40"/>
      <c r="N13" s="40"/>
      <c r="O13" s="40"/>
      <c r="P13" s="40"/>
      <c r="Q13" s="40"/>
      <c r="R13" s="40"/>
      <c r="S13" s="40"/>
      <c r="T13" s="40"/>
    </row>
    <row r="14" spans="1:22">
      <c r="A14" s="40"/>
      <c r="B14" s="40"/>
      <c r="C14" s="40"/>
      <c r="D14" s="40"/>
      <c r="E14" s="40"/>
      <c r="F14" s="40"/>
      <c r="G14" s="40"/>
      <c r="H14" s="40"/>
      <c r="I14" s="40"/>
      <c r="J14" s="40"/>
      <c r="K14" s="40"/>
      <c r="L14" s="40"/>
      <c r="M14" s="40"/>
      <c r="N14" s="40"/>
      <c r="O14" s="40"/>
      <c r="P14" s="40"/>
      <c r="Q14" s="40"/>
      <c r="R14" s="40"/>
      <c r="S14" s="40"/>
    </row>
    <row r="15" spans="1:22">
      <c r="A15" s="40"/>
      <c r="B15" s="40"/>
      <c r="C15" s="40"/>
      <c r="D15" s="40"/>
      <c r="E15" s="40"/>
      <c r="F15" s="40"/>
      <c r="G15" s="40"/>
      <c r="H15" s="40"/>
      <c r="I15" s="40"/>
      <c r="J15" s="40"/>
      <c r="K15" s="40"/>
      <c r="L15" s="40"/>
      <c r="M15" s="40"/>
      <c r="N15" s="40"/>
      <c r="O15" s="40"/>
      <c r="P15" s="40"/>
      <c r="Q15" s="40"/>
      <c r="R15" s="40"/>
      <c r="S15" s="40"/>
    </row>
  </sheetData>
  <mergeCells count="2">
    <mergeCell ref="A2:A3"/>
    <mergeCell ref="A12:T12"/>
  </mergeCells>
  <pageMargins left="0.56000000000000005" right="0.5" top="1.03" bottom="1.08" header="0.16" footer="0.22"/>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S26"/>
  <sheetViews>
    <sheetView zoomScale="115" zoomScaleNormal="115" workbookViewId="0">
      <selection activeCell="C21" sqref="C21"/>
    </sheetView>
  </sheetViews>
  <sheetFormatPr defaultColWidth="47.26953125" defaultRowHeight="14.5"/>
  <cols>
    <col min="1" max="1" width="49.54296875" style="30" customWidth="1"/>
    <col min="2" max="2" width="16.54296875" style="111" customWidth="1"/>
    <col min="3" max="3" width="14" style="111" customWidth="1"/>
    <col min="4" max="4" width="18" style="112" customWidth="1"/>
    <col min="5" max="5" width="72.81640625" style="111" customWidth="1"/>
    <col min="6" max="6" width="23.26953125" style="111" customWidth="1"/>
    <col min="7" max="7" width="15.54296875" style="112" customWidth="1"/>
    <col min="8" max="8" width="16.453125" style="113" bestFit="1" customWidth="1"/>
    <col min="9" max="16384" width="47.26953125" style="30"/>
  </cols>
  <sheetData>
    <row r="1" spans="1:8" ht="18.5">
      <c r="A1" s="462" t="s">
        <v>366</v>
      </c>
      <c r="B1" s="462"/>
      <c r="C1" s="462"/>
      <c r="D1" s="462"/>
      <c r="E1" s="462"/>
      <c r="F1" s="462"/>
      <c r="G1" s="462"/>
      <c r="H1" s="462"/>
    </row>
    <row r="2" spans="1:8" s="123" customFormat="1" ht="26.5" customHeight="1">
      <c r="A2" s="234" t="s">
        <v>380</v>
      </c>
      <c r="B2" s="246" t="s">
        <v>346</v>
      </c>
      <c r="C2" s="246" t="s">
        <v>354</v>
      </c>
      <c r="D2" s="246" t="s">
        <v>381</v>
      </c>
    </row>
    <row r="3" spans="1:8" ht="14.5" customHeight="1">
      <c r="A3" s="247" t="s">
        <v>280</v>
      </c>
      <c r="B3" s="248">
        <v>1800487</v>
      </c>
      <c r="C3" s="248">
        <v>0</v>
      </c>
      <c r="D3" s="248">
        <v>2000194</v>
      </c>
      <c r="E3" s="30"/>
      <c r="F3" s="30"/>
      <c r="G3" s="30"/>
      <c r="H3" s="30"/>
    </row>
    <row r="4" spans="1:8" ht="16">
      <c r="A4" s="247" t="s">
        <v>272</v>
      </c>
      <c r="B4" s="248">
        <v>3928169</v>
      </c>
      <c r="C4" s="248">
        <v>110631</v>
      </c>
      <c r="D4" s="248">
        <v>4038800</v>
      </c>
      <c r="E4" s="30"/>
      <c r="F4" s="30"/>
      <c r="G4" s="30"/>
      <c r="H4" s="30"/>
    </row>
    <row r="5" spans="1:8" ht="16">
      <c r="A5" s="247" t="s">
        <v>279</v>
      </c>
      <c r="B5" s="248">
        <v>3915796</v>
      </c>
      <c r="C5" s="248">
        <v>169123</v>
      </c>
      <c r="D5" s="248">
        <v>4084919</v>
      </c>
      <c r="E5" s="30"/>
      <c r="F5" s="30"/>
      <c r="G5" s="30"/>
      <c r="H5" s="30"/>
    </row>
    <row r="6" spans="1:8" ht="16">
      <c r="A6" s="247" t="s">
        <v>271</v>
      </c>
      <c r="B6" s="248">
        <v>4576134</v>
      </c>
      <c r="C6" s="248">
        <v>169123</v>
      </c>
      <c r="D6" s="248">
        <v>4745257</v>
      </c>
      <c r="E6" s="30"/>
      <c r="F6" s="30"/>
      <c r="G6" s="30"/>
      <c r="H6" s="30"/>
    </row>
    <row r="7" spans="1:8" ht="16">
      <c r="A7" s="247" t="s">
        <v>273</v>
      </c>
      <c r="B7" s="248">
        <v>4794979</v>
      </c>
      <c r="C7" s="248">
        <v>110631</v>
      </c>
      <c r="D7" s="248">
        <v>4905609</v>
      </c>
      <c r="E7" s="30"/>
      <c r="F7" s="30"/>
      <c r="G7" s="30"/>
      <c r="H7" s="30"/>
    </row>
    <row r="8" spans="1:8" ht="16">
      <c r="A8" s="247" t="s">
        <v>275</v>
      </c>
      <c r="B8" s="248">
        <v>5244825</v>
      </c>
      <c r="C8" s="248">
        <v>169123</v>
      </c>
      <c r="D8" s="248">
        <v>5441725</v>
      </c>
      <c r="E8" s="30"/>
      <c r="F8" s="30"/>
      <c r="G8" s="30"/>
      <c r="H8" s="30"/>
    </row>
    <row r="9" spans="1:8" ht="16">
      <c r="A9" s="247" t="s">
        <v>267</v>
      </c>
      <c r="B9" s="248">
        <v>5649016</v>
      </c>
      <c r="C9" s="248">
        <v>169123</v>
      </c>
      <c r="D9" s="248">
        <v>5845916</v>
      </c>
      <c r="E9" s="30"/>
      <c r="F9" s="30"/>
      <c r="G9" s="30"/>
      <c r="H9" s="30"/>
    </row>
    <row r="10" spans="1:8" ht="16">
      <c r="A10" s="247" t="s">
        <v>274</v>
      </c>
      <c r="B10" s="248">
        <v>9033419</v>
      </c>
      <c r="C10" s="248">
        <v>0</v>
      </c>
      <c r="D10" s="248">
        <v>9152844</v>
      </c>
      <c r="E10" s="30"/>
      <c r="F10" s="30"/>
      <c r="G10" s="30"/>
      <c r="H10" s="30"/>
    </row>
    <row r="11" spans="1:8" ht="16">
      <c r="A11" s="247" t="s">
        <v>281</v>
      </c>
      <c r="B11" s="248">
        <v>9974006</v>
      </c>
      <c r="C11" s="248">
        <v>0</v>
      </c>
      <c r="D11" s="248">
        <v>9974006</v>
      </c>
      <c r="E11" s="30"/>
      <c r="F11" s="30"/>
      <c r="G11" s="30"/>
      <c r="H11" s="30"/>
    </row>
    <row r="12" spans="1:8" ht="16">
      <c r="A12" s="247" t="s">
        <v>268</v>
      </c>
      <c r="B12" s="248">
        <v>11390975</v>
      </c>
      <c r="C12" s="248">
        <v>169123</v>
      </c>
      <c r="D12" s="248">
        <v>12002371</v>
      </c>
      <c r="E12" s="30"/>
      <c r="F12" s="30"/>
      <c r="G12" s="30"/>
      <c r="H12" s="30"/>
    </row>
    <row r="13" spans="1:8" ht="16">
      <c r="A13" s="247" t="s">
        <v>282</v>
      </c>
      <c r="B13" s="248">
        <v>15516215</v>
      </c>
      <c r="C13" s="248">
        <v>2537578</v>
      </c>
      <c r="D13" s="248">
        <v>18053794</v>
      </c>
      <c r="E13" s="30"/>
      <c r="F13" s="30"/>
      <c r="G13" s="30"/>
      <c r="H13" s="30"/>
    </row>
    <row r="14" spans="1:8" ht="16">
      <c r="A14" s="247" t="s">
        <v>278</v>
      </c>
      <c r="B14" s="248">
        <v>16801504</v>
      </c>
      <c r="C14" s="248">
        <v>1422919</v>
      </c>
      <c r="D14" s="248">
        <v>18224423</v>
      </c>
      <c r="E14" s="30"/>
      <c r="F14" s="30"/>
      <c r="G14" s="30"/>
      <c r="H14" s="30"/>
    </row>
    <row r="15" spans="1:8" ht="16">
      <c r="A15" s="247" t="s">
        <v>270</v>
      </c>
      <c r="B15" s="248">
        <v>18275802</v>
      </c>
      <c r="C15" s="248">
        <v>699488</v>
      </c>
      <c r="D15" s="248">
        <v>19225748</v>
      </c>
      <c r="E15" s="30"/>
      <c r="F15" s="30"/>
      <c r="G15" s="30"/>
      <c r="H15" s="30"/>
    </row>
    <row r="16" spans="1:8" ht="16">
      <c r="A16" s="247" t="s">
        <v>277</v>
      </c>
      <c r="B16" s="248">
        <v>24805593</v>
      </c>
      <c r="C16" s="248">
        <v>169123</v>
      </c>
      <c r="D16" s="248">
        <v>24974716</v>
      </c>
      <c r="E16" s="30"/>
      <c r="F16" s="30"/>
      <c r="G16" s="30"/>
      <c r="H16" s="30"/>
    </row>
    <row r="17" spans="1:19" ht="16">
      <c r="A17" s="247" t="s">
        <v>269</v>
      </c>
      <c r="B17" s="248">
        <v>25337281</v>
      </c>
      <c r="C17" s="248">
        <v>169123</v>
      </c>
      <c r="D17" s="248">
        <v>25506403</v>
      </c>
      <c r="E17" s="30"/>
      <c r="F17" s="30"/>
      <c r="G17" s="30"/>
      <c r="H17" s="30"/>
    </row>
    <row r="18" spans="1:19" ht="16">
      <c r="A18" s="247" t="s">
        <v>276</v>
      </c>
      <c r="B18" s="248">
        <v>34421525</v>
      </c>
      <c r="C18" s="248">
        <v>1440362</v>
      </c>
      <c r="D18" s="248">
        <v>36424738</v>
      </c>
      <c r="E18" s="30"/>
      <c r="F18" s="30"/>
      <c r="G18" s="30"/>
      <c r="H18" s="30"/>
    </row>
    <row r="19" spans="1:19" s="92" customFormat="1" ht="18.5" thickBot="1">
      <c r="A19" s="249" t="s">
        <v>414</v>
      </c>
      <c r="B19" s="250">
        <f t="shared" ref="B19:D19" si="0">SUM(B3:B18)</f>
        <v>195465726</v>
      </c>
      <c r="C19" s="250">
        <f t="shared" si="0"/>
        <v>7505470</v>
      </c>
      <c r="D19" s="250">
        <f t="shared" si="0"/>
        <v>204601463</v>
      </c>
      <c r="E19" s="30"/>
      <c r="F19" s="30"/>
      <c r="G19" s="30"/>
      <c r="H19" s="30"/>
    </row>
    <row r="20" spans="1:19" s="92" customFormat="1" ht="15" thickTop="1">
      <c r="A20" s="170"/>
      <c r="B20" s="169"/>
      <c r="C20" s="169"/>
      <c r="D20" s="169"/>
      <c r="E20" s="30"/>
      <c r="F20" s="30"/>
      <c r="G20" s="30"/>
      <c r="H20" s="30"/>
      <c r="I20" s="119"/>
    </row>
    <row r="21" spans="1:19" ht="16">
      <c r="A21" s="363" t="s">
        <v>0</v>
      </c>
      <c r="B21" s="367"/>
      <c r="C21" s="367"/>
      <c r="D21" s="379"/>
      <c r="E21" s="186"/>
    </row>
    <row r="22" spans="1:19" ht="46.9" customHeight="1">
      <c r="A22" s="463" t="s">
        <v>372</v>
      </c>
      <c r="B22" s="463"/>
      <c r="C22" s="463"/>
      <c r="D22" s="463"/>
      <c r="E22" s="186"/>
      <c r="F22" s="115"/>
      <c r="G22" s="115"/>
      <c r="H22" s="115"/>
    </row>
    <row r="23" spans="1:19" ht="32.5" customHeight="1">
      <c r="A23" s="464"/>
      <c r="B23" s="464"/>
      <c r="C23" s="464"/>
      <c r="D23" s="464"/>
      <c r="E23" s="180"/>
      <c r="F23" s="180"/>
      <c r="G23" s="180"/>
      <c r="H23" s="180"/>
      <c r="I23" s="180"/>
      <c r="J23" s="180"/>
      <c r="K23" s="180"/>
      <c r="L23" s="180"/>
      <c r="M23" s="180"/>
      <c r="N23" s="180"/>
      <c r="O23" s="180"/>
      <c r="P23" s="180"/>
      <c r="Q23" s="180"/>
      <c r="R23" s="180"/>
      <c r="S23" s="180"/>
    </row>
    <row r="24" spans="1:19">
      <c r="A24" s="114"/>
      <c r="B24" s="115"/>
      <c r="C24" s="115"/>
      <c r="D24" s="115"/>
      <c r="E24" s="115"/>
      <c r="F24" s="115"/>
      <c r="G24" s="115"/>
      <c r="H24" s="115"/>
    </row>
    <row r="25" spans="1:19" ht="16">
      <c r="A25" s="261" t="s">
        <v>42</v>
      </c>
    </row>
    <row r="26" spans="1:19" ht="26.5" customHeight="1">
      <c r="A26" s="380" t="str">
        <f>"Total: $" &amp; TEXT(D19,"#.0,,") &amp; " million (Expense: $" &amp; TEXT(B19,"#.0,,") &amp; " million, Capital: $" &amp; TEXT(C19,"#.0,,") &amp; " million)"</f>
        <v>Total: $204.6 million (Expense: $195.5 million, Capital: $7.5 million)</v>
      </c>
      <c r="B26" s="116"/>
      <c r="C26" s="116"/>
      <c r="D26" s="116"/>
    </row>
  </sheetData>
  <sortState xmlns:xlrd2="http://schemas.microsoft.com/office/spreadsheetml/2017/richdata2" ref="A3:D18">
    <sortCondition ref="D3:D18"/>
  </sortState>
  <mergeCells count="3">
    <mergeCell ref="A1:H1"/>
    <mergeCell ref="A22:D22"/>
    <mergeCell ref="A23:D23"/>
  </mergeCells>
  <pageMargins left="0.25" right="0.25" top="0.75" bottom="0.75" header="0.3" footer="0.3"/>
  <pageSetup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X20"/>
  <sheetViews>
    <sheetView zoomScale="130" zoomScaleNormal="130" workbookViewId="0">
      <selection activeCell="A16" sqref="A16:S16"/>
    </sheetView>
  </sheetViews>
  <sheetFormatPr defaultColWidth="9.1796875" defaultRowHeight="13"/>
  <cols>
    <col min="1" max="1" width="34" style="53" customWidth="1"/>
    <col min="2" max="2" width="15.453125" style="59" hidden="1" customWidth="1"/>
    <col min="3" max="3" width="15.453125" style="53" hidden="1" customWidth="1"/>
    <col min="4" max="4" width="15.453125" style="60" hidden="1" customWidth="1"/>
    <col min="5" max="5" width="15.453125" style="53" hidden="1" customWidth="1"/>
    <col min="6" max="9" width="14.7265625" style="53" hidden="1" customWidth="1"/>
    <col min="10" max="16" width="14.7265625" style="53" bestFit="1" customWidth="1"/>
    <col min="17" max="19" width="14.7265625" style="53" customWidth="1"/>
    <col min="20" max="20" width="10.453125" style="53" bestFit="1" customWidth="1"/>
    <col min="21" max="23" width="9.1796875" style="53"/>
    <col min="24" max="24" width="10.54296875" style="53" bestFit="1" customWidth="1"/>
    <col min="25" max="16384" width="9.1796875" style="53"/>
  </cols>
  <sheetData>
    <row r="1" spans="1:24" s="43" customFormat="1" ht="18.5">
      <c r="A1" s="465" t="s">
        <v>384</v>
      </c>
      <c r="B1" s="465"/>
      <c r="C1" s="465"/>
      <c r="D1" s="465"/>
      <c r="E1" s="465"/>
      <c r="F1" s="465"/>
      <c r="G1" s="465"/>
      <c r="H1" s="465"/>
      <c r="I1" s="465"/>
      <c r="J1" s="465"/>
      <c r="K1" s="465"/>
      <c r="L1" s="465"/>
    </row>
    <row r="2" spans="1:24" s="45" customFormat="1" ht="20.25" customHeight="1">
      <c r="A2" s="412" t="s">
        <v>429</v>
      </c>
      <c r="B2" s="412">
        <v>2007</v>
      </c>
      <c r="C2" s="412">
        <v>2008</v>
      </c>
      <c r="D2" s="412">
        <v>2009</v>
      </c>
      <c r="E2" s="412">
        <v>2010</v>
      </c>
      <c r="F2" s="412">
        <v>2011</v>
      </c>
      <c r="G2" s="412">
        <v>2012</v>
      </c>
      <c r="H2" s="412">
        <v>2013</v>
      </c>
      <c r="I2" s="412">
        <v>2014</v>
      </c>
      <c r="J2" s="412">
        <v>2015</v>
      </c>
      <c r="K2" s="412">
        <v>2016</v>
      </c>
      <c r="L2" s="412">
        <v>2017</v>
      </c>
      <c r="M2" s="412">
        <v>2018</v>
      </c>
      <c r="N2" s="412">
        <v>2019</v>
      </c>
      <c r="O2" s="412">
        <v>2020</v>
      </c>
      <c r="P2" s="412">
        <v>2021</v>
      </c>
      <c r="Q2" s="412">
        <v>2022</v>
      </c>
      <c r="R2" s="412">
        <v>2023</v>
      </c>
      <c r="S2" s="412">
        <v>2024</v>
      </c>
      <c r="T2" s="62" t="s">
        <v>45</v>
      </c>
      <c r="U2" s="62" t="s">
        <v>125</v>
      </c>
    </row>
    <row r="3" spans="1:24" s="43" customFormat="1" ht="12">
      <c r="A3" s="413" t="s">
        <v>15</v>
      </c>
      <c r="B3" s="244">
        <v>206545.32</v>
      </c>
      <c r="C3" s="244">
        <v>2803385</v>
      </c>
      <c r="D3" s="244">
        <v>3964851</v>
      </c>
      <c r="E3" s="244">
        <v>4199379.4000000004</v>
      </c>
      <c r="F3" s="414">
        <v>4319007</v>
      </c>
      <c r="G3" s="414">
        <v>4130748</v>
      </c>
      <c r="H3" s="414">
        <v>3980350.71</v>
      </c>
      <c r="I3" s="414">
        <v>4244806.68</v>
      </c>
      <c r="J3" s="415">
        <v>4077673.9</v>
      </c>
      <c r="K3" s="415">
        <v>7152515</v>
      </c>
      <c r="L3" s="415">
        <v>6798515.7999999998</v>
      </c>
      <c r="M3" s="415">
        <v>5980713</v>
      </c>
      <c r="N3" s="415">
        <v>4792926</v>
      </c>
      <c r="O3" s="415">
        <v>4000012</v>
      </c>
      <c r="P3" s="415">
        <v>5141190.7600000007</v>
      </c>
      <c r="Q3" s="415">
        <v>4199394.21</v>
      </c>
      <c r="R3" s="415">
        <v>4586410</v>
      </c>
      <c r="S3" s="415">
        <v>6337904.6099999994</v>
      </c>
      <c r="T3" s="63">
        <f t="shared" ref="T3:T11" si="0">S3</f>
        <v>6337904.6099999994</v>
      </c>
      <c r="U3" s="43" t="s">
        <v>15</v>
      </c>
    </row>
    <row r="4" spans="1:24" s="43" customFormat="1" ht="12">
      <c r="A4" s="413" t="s">
        <v>14</v>
      </c>
      <c r="B4" s="244">
        <v>447384.8</v>
      </c>
      <c r="C4" s="244">
        <v>3674945</v>
      </c>
      <c r="D4" s="244">
        <v>3417255</v>
      </c>
      <c r="E4" s="244">
        <v>3241565.96</v>
      </c>
      <c r="F4" s="414">
        <v>3599302</v>
      </c>
      <c r="G4" s="414">
        <v>4429624</v>
      </c>
      <c r="H4" s="414">
        <v>4077995.11</v>
      </c>
      <c r="I4" s="414">
        <v>4062872.09</v>
      </c>
      <c r="J4" s="415">
        <v>4248774.49</v>
      </c>
      <c r="K4" s="415">
        <v>4206148</v>
      </c>
      <c r="L4" s="415">
        <v>4321384.6500000004</v>
      </c>
      <c r="M4" s="415">
        <v>6599734</v>
      </c>
      <c r="N4" s="415">
        <v>4345080</v>
      </c>
      <c r="O4" s="415">
        <v>4367674</v>
      </c>
      <c r="P4" s="415">
        <v>5246418.55</v>
      </c>
      <c r="Q4" s="415">
        <v>4732903.5299999984</v>
      </c>
      <c r="R4" s="415">
        <v>4969773</v>
      </c>
      <c r="S4" s="415">
        <v>5143193.3899999987</v>
      </c>
      <c r="T4" s="63">
        <f t="shared" si="0"/>
        <v>5143193.3899999987</v>
      </c>
      <c r="U4" s="43" t="s">
        <v>14</v>
      </c>
    </row>
    <row r="5" spans="1:24" s="43" customFormat="1" ht="12">
      <c r="A5" s="413" t="s">
        <v>13</v>
      </c>
      <c r="B5" s="244"/>
      <c r="C5" s="244">
        <v>1119159</v>
      </c>
      <c r="D5" s="244">
        <v>705064</v>
      </c>
      <c r="E5" s="244">
        <v>656356.34</v>
      </c>
      <c r="F5" s="414">
        <v>805250</v>
      </c>
      <c r="G5" s="414">
        <v>853122</v>
      </c>
      <c r="H5" s="414">
        <v>750779.54</v>
      </c>
      <c r="I5" s="414">
        <v>883679.1</v>
      </c>
      <c r="J5" s="415">
        <v>865989.83</v>
      </c>
      <c r="K5" s="415">
        <v>800717</v>
      </c>
      <c r="L5" s="415">
        <v>1007595</v>
      </c>
      <c r="M5" s="415">
        <v>939310</v>
      </c>
      <c r="N5" s="415">
        <v>921482</v>
      </c>
      <c r="O5" s="415">
        <v>1078454</v>
      </c>
      <c r="P5" s="415">
        <v>937863.16</v>
      </c>
      <c r="Q5" s="415">
        <v>1005666.6100000001</v>
      </c>
      <c r="R5" s="415">
        <v>1202321</v>
      </c>
      <c r="S5" s="415">
        <v>1597310.8799999997</v>
      </c>
      <c r="T5" s="63">
        <f t="shared" si="0"/>
        <v>1597310.8799999997</v>
      </c>
      <c r="U5" s="43" t="s">
        <v>13</v>
      </c>
    </row>
    <row r="6" spans="1:24" s="43" customFormat="1" ht="12">
      <c r="A6" s="413" t="s">
        <v>110</v>
      </c>
      <c r="B6" s="244">
        <v>7393716.5499999467</v>
      </c>
      <c r="C6" s="244">
        <v>15227116</v>
      </c>
      <c r="D6" s="244">
        <v>18618170</v>
      </c>
      <c r="E6" s="244">
        <v>22462594.310000002</v>
      </c>
      <c r="F6" s="244">
        <v>25185796</v>
      </c>
      <c r="G6" s="244">
        <v>28135259</v>
      </c>
      <c r="H6" s="244">
        <v>30074159.880000003</v>
      </c>
      <c r="I6" s="244">
        <v>13294304.619999999</v>
      </c>
      <c r="J6" s="416">
        <v>13500244.51</v>
      </c>
      <c r="K6" s="416">
        <v>13778450</v>
      </c>
      <c r="L6" s="416">
        <v>13866904.550000001</v>
      </c>
      <c r="M6" s="416">
        <v>12490178</v>
      </c>
      <c r="N6" s="416">
        <v>11396071</v>
      </c>
      <c r="O6" s="415">
        <v>11440413</v>
      </c>
      <c r="P6" s="415">
        <v>11096346</v>
      </c>
      <c r="Q6" s="415">
        <v>12068470.839999996</v>
      </c>
      <c r="R6" s="415">
        <v>14938781</v>
      </c>
      <c r="S6" s="415">
        <v>12269424.129999999</v>
      </c>
      <c r="T6" s="63">
        <f t="shared" si="0"/>
        <v>12269424.129999999</v>
      </c>
      <c r="U6" s="43" t="s">
        <v>110</v>
      </c>
    </row>
    <row r="7" spans="1:24" s="43" customFormat="1" ht="12">
      <c r="A7" s="413" t="s">
        <v>12</v>
      </c>
      <c r="B7" s="244"/>
      <c r="C7" s="244">
        <v>3208172</v>
      </c>
      <c r="D7" s="244">
        <v>3284130</v>
      </c>
      <c r="E7" s="244">
        <v>3549111.76</v>
      </c>
      <c r="F7" s="414">
        <v>2983190</v>
      </c>
      <c r="G7" s="414">
        <v>3558732</v>
      </c>
      <c r="H7" s="414">
        <v>3309063.57</v>
      </c>
      <c r="I7" s="414">
        <v>3879435.13</v>
      </c>
      <c r="J7" s="415">
        <v>3614166.46</v>
      </c>
      <c r="K7" s="415">
        <v>4251762</v>
      </c>
      <c r="L7" s="415">
        <v>4211395.18</v>
      </c>
      <c r="M7" s="415">
        <v>3392431</v>
      </c>
      <c r="N7" s="415">
        <v>5301185</v>
      </c>
      <c r="O7" s="415">
        <v>3733535</v>
      </c>
      <c r="P7" s="415">
        <v>4087548.31</v>
      </c>
      <c r="Q7" s="415">
        <v>5255244.1399999997</v>
      </c>
      <c r="R7" s="415">
        <v>5052743</v>
      </c>
      <c r="S7" s="415">
        <v>5668022.8800000008</v>
      </c>
      <c r="T7" s="63">
        <f t="shared" si="0"/>
        <v>5668022.8800000008</v>
      </c>
      <c r="U7" s="43" t="s">
        <v>12</v>
      </c>
      <c r="X7" s="126"/>
    </row>
    <row r="8" spans="1:24" s="43" customFormat="1" ht="12">
      <c r="A8" s="413" t="s">
        <v>111</v>
      </c>
      <c r="B8" s="244">
        <v>65391134.799999997</v>
      </c>
      <c r="C8" s="244">
        <v>60793513</v>
      </c>
      <c r="D8" s="244">
        <v>76781454</v>
      </c>
      <c r="E8" s="244">
        <v>80386908.619999975</v>
      </c>
      <c r="F8" s="414">
        <v>123373947</v>
      </c>
      <c r="G8" s="414">
        <v>122609228</v>
      </c>
      <c r="H8" s="414">
        <v>118831308.82000001</v>
      </c>
      <c r="I8" s="414">
        <v>102422790.40000001</v>
      </c>
      <c r="J8" s="415">
        <v>124435134.92</v>
      </c>
      <c r="K8" s="415">
        <v>117933009</v>
      </c>
      <c r="L8" s="415">
        <v>98185616.640000001</v>
      </c>
      <c r="M8" s="415">
        <v>123250425</v>
      </c>
      <c r="N8" s="415">
        <v>95407540</v>
      </c>
      <c r="O8" s="415">
        <v>102910269</v>
      </c>
      <c r="P8" s="415">
        <v>122044125.41000001</v>
      </c>
      <c r="Q8" s="415">
        <v>108378570.29000002</v>
      </c>
      <c r="R8" s="415">
        <v>108188920</v>
      </c>
      <c r="S8" s="415">
        <v>116536194.40000002</v>
      </c>
      <c r="T8" s="63">
        <f t="shared" si="0"/>
        <v>116536194.40000002</v>
      </c>
      <c r="U8" s="43" t="s">
        <v>111</v>
      </c>
    </row>
    <row r="9" spans="1:24" s="43" customFormat="1" ht="12">
      <c r="A9" s="413" t="s">
        <v>43</v>
      </c>
      <c r="B9" s="244"/>
      <c r="C9" s="244">
        <v>61948189</v>
      </c>
      <c r="D9" s="244">
        <v>70325233</v>
      </c>
      <c r="E9" s="244">
        <v>79820205.509999946</v>
      </c>
      <c r="F9" s="414">
        <v>89101514</v>
      </c>
      <c r="G9" s="414">
        <v>89527224</v>
      </c>
      <c r="H9" s="414">
        <v>80053468.640000001</v>
      </c>
      <c r="I9" s="414">
        <v>80583800.829999998</v>
      </c>
      <c r="J9" s="415">
        <v>82202202.650000006</v>
      </c>
      <c r="K9" s="415">
        <v>79345812</v>
      </c>
      <c r="L9" s="415">
        <v>82150738.269999996</v>
      </c>
      <c r="M9" s="415">
        <v>78032415</v>
      </c>
      <c r="N9" s="415">
        <v>75235405</v>
      </c>
      <c r="O9" s="415">
        <v>72201118</v>
      </c>
      <c r="P9" s="415">
        <v>76050145.24999997</v>
      </c>
      <c r="Q9" s="415">
        <v>70273406.24000001</v>
      </c>
      <c r="R9" s="415">
        <v>75077625</v>
      </c>
      <c r="S9" s="415">
        <v>75690961.279999956</v>
      </c>
      <c r="T9" s="63">
        <f t="shared" si="0"/>
        <v>75690961.279999956</v>
      </c>
      <c r="U9" s="43" t="s">
        <v>43</v>
      </c>
      <c r="X9" s="126"/>
    </row>
    <row r="10" spans="1:24" s="43" customFormat="1" ht="12">
      <c r="A10" s="413" t="s">
        <v>344</v>
      </c>
      <c r="B10" s="244"/>
      <c r="C10" s="244"/>
      <c r="D10" s="244"/>
      <c r="E10" s="244"/>
      <c r="F10" s="414"/>
      <c r="G10" s="414"/>
      <c r="H10" s="414"/>
      <c r="I10" s="414"/>
      <c r="J10" s="415"/>
      <c r="K10" s="415"/>
      <c r="L10" s="415"/>
      <c r="M10" s="415"/>
      <c r="N10" s="415"/>
      <c r="O10" s="415"/>
      <c r="P10" s="415"/>
      <c r="Q10" s="415"/>
      <c r="R10" s="415"/>
      <c r="S10" s="415">
        <v>301739.81</v>
      </c>
      <c r="T10" s="63">
        <f t="shared" si="0"/>
        <v>301739.81</v>
      </c>
      <c r="U10" s="43" t="s">
        <v>344</v>
      </c>
      <c r="X10" s="126"/>
    </row>
    <row r="11" spans="1:24" s="43" customFormat="1" ht="12">
      <c r="A11" s="413" t="s">
        <v>44</v>
      </c>
      <c r="B11" s="244">
        <v>36296239.659999982</v>
      </c>
      <c r="C11" s="244">
        <v>25638528</v>
      </c>
      <c r="D11" s="244">
        <v>28175648</v>
      </c>
      <c r="E11" s="244">
        <v>45271831.170000017</v>
      </c>
      <c r="F11" s="414">
        <v>61846889</v>
      </c>
      <c r="G11" s="414">
        <v>53165835</v>
      </c>
      <c r="H11" s="414">
        <v>50024766.200000003</v>
      </c>
      <c r="I11" s="414">
        <v>45146278.850000001</v>
      </c>
      <c r="J11" s="417">
        <v>32202008.149999999</v>
      </c>
      <c r="K11" s="415">
        <v>31490426</v>
      </c>
      <c r="L11" s="417">
        <v>34872455.259999998</v>
      </c>
      <c r="M11" s="417">
        <v>36978108</v>
      </c>
      <c r="N11" s="417">
        <v>41775457</v>
      </c>
      <c r="O11" s="415">
        <v>55046556</v>
      </c>
      <c r="P11" s="415">
        <v>46496391.919999987</v>
      </c>
      <c r="Q11" s="415">
        <v>32965520.000000004</v>
      </c>
      <c r="R11" s="415">
        <v>35565449</v>
      </c>
      <c r="S11" s="415">
        <v>41181958.219999999</v>
      </c>
      <c r="T11" s="63">
        <f t="shared" si="0"/>
        <v>41181958.219999999</v>
      </c>
      <c r="U11" s="43" t="s">
        <v>44</v>
      </c>
      <c r="X11" s="126"/>
    </row>
    <row r="12" spans="1:24" s="49" customFormat="1" ht="14" thickBot="1">
      <c r="A12" s="418" t="s">
        <v>430</v>
      </c>
      <c r="B12" s="233">
        <f t="shared" ref="B12:R12" si="1">SUM(B6:B11)</f>
        <v>109081091.00999993</v>
      </c>
      <c r="C12" s="233">
        <f t="shared" si="1"/>
        <v>166815518</v>
      </c>
      <c r="D12" s="233">
        <f t="shared" si="1"/>
        <v>197184635</v>
      </c>
      <c r="E12" s="233">
        <f t="shared" si="1"/>
        <v>231490651.36999995</v>
      </c>
      <c r="F12" s="233">
        <f t="shared" si="1"/>
        <v>302491336</v>
      </c>
      <c r="G12" s="233">
        <f t="shared" si="1"/>
        <v>296996278</v>
      </c>
      <c r="H12" s="233">
        <f t="shared" si="1"/>
        <v>282292767.11000001</v>
      </c>
      <c r="I12" s="233">
        <f t="shared" si="1"/>
        <v>245326609.83000001</v>
      </c>
      <c r="J12" s="419">
        <f t="shared" si="1"/>
        <v>255953756.69</v>
      </c>
      <c r="K12" s="419">
        <f t="shared" si="1"/>
        <v>246799459</v>
      </c>
      <c r="L12" s="419">
        <f t="shared" si="1"/>
        <v>233287109.89999998</v>
      </c>
      <c r="M12" s="419">
        <f t="shared" si="1"/>
        <v>254143557</v>
      </c>
      <c r="N12" s="419">
        <f t="shared" si="1"/>
        <v>229115658</v>
      </c>
      <c r="O12" s="419">
        <f t="shared" si="1"/>
        <v>245331891</v>
      </c>
      <c r="P12" s="419">
        <f t="shared" si="1"/>
        <v>259774556.88999996</v>
      </c>
      <c r="Q12" s="420">
        <f t="shared" si="1"/>
        <v>228941211.51000002</v>
      </c>
      <c r="R12" s="420">
        <f t="shared" si="1"/>
        <v>238823518</v>
      </c>
      <c r="S12" s="420">
        <f>SUM(S3:S11)</f>
        <v>264726709.59999999</v>
      </c>
    </row>
    <row r="13" spans="1:24" s="43" customFormat="1" ht="16" thickTop="1">
      <c r="A13" s="46"/>
      <c r="B13" s="50"/>
      <c r="C13" s="46"/>
      <c r="D13" s="50"/>
      <c r="E13" s="46"/>
      <c r="F13" s="46"/>
      <c r="S13" s="126"/>
    </row>
    <row r="14" spans="1:24" ht="16">
      <c r="A14" s="372" t="s">
        <v>0</v>
      </c>
      <c r="B14" s="378"/>
      <c r="C14" s="374"/>
      <c r="D14" s="378"/>
      <c r="E14" s="374"/>
      <c r="F14" s="374"/>
      <c r="G14" s="374"/>
      <c r="H14" s="374"/>
      <c r="I14" s="374"/>
      <c r="J14" s="374"/>
      <c r="K14" s="374"/>
      <c r="L14" s="374"/>
      <c r="M14" s="374"/>
      <c r="N14" s="374"/>
      <c r="O14" s="374"/>
      <c r="P14" s="374"/>
      <c r="Q14" s="374"/>
      <c r="R14" s="374"/>
      <c r="S14" s="374"/>
    </row>
    <row r="15" spans="1:24" ht="18.649999999999999" customHeight="1">
      <c r="A15" s="467" t="s">
        <v>382</v>
      </c>
      <c r="B15" s="467"/>
      <c r="C15" s="467"/>
      <c r="D15" s="467"/>
      <c r="E15" s="467"/>
      <c r="F15" s="467"/>
      <c r="G15" s="467"/>
      <c r="H15" s="467"/>
      <c r="I15" s="467"/>
      <c r="J15" s="467"/>
      <c r="K15" s="467"/>
      <c r="L15" s="467"/>
      <c r="M15" s="467"/>
      <c r="N15" s="467"/>
      <c r="O15" s="467"/>
      <c r="P15" s="467"/>
      <c r="Q15" s="467"/>
      <c r="R15" s="467"/>
      <c r="S15" s="467"/>
    </row>
    <row r="16" spans="1:24" ht="33.65" customHeight="1">
      <c r="A16" s="468" t="s">
        <v>428</v>
      </c>
      <c r="B16" s="468"/>
      <c r="C16" s="468"/>
      <c r="D16" s="468"/>
      <c r="E16" s="468"/>
      <c r="F16" s="468"/>
      <c r="G16" s="468"/>
      <c r="H16" s="468"/>
      <c r="I16" s="468"/>
      <c r="J16" s="468"/>
      <c r="K16" s="468"/>
      <c r="L16" s="468"/>
      <c r="M16" s="468"/>
      <c r="N16" s="468"/>
      <c r="O16" s="468"/>
      <c r="P16" s="468"/>
      <c r="Q16" s="468"/>
      <c r="R16" s="468"/>
      <c r="S16" s="468"/>
    </row>
    <row r="17" spans="1:19" ht="17.25" customHeight="1">
      <c r="A17" s="466"/>
      <c r="B17" s="466"/>
      <c r="C17" s="466"/>
      <c r="D17" s="466"/>
      <c r="E17" s="466"/>
      <c r="F17" s="466"/>
      <c r="G17" s="466"/>
      <c r="H17" s="466"/>
      <c r="I17" s="466"/>
      <c r="J17" s="466"/>
      <c r="K17" s="466"/>
      <c r="L17" s="466"/>
      <c r="M17" s="466"/>
      <c r="N17" s="466"/>
      <c r="O17" s="466"/>
      <c r="P17" s="466"/>
      <c r="Q17" s="61"/>
      <c r="R17" s="61"/>
      <c r="S17" s="61"/>
    </row>
    <row r="18" spans="1:19" ht="15.5">
      <c r="A18" s="55"/>
      <c r="B18" s="55"/>
      <c r="C18" s="55"/>
      <c r="D18" s="55"/>
      <c r="E18" s="55"/>
      <c r="F18" s="55"/>
      <c r="G18" s="55"/>
      <c r="H18" s="55"/>
      <c r="I18" s="55"/>
      <c r="J18" s="55"/>
      <c r="K18" s="55"/>
      <c r="L18" s="55"/>
      <c r="M18" s="55"/>
      <c r="N18" s="55"/>
    </row>
    <row r="19" spans="1:19" ht="15.5">
      <c r="A19" s="56"/>
      <c r="B19" s="57" t="str">
        <f>SUBSTITUTE(subtitle,", not included","")</f>
        <v/>
      </c>
      <c r="C19" s="56"/>
      <c r="D19" s="56"/>
      <c r="E19" s="56"/>
      <c r="F19" s="56"/>
      <c r="G19" s="56"/>
      <c r="H19" s="56"/>
      <c r="I19" s="56"/>
      <c r="J19" s="56"/>
      <c r="K19" s="56"/>
      <c r="L19" s="56"/>
    </row>
    <row r="20" spans="1:19">
      <c r="A20" s="58"/>
    </row>
  </sheetData>
  <mergeCells count="4">
    <mergeCell ref="A1:L1"/>
    <mergeCell ref="A17:P17"/>
    <mergeCell ref="A15:S15"/>
    <mergeCell ref="A16:S16"/>
  </mergeCells>
  <pageMargins left="0.41" right="0.39" top="0.55000000000000004" bottom="0.27" header="0.16" footer="0.16"/>
  <pageSetup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T16"/>
  <sheetViews>
    <sheetView zoomScale="115" zoomScaleNormal="115" workbookViewId="0">
      <pane ySplit="2" topLeftCell="A3" activePane="bottomLeft" state="frozen"/>
      <selection pane="bottomLeft" activeCell="A12" sqref="A12"/>
    </sheetView>
  </sheetViews>
  <sheetFormatPr defaultColWidth="9.1796875" defaultRowHeight="13"/>
  <cols>
    <col min="1" max="1" width="35.1796875" style="53" customWidth="1"/>
    <col min="2" max="2" width="14.54296875" style="59" hidden="1" customWidth="1"/>
    <col min="3" max="3" width="13.453125" style="53" hidden="1" customWidth="1"/>
    <col min="4" max="4" width="13.453125" style="60" hidden="1" customWidth="1"/>
    <col min="5" max="8" width="13.453125" style="53" hidden="1" customWidth="1"/>
    <col min="9" max="9" width="8.1796875" style="53" hidden="1" customWidth="1"/>
    <col min="10" max="16" width="13.453125" style="53" bestFit="1" customWidth="1"/>
    <col min="17" max="19" width="13.453125" style="53" customWidth="1"/>
    <col min="20" max="20" width="12.26953125" style="53" bestFit="1" customWidth="1"/>
    <col min="21" max="21" width="9.1796875" style="53"/>
    <col min="22" max="22" width="10" style="53" bestFit="1" customWidth="1"/>
    <col min="23" max="16384" width="9.1796875" style="53"/>
  </cols>
  <sheetData>
    <row r="1" spans="1:20" s="43" customFormat="1" ht="18.5">
      <c r="A1" s="219" t="s">
        <v>383</v>
      </c>
      <c r="B1" s="42"/>
      <c r="C1" s="42"/>
      <c r="D1" s="42"/>
      <c r="E1" s="42"/>
      <c r="F1" s="42"/>
      <c r="G1" s="42"/>
      <c r="H1" s="42"/>
      <c r="I1" s="42"/>
      <c r="J1" s="42"/>
      <c r="K1" s="42"/>
      <c r="L1" s="42"/>
      <c r="M1" s="42"/>
      <c r="N1" s="42"/>
    </row>
    <row r="2" spans="1:20" s="45" customFormat="1" ht="15.5">
      <c r="A2" s="194" t="s">
        <v>405</v>
      </c>
      <c r="B2" s="195">
        <v>2007</v>
      </c>
      <c r="C2" s="195">
        <v>2008</v>
      </c>
      <c r="D2" s="195">
        <v>2009</v>
      </c>
      <c r="E2" s="195">
        <v>2010</v>
      </c>
      <c r="F2" s="195">
        <v>2011</v>
      </c>
      <c r="G2" s="195">
        <v>2012</v>
      </c>
      <c r="H2" s="195">
        <v>2013</v>
      </c>
      <c r="I2" s="195">
        <v>2014</v>
      </c>
      <c r="J2" s="195">
        <v>2015</v>
      </c>
      <c r="K2" s="195">
        <v>2016</v>
      </c>
      <c r="L2" s="195">
        <v>2017</v>
      </c>
      <c r="M2" s="195">
        <v>2018</v>
      </c>
      <c r="N2" s="195">
        <v>2019</v>
      </c>
      <c r="O2" s="195">
        <v>2020</v>
      </c>
      <c r="P2" s="195">
        <v>2021</v>
      </c>
      <c r="Q2" s="196">
        <v>2022</v>
      </c>
      <c r="R2" s="196">
        <v>2023</v>
      </c>
      <c r="S2" s="196">
        <v>2024</v>
      </c>
      <c r="T2" s="44" t="s">
        <v>45</v>
      </c>
    </row>
    <row r="3" spans="1:20" s="43" customFormat="1" ht="15.5">
      <c r="A3" s="197" t="s">
        <v>110</v>
      </c>
      <c r="B3" s="198">
        <v>641816.81000000006</v>
      </c>
      <c r="C3" s="198">
        <v>764148.4800000001</v>
      </c>
      <c r="D3" s="198">
        <v>-3902</v>
      </c>
      <c r="E3" s="198">
        <v>640554</v>
      </c>
      <c r="F3" s="198">
        <v>684891</v>
      </c>
      <c r="G3" s="198">
        <v>664088</v>
      </c>
      <c r="H3" s="198">
        <v>785308.52</v>
      </c>
      <c r="I3" s="198">
        <v>633508.71</v>
      </c>
      <c r="J3" s="199">
        <v>618853.43999999994</v>
      </c>
      <c r="K3" s="199">
        <v>703885.61</v>
      </c>
      <c r="L3" s="199">
        <v>690901</v>
      </c>
      <c r="M3" s="199">
        <v>598768</v>
      </c>
      <c r="N3" s="199">
        <v>636882</v>
      </c>
      <c r="O3" s="199">
        <v>513554</v>
      </c>
      <c r="P3" s="199">
        <v>501558.63</v>
      </c>
      <c r="Q3" s="200">
        <v>566176.04</v>
      </c>
      <c r="R3" s="200">
        <v>727318</v>
      </c>
      <c r="S3" s="200">
        <v>868299</v>
      </c>
      <c r="T3" s="48">
        <f>S3</f>
        <v>868299</v>
      </c>
    </row>
    <row r="4" spans="1:20" s="43" customFormat="1" ht="15.5">
      <c r="A4" s="201" t="s">
        <v>449</v>
      </c>
      <c r="B4" s="198">
        <v>3054888.35</v>
      </c>
      <c r="C4" s="198">
        <v>3256692.3110000002</v>
      </c>
      <c r="D4" s="198">
        <v>3417255.43</v>
      </c>
      <c r="E4" s="198">
        <v>3241566</v>
      </c>
      <c r="F4" s="198">
        <v>3599302</v>
      </c>
      <c r="G4" s="198">
        <v>4429624</v>
      </c>
      <c r="H4" s="198">
        <v>4077995.11</v>
      </c>
      <c r="I4" s="198">
        <v>4062872.09</v>
      </c>
      <c r="J4" s="199">
        <v>4248774.49</v>
      </c>
      <c r="K4" s="199">
        <v>4206148.1500000004</v>
      </c>
      <c r="L4" s="199">
        <v>4321385</v>
      </c>
      <c r="M4" s="199">
        <v>6599734</v>
      </c>
      <c r="N4" s="199">
        <v>4345080</v>
      </c>
      <c r="O4" s="199">
        <v>4367674</v>
      </c>
      <c r="P4" s="199">
        <v>5246418.55</v>
      </c>
      <c r="Q4" s="200">
        <v>4732903.5299999993</v>
      </c>
      <c r="R4" s="200">
        <v>4969773</v>
      </c>
      <c r="S4" s="200">
        <v>5143193</v>
      </c>
      <c r="T4" s="48">
        <f>S4</f>
        <v>5143193</v>
      </c>
    </row>
    <row r="5" spans="1:20" s="43" customFormat="1" ht="15.5">
      <c r="A5" s="201" t="s">
        <v>260</v>
      </c>
      <c r="B5" s="198">
        <v>19614679.890099999</v>
      </c>
      <c r="C5" s="198">
        <v>17739369.969999999</v>
      </c>
      <c r="D5" s="198">
        <v>17335477.820000004</v>
      </c>
      <c r="E5" s="198">
        <v>22318040</v>
      </c>
      <c r="F5" s="198">
        <v>22583163</v>
      </c>
      <c r="G5" s="198">
        <v>25176585</v>
      </c>
      <c r="H5" s="198">
        <v>23588530.18</v>
      </c>
      <c r="I5" s="198">
        <v>24046105.84</v>
      </c>
      <c r="J5" s="199">
        <v>24079654.359999999</v>
      </c>
      <c r="K5" s="199">
        <v>24391057.350000001</v>
      </c>
      <c r="L5" s="199">
        <v>24937524</v>
      </c>
      <c r="M5" s="199">
        <v>24832549</v>
      </c>
      <c r="N5" s="199">
        <v>25205995</v>
      </c>
      <c r="O5" s="199">
        <v>24309066</v>
      </c>
      <c r="P5" s="199">
        <v>19198616.699999999</v>
      </c>
      <c r="Q5" s="200">
        <v>17819580.390000001</v>
      </c>
      <c r="R5" s="200">
        <v>16257630</v>
      </c>
      <c r="S5" s="200">
        <v>19689426</v>
      </c>
      <c r="T5" s="48">
        <f>S5</f>
        <v>19689426</v>
      </c>
    </row>
    <row r="6" spans="1:20" s="43" customFormat="1" ht="15.5">
      <c r="A6" s="201" t="s">
        <v>450</v>
      </c>
      <c r="B6" s="198">
        <v>22334338.59</v>
      </c>
      <c r="C6" s="198">
        <v>26177768.739499994</v>
      </c>
      <c r="D6" s="198">
        <v>28175648.489999998</v>
      </c>
      <c r="E6" s="198">
        <v>45271831</v>
      </c>
      <c r="F6" s="198">
        <v>61846889</v>
      </c>
      <c r="G6" s="198">
        <v>53165835</v>
      </c>
      <c r="H6" s="198">
        <f>21326284.81+28698481.39</f>
        <v>50024766.200000003</v>
      </c>
      <c r="I6" s="198">
        <f>14595131.65+30551147.2</f>
        <v>45146278.850000001</v>
      </c>
      <c r="J6" s="199">
        <v>32202008.149999999</v>
      </c>
      <c r="K6" s="199">
        <v>31490426.289999999</v>
      </c>
      <c r="L6" s="199">
        <v>34872455</v>
      </c>
      <c r="M6" s="199">
        <v>36978108</v>
      </c>
      <c r="N6" s="199">
        <v>41775457</v>
      </c>
      <c r="O6" s="199">
        <v>55046556</v>
      </c>
      <c r="P6" s="199">
        <v>46496391.919999979</v>
      </c>
      <c r="Q6" s="200">
        <v>32965520.000000007</v>
      </c>
      <c r="R6" s="200">
        <v>35565449</v>
      </c>
      <c r="S6" s="200">
        <v>41181958</v>
      </c>
      <c r="T6" s="48">
        <f>S6</f>
        <v>41181958</v>
      </c>
    </row>
    <row r="7" spans="1:20" s="49" customFormat="1" ht="14.5">
      <c r="A7" s="202" t="s">
        <v>406</v>
      </c>
      <c r="B7" s="203">
        <f t="shared" ref="B7:E7" si="0">SUM(B3:B6)</f>
        <v>45645723.640100002</v>
      </c>
      <c r="C7" s="203">
        <f t="shared" si="0"/>
        <v>47937979.500499994</v>
      </c>
      <c r="D7" s="203">
        <f t="shared" si="0"/>
        <v>48924479.740000002</v>
      </c>
      <c r="E7" s="203">
        <f t="shared" si="0"/>
        <v>71471991</v>
      </c>
      <c r="F7" s="203">
        <f t="shared" ref="F7:P7" si="1">SUM(F3:F6)</f>
        <v>88714245</v>
      </c>
      <c r="G7" s="203">
        <f t="shared" si="1"/>
        <v>83436132</v>
      </c>
      <c r="H7" s="203">
        <f t="shared" si="1"/>
        <v>78476600.010000005</v>
      </c>
      <c r="I7" s="203">
        <f t="shared" si="1"/>
        <v>73888765.49000001</v>
      </c>
      <c r="J7" s="204">
        <f t="shared" si="1"/>
        <v>61149290.439999998</v>
      </c>
      <c r="K7" s="204">
        <f t="shared" si="1"/>
        <v>60791517.400000006</v>
      </c>
      <c r="L7" s="204">
        <f t="shared" ref="L7" si="2">SUM(L3:L6)</f>
        <v>64822265</v>
      </c>
      <c r="M7" s="204">
        <f t="shared" ref="M7" si="3">SUM(M3:M6)</f>
        <v>69009159</v>
      </c>
      <c r="N7" s="204">
        <f t="shared" ref="N7" si="4">SUM(N3:N6)</f>
        <v>71963414</v>
      </c>
      <c r="O7" s="204">
        <f t="shared" ref="O7" si="5">SUM(O3:O6)</f>
        <v>84236850</v>
      </c>
      <c r="P7" s="204">
        <f t="shared" si="1"/>
        <v>71442985.799999982</v>
      </c>
      <c r="Q7" s="205">
        <f>SUM(Q3:Q6)</f>
        <v>56084179.960000008</v>
      </c>
      <c r="R7" s="205">
        <f>SUM(R3:R6)</f>
        <v>57520170</v>
      </c>
      <c r="S7" s="205">
        <f>SUM(S3:S6)</f>
        <v>66882876</v>
      </c>
    </row>
    <row r="8" spans="1:20" s="43" customFormat="1" ht="15.5">
      <c r="A8" s="46"/>
      <c r="B8" s="50"/>
      <c r="C8" s="46"/>
      <c r="D8" s="50"/>
      <c r="E8" s="46"/>
      <c r="F8" s="46"/>
    </row>
    <row r="9" spans="1:20" ht="16.5" thickBot="1">
      <c r="A9" s="372" t="s">
        <v>0</v>
      </c>
      <c r="B9" s="376"/>
      <c r="C9" s="376"/>
      <c r="D9" s="376"/>
      <c r="E9" s="376"/>
      <c r="F9" s="376"/>
      <c r="G9" s="376"/>
      <c r="H9" s="376"/>
      <c r="I9" s="376"/>
      <c r="J9" s="193"/>
      <c r="K9" s="193"/>
      <c r="L9" s="193"/>
      <c r="M9" s="193"/>
      <c r="N9" s="193"/>
      <c r="O9" s="193"/>
      <c r="P9" s="193"/>
      <c r="Q9" s="193"/>
      <c r="R9" s="193"/>
      <c r="S9" s="193"/>
      <c r="T9" s="168"/>
    </row>
    <row r="10" spans="1:20" ht="16.5" thickTop="1">
      <c r="A10" s="377" t="s">
        <v>262</v>
      </c>
      <c r="B10" s="377"/>
      <c r="C10" s="377"/>
      <c r="D10" s="377"/>
      <c r="E10" s="377"/>
      <c r="F10" s="377"/>
      <c r="G10" s="377"/>
      <c r="H10" s="377"/>
      <c r="I10" s="377"/>
      <c r="J10" s="377"/>
      <c r="K10" s="377"/>
      <c r="L10" s="377"/>
      <c r="M10" s="377"/>
      <c r="N10" s="377"/>
      <c r="O10" s="377"/>
      <c r="P10" s="377"/>
      <c r="Q10" s="377"/>
      <c r="R10" s="377"/>
      <c r="S10" s="377"/>
    </row>
    <row r="11" spans="1:20" s="30" customFormat="1" ht="16">
      <c r="A11" s="459" t="s">
        <v>375</v>
      </c>
      <c r="B11" s="459"/>
      <c r="C11" s="459"/>
      <c r="D11" s="459"/>
      <c r="E11" s="459"/>
      <c r="F11" s="459"/>
      <c r="G11" s="459"/>
      <c r="H11" s="459"/>
      <c r="I11" s="459"/>
      <c r="J11" s="459"/>
      <c r="K11" s="459"/>
      <c r="L11" s="459"/>
      <c r="M11" s="459"/>
      <c r="N11" s="459"/>
      <c r="O11" s="459"/>
      <c r="P11" s="459"/>
      <c r="Q11" s="459"/>
      <c r="R11" s="459"/>
      <c r="S11" s="459"/>
    </row>
    <row r="12" spans="1:20" s="30" customFormat="1" ht="16">
      <c r="A12" s="442" t="s">
        <v>447</v>
      </c>
      <c r="B12" s="437"/>
      <c r="C12" s="437"/>
      <c r="D12" s="437"/>
      <c r="E12" s="437"/>
      <c r="F12" s="437"/>
      <c r="G12" s="437"/>
      <c r="H12" s="437"/>
      <c r="I12" s="437"/>
      <c r="J12" s="437"/>
      <c r="K12" s="437"/>
      <c r="L12" s="437"/>
      <c r="M12" s="437"/>
      <c r="N12" s="437"/>
      <c r="O12" s="437"/>
      <c r="P12" s="437"/>
      <c r="Q12" s="437"/>
      <c r="R12" s="437"/>
      <c r="S12" s="437"/>
    </row>
    <row r="13" spans="1:20" s="30" customFormat="1" ht="16">
      <c r="A13" s="442" t="s">
        <v>448</v>
      </c>
      <c r="B13" s="437"/>
      <c r="C13" s="437"/>
      <c r="D13" s="437"/>
      <c r="E13" s="437"/>
      <c r="F13" s="437"/>
      <c r="G13" s="437"/>
      <c r="H13" s="437"/>
      <c r="I13" s="437"/>
      <c r="J13" s="437"/>
      <c r="K13" s="437"/>
      <c r="L13" s="437"/>
      <c r="M13" s="437"/>
      <c r="N13" s="437"/>
      <c r="O13" s="437"/>
      <c r="P13" s="437"/>
      <c r="Q13" s="437"/>
      <c r="R13" s="437"/>
      <c r="S13" s="437"/>
    </row>
    <row r="14" spans="1:20" ht="15.5">
      <c r="A14" s="54"/>
      <c r="B14" s="54"/>
      <c r="C14" s="54"/>
      <c r="D14" s="54"/>
      <c r="E14" s="54"/>
      <c r="F14" s="54"/>
      <c r="G14" s="54"/>
      <c r="H14" s="54"/>
      <c r="I14" s="54"/>
      <c r="J14" s="54"/>
      <c r="K14" s="54"/>
      <c r="L14" s="54"/>
      <c r="M14" s="54"/>
      <c r="N14" s="54"/>
      <c r="O14" s="54"/>
      <c r="P14" s="54"/>
      <c r="Q14" s="54"/>
      <c r="R14" s="54"/>
      <c r="S14" s="54"/>
    </row>
    <row r="15" spans="1:20" ht="15.5">
      <c r="A15" s="55"/>
      <c r="B15" s="55"/>
      <c r="C15" s="55"/>
      <c r="D15" s="55"/>
      <c r="E15" s="55"/>
      <c r="F15" s="55"/>
      <c r="G15" s="55"/>
      <c r="H15" s="55"/>
      <c r="I15" s="55"/>
      <c r="J15" s="55"/>
      <c r="K15" s="55"/>
      <c r="L15" s="55"/>
      <c r="M15" s="55"/>
    </row>
    <row r="16" spans="1:20">
      <c r="A16" s="58"/>
    </row>
  </sheetData>
  <mergeCells count="1">
    <mergeCell ref="A11:S11"/>
  </mergeCells>
  <pageMargins left="0.41" right="0.39" top="0.55000000000000004" bottom="0.27" header="0.16" footer="0.16"/>
  <pageSetup scale="98" orientation="landscape" r:id="rId1"/>
  <headerFooter alignWithMargins="0"/>
  <ignoredErrors>
    <ignoredError sqref="S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S13"/>
  <sheetViews>
    <sheetView zoomScale="115" zoomScaleNormal="115" workbookViewId="0">
      <selection activeCell="A2" sqref="A2:O9"/>
    </sheetView>
  </sheetViews>
  <sheetFormatPr defaultColWidth="9.1796875" defaultRowHeight="14.5"/>
  <cols>
    <col min="1" max="1" width="22.26953125" style="95" customWidth="1"/>
    <col min="2" max="2" width="13.81640625" style="96" hidden="1" customWidth="1"/>
    <col min="3" max="4" width="12.7265625" style="96" hidden="1" customWidth="1"/>
    <col min="5" max="5" width="14.7265625" style="96" hidden="1" customWidth="1"/>
    <col min="6" max="15" width="14.7265625" style="95" customWidth="1"/>
    <col min="16" max="16" width="13.1796875" style="97" bestFit="1" customWidth="1"/>
    <col min="17" max="22" width="15" style="95" customWidth="1"/>
    <col min="23" max="16384" width="9.1796875" style="95"/>
  </cols>
  <sheetData>
    <row r="1" spans="1:19" ht="18.5">
      <c r="A1" s="220" t="s">
        <v>345</v>
      </c>
      <c r="B1" s="94"/>
      <c r="C1" s="94"/>
      <c r="D1" s="94"/>
      <c r="E1" s="94"/>
    </row>
    <row r="2" spans="1:19" ht="26.25" customHeight="1">
      <c r="A2" s="412" t="s">
        <v>429</v>
      </c>
      <c r="B2" s="412">
        <v>2011</v>
      </c>
      <c r="C2" s="412">
        <v>2012</v>
      </c>
      <c r="D2" s="412">
        <v>2013</v>
      </c>
      <c r="E2" s="412">
        <v>2014</v>
      </c>
      <c r="F2" s="412">
        <v>2015</v>
      </c>
      <c r="G2" s="412">
        <v>2016</v>
      </c>
      <c r="H2" s="412">
        <v>2017</v>
      </c>
      <c r="I2" s="412">
        <v>2018</v>
      </c>
      <c r="J2" s="412">
        <v>2019</v>
      </c>
      <c r="K2" s="412">
        <v>2020</v>
      </c>
      <c r="L2" s="412">
        <v>2021</v>
      </c>
      <c r="M2" s="412">
        <v>2022</v>
      </c>
      <c r="N2" s="412">
        <v>2023</v>
      </c>
      <c r="O2" s="412">
        <v>2024</v>
      </c>
      <c r="P2" s="97" t="s">
        <v>221</v>
      </c>
    </row>
    <row r="3" spans="1:19">
      <c r="A3" s="421" t="s">
        <v>21</v>
      </c>
      <c r="B3" s="422">
        <v>22583162.569999997</v>
      </c>
      <c r="C3" s="422">
        <v>25176585</v>
      </c>
      <c r="D3" s="422">
        <v>23588530</v>
      </c>
      <c r="E3" s="422">
        <v>24046105.84</v>
      </c>
      <c r="F3" s="416">
        <v>24079654.359999999</v>
      </c>
      <c r="G3" s="416">
        <v>24391057</v>
      </c>
      <c r="H3" s="416">
        <v>24937523.870000001</v>
      </c>
      <c r="I3" s="416">
        <v>24832549</v>
      </c>
      <c r="J3" s="416">
        <v>25205995</v>
      </c>
      <c r="K3" s="416">
        <v>24309066</v>
      </c>
      <c r="L3" s="416">
        <v>19198616.70000001</v>
      </c>
      <c r="M3" s="416">
        <v>17819580.389999993</v>
      </c>
      <c r="N3" s="416">
        <v>16257630</v>
      </c>
      <c r="O3" s="423">
        <v>19689425.510000002</v>
      </c>
      <c r="P3" s="98">
        <f t="shared" ref="P3:P8" si="0">O3</f>
        <v>19689425.510000002</v>
      </c>
    </row>
    <row r="4" spans="1:19">
      <c r="A4" s="421" t="s">
        <v>20</v>
      </c>
      <c r="B4" s="422">
        <v>15426001.169800008</v>
      </c>
      <c r="C4" s="422">
        <v>13469530</v>
      </c>
      <c r="D4" s="422">
        <v>12969684.76</v>
      </c>
      <c r="E4" s="422">
        <v>13133027.810000001</v>
      </c>
      <c r="F4" s="416">
        <v>13434942.029999999</v>
      </c>
      <c r="G4" s="416">
        <v>13332983</v>
      </c>
      <c r="H4" s="416">
        <v>13236006.130000001</v>
      </c>
      <c r="I4" s="416">
        <v>12924874</v>
      </c>
      <c r="J4" s="416">
        <v>12760509</v>
      </c>
      <c r="K4" s="416">
        <v>13399643</v>
      </c>
      <c r="L4" s="416">
        <v>12887138.150000002</v>
      </c>
      <c r="M4" s="416">
        <v>11601221.219999997</v>
      </c>
      <c r="N4" s="416">
        <v>12280652</v>
      </c>
      <c r="O4" s="423">
        <v>15103335.800000003</v>
      </c>
      <c r="P4" s="98">
        <f t="shared" si="0"/>
        <v>15103335.800000003</v>
      </c>
    </row>
    <row r="5" spans="1:19">
      <c r="A5" s="421" t="s">
        <v>19</v>
      </c>
      <c r="B5" s="422">
        <v>1763066.9299999997</v>
      </c>
      <c r="C5" s="422">
        <v>1735888</v>
      </c>
      <c r="D5" s="422">
        <v>1053093.99</v>
      </c>
      <c r="E5" s="422">
        <v>1228057.49</v>
      </c>
      <c r="F5" s="416">
        <v>1098002.8799999999</v>
      </c>
      <c r="G5" s="416">
        <v>1216118</v>
      </c>
      <c r="H5" s="416">
        <v>1407032.65</v>
      </c>
      <c r="I5" s="416">
        <v>1129180</v>
      </c>
      <c r="J5" s="416">
        <v>1041615</v>
      </c>
      <c r="K5" s="416">
        <v>985607</v>
      </c>
      <c r="L5" s="416">
        <v>665946.26000000013</v>
      </c>
      <c r="M5" s="416">
        <v>598400.15</v>
      </c>
      <c r="N5" s="416">
        <v>691462</v>
      </c>
      <c r="O5" s="423">
        <v>823650.64</v>
      </c>
      <c r="P5" s="98">
        <f t="shared" si="0"/>
        <v>823650.64</v>
      </c>
    </row>
    <row r="6" spans="1:19">
      <c r="A6" s="421" t="s">
        <v>18</v>
      </c>
      <c r="B6" s="422">
        <v>8489904.4299999997</v>
      </c>
      <c r="C6" s="422">
        <v>7982519</v>
      </c>
      <c r="D6" s="422">
        <v>7218237.5999999996</v>
      </c>
      <c r="E6" s="422">
        <v>6753429.7699999996</v>
      </c>
      <c r="F6" s="416">
        <v>8107150.2199999997</v>
      </c>
      <c r="G6" s="416">
        <v>7908829</v>
      </c>
      <c r="H6" s="416">
        <v>8864829.0299999993</v>
      </c>
      <c r="I6" s="416">
        <v>8297504</v>
      </c>
      <c r="J6" s="416">
        <v>7709131</v>
      </c>
      <c r="K6" s="416">
        <v>6683979</v>
      </c>
      <c r="L6" s="416">
        <v>6859234.2000000002</v>
      </c>
      <c r="M6" s="416">
        <v>6726409.3899999997</v>
      </c>
      <c r="N6" s="416">
        <v>8478987</v>
      </c>
      <c r="O6" s="423">
        <v>7144961</v>
      </c>
      <c r="P6" s="98">
        <f t="shared" si="0"/>
        <v>7144961</v>
      </c>
    </row>
    <row r="7" spans="1:19">
      <c r="A7" s="421" t="s">
        <v>17</v>
      </c>
      <c r="B7" s="422">
        <v>2826954.2899999996</v>
      </c>
      <c r="C7" s="422">
        <v>2212363</v>
      </c>
      <c r="D7" s="422">
        <v>2062169.76</v>
      </c>
      <c r="E7" s="422">
        <v>1991052.54</v>
      </c>
      <c r="F7" s="416">
        <v>1553864.78</v>
      </c>
      <c r="G7" s="416">
        <v>1264152</v>
      </c>
      <c r="H7" s="416">
        <v>1246514</v>
      </c>
      <c r="I7" s="416">
        <v>1213338</v>
      </c>
      <c r="J7" s="416">
        <v>1157316</v>
      </c>
      <c r="K7" s="416">
        <v>1120424</v>
      </c>
      <c r="L7" s="416">
        <v>1816845.15</v>
      </c>
      <c r="M7" s="416">
        <v>1834419.73</v>
      </c>
      <c r="N7" s="416">
        <v>1468954.4</v>
      </c>
      <c r="O7" s="423">
        <v>1868780.7100000002</v>
      </c>
      <c r="P7" s="98">
        <f t="shared" si="0"/>
        <v>1868780.7100000002</v>
      </c>
    </row>
    <row r="8" spans="1:19">
      <c r="A8" s="421" t="s">
        <v>16</v>
      </c>
      <c r="B8" s="422">
        <v>38012425.010000005</v>
      </c>
      <c r="C8" s="422">
        <v>38950340</v>
      </c>
      <c r="D8" s="422">
        <v>33161752.350000001</v>
      </c>
      <c r="E8" s="422">
        <v>33432127.379999999</v>
      </c>
      <c r="F8" s="416">
        <v>33928588.380000003</v>
      </c>
      <c r="G8" s="416">
        <v>31232673</v>
      </c>
      <c r="H8" s="416">
        <v>32458832.59</v>
      </c>
      <c r="I8" s="416">
        <v>29634970</v>
      </c>
      <c r="J8" s="416">
        <v>27360839</v>
      </c>
      <c r="K8" s="416">
        <v>25702399</v>
      </c>
      <c r="L8" s="416">
        <v>34622364.789999999</v>
      </c>
      <c r="M8" s="416">
        <v>31693375.359999999</v>
      </c>
      <c r="N8" s="416">
        <v>35899939.399999999</v>
      </c>
      <c r="O8" s="423">
        <v>31060808</v>
      </c>
      <c r="P8" s="98">
        <f t="shared" si="0"/>
        <v>31060808</v>
      </c>
    </row>
    <row r="9" spans="1:19" ht="15" thickBot="1">
      <c r="A9" s="418" t="s">
        <v>431</v>
      </c>
      <c r="B9" s="424">
        <f t="shared" ref="B9:D9" si="1">SUM(B3:B8)</f>
        <v>89101514.399800003</v>
      </c>
      <c r="C9" s="424">
        <f t="shared" si="1"/>
        <v>89527225</v>
      </c>
      <c r="D9" s="424">
        <f t="shared" si="1"/>
        <v>80053468.460000008</v>
      </c>
      <c r="E9" s="424">
        <f>SUM(E3:E8)</f>
        <v>80583800.829999998</v>
      </c>
      <c r="F9" s="419">
        <f t="shared" ref="F9:G9" si="2">SUM(F3:F8)</f>
        <v>82202202.650000006</v>
      </c>
      <c r="G9" s="419">
        <f t="shared" si="2"/>
        <v>79345812</v>
      </c>
      <c r="H9" s="419">
        <f t="shared" ref="H9:M9" si="3">SUM(H3:H8)</f>
        <v>82150738.269999996</v>
      </c>
      <c r="I9" s="419">
        <f t="shared" si="3"/>
        <v>78032415</v>
      </c>
      <c r="J9" s="419">
        <f t="shared" si="3"/>
        <v>75235405</v>
      </c>
      <c r="K9" s="419">
        <f t="shared" si="3"/>
        <v>72201118</v>
      </c>
      <c r="L9" s="419">
        <f t="shared" si="3"/>
        <v>76050145.250000015</v>
      </c>
      <c r="M9" s="419">
        <f t="shared" si="3"/>
        <v>70273406.23999998</v>
      </c>
      <c r="N9" s="419">
        <f t="shared" ref="N9" si="4">SUM(N3:N8)</f>
        <v>75077624.799999997</v>
      </c>
      <c r="O9" s="419">
        <f>SUM(O3:O8)</f>
        <v>75690961.659999996</v>
      </c>
    </row>
    <row r="10" spans="1:19" ht="15" thickTop="1"/>
    <row r="11" spans="1:19" ht="16">
      <c r="A11" s="372" t="s">
        <v>0</v>
      </c>
      <c r="B11" s="373"/>
      <c r="C11" s="373"/>
      <c r="D11" s="373"/>
      <c r="E11" s="373"/>
      <c r="F11" s="374"/>
      <c r="G11" s="374"/>
      <c r="H11" s="374"/>
      <c r="I11" s="374"/>
      <c r="J11" s="374"/>
      <c r="K11" s="374"/>
      <c r="L11" s="374"/>
      <c r="M11" s="374"/>
      <c r="N11" s="374"/>
      <c r="O11" s="374"/>
      <c r="P11" s="375"/>
      <c r="Q11" s="374"/>
      <c r="R11" s="374"/>
      <c r="S11" s="374"/>
    </row>
    <row r="12" spans="1:19" ht="16">
      <c r="A12" s="374" t="s">
        <v>262</v>
      </c>
      <c r="B12" s="374"/>
      <c r="C12" s="374"/>
      <c r="D12" s="374"/>
      <c r="E12" s="374"/>
      <c r="F12" s="374"/>
      <c r="G12" s="374"/>
      <c r="H12" s="374"/>
      <c r="I12" s="374"/>
      <c r="J12" s="374"/>
      <c r="K12" s="374"/>
      <c r="L12" s="374"/>
      <c r="M12" s="374"/>
      <c r="N12" s="374"/>
      <c r="O12" s="374"/>
      <c r="P12" s="375"/>
      <c r="Q12" s="374"/>
      <c r="R12" s="374"/>
      <c r="S12" s="374"/>
    </row>
    <row r="13" spans="1:19" s="30" customFormat="1" ht="16">
      <c r="A13" s="459" t="s">
        <v>375</v>
      </c>
      <c r="B13" s="459"/>
      <c r="C13" s="459"/>
      <c r="D13" s="459"/>
      <c r="E13" s="459"/>
      <c r="F13" s="459"/>
      <c r="G13" s="459"/>
      <c r="H13" s="459"/>
      <c r="I13" s="459"/>
      <c r="J13" s="459"/>
      <c r="K13" s="459"/>
      <c r="L13" s="459"/>
      <c r="M13" s="459"/>
      <c r="N13" s="459"/>
      <c r="O13" s="459"/>
      <c r="P13" s="459"/>
      <c r="Q13" s="459"/>
      <c r="R13" s="459"/>
      <c r="S13" s="459"/>
    </row>
  </sheetData>
  <mergeCells count="1">
    <mergeCell ref="A13:S13"/>
  </mergeCells>
  <pageMargins left="0.7" right="0.7" top="0.75" bottom="0.75" header="0.3" footer="0.3"/>
  <pageSetup scale="9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T74"/>
  <sheetViews>
    <sheetView zoomScale="115" zoomScaleNormal="115" workbookViewId="0">
      <pane ySplit="2" topLeftCell="A3" activePane="bottomLeft" state="frozen"/>
      <selection pane="bottomLeft" activeCell="A2" sqref="A2:S15"/>
    </sheetView>
  </sheetViews>
  <sheetFormatPr defaultColWidth="9.1796875" defaultRowHeight="14.5"/>
  <cols>
    <col min="1" max="1" width="27.81640625" style="81" customWidth="1"/>
    <col min="2" max="2" width="13.26953125" style="80" hidden="1" customWidth="1"/>
    <col min="3" max="3" width="14.54296875" style="79" hidden="1" customWidth="1"/>
    <col min="4" max="5" width="14.54296875" style="80" hidden="1" customWidth="1"/>
    <col min="6" max="6" width="12.1796875" style="80" hidden="1" customWidth="1"/>
    <col min="7" max="7" width="12.1796875" style="81" hidden="1" customWidth="1"/>
    <col min="8" max="8" width="12.54296875" style="81" hidden="1" customWidth="1"/>
    <col min="9" max="9" width="0.7265625" style="81" hidden="1" customWidth="1"/>
    <col min="10" max="19" width="16.1796875" style="81" customWidth="1"/>
    <col min="20" max="20" width="13.26953125" style="81" bestFit="1" customWidth="1"/>
    <col min="21" max="21" width="11.26953125" style="81" bestFit="1" customWidth="1"/>
    <col min="22" max="25" width="9.1796875" style="81"/>
    <col min="26" max="26" width="10.1796875" style="81" bestFit="1" customWidth="1"/>
    <col min="27" max="16384" width="9.1796875" style="81"/>
  </cols>
  <sheetData>
    <row r="1" spans="1:20" ht="18.5">
      <c r="A1" s="218" t="s">
        <v>388</v>
      </c>
      <c r="B1" s="78"/>
      <c r="G1" s="79"/>
      <c r="H1" s="79"/>
      <c r="I1" s="79"/>
      <c r="J1" s="79"/>
      <c r="K1" s="79"/>
    </row>
    <row r="2" spans="1:20" ht="27" customHeight="1">
      <c r="A2" s="412" t="s">
        <v>432</v>
      </c>
      <c r="B2" s="425">
        <v>2007</v>
      </c>
      <c r="C2" s="425">
        <v>2008</v>
      </c>
      <c r="D2" s="425">
        <v>2009</v>
      </c>
      <c r="E2" s="425">
        <v>2010</v>
      </c>
      <c r="F2" s="425">
        <v>2011</v>
      </c>
      <c r="G2" s="425">
        <v>2012</v>
      </c>
      <c r="H2" s="425">
        <v>2013</v>
      </c>
      <c r="I2" s="425">
        <v>2014</v>
      </c>
      <c r="J2" s="425">
        <v>2015</v>
      </c>
      <c r="K2" s="425">
        <v>2016</v>
      </c>
      <c r="L2" s="425">
        <v>2017</v>
      </c>
      <c r="M2" s="425">
        <v>2018</v>
      </c>
      <c r="N2" s="425">
        <v>2019</v>
      </c>
      <c r="O2" s="425">
        <v>2020</v>
      </c>
      <c r="P2" s="425">
        <v>2021</v>
      </c>
      <c r="Q2" s="425">
        <v>2022</v>
      </c>
      <c r="R2" s="426">
        <v>2023</v>
      </c>
      <c r="S2" s="426">
        <v>2024</v>
      </c>
      <c r="T2" s="44" t="s">
        <v>45</v>
      </c>
    </row>
    <row r="3" spans="1:20">
      <c r="A3" s="427" t="s">
        <v>112</v>
      </c>
      <c r="B3" s="244">
        <v>9489801.4999999963</v>
      </c>
      <c r="C3" s="244">
        <v>9336015</v>
      </c>
      <c r="D3" s="244">
        <v>10063271</v>
      </c>
      <c r="E3" s="244">
        <v>12243309</v>
      </c>
      <c r="F3" s="244">
        <v>13045831</v>
      </c>
      <c r="G3" s="244">
        <v>13498753.4</v>
      </c>
      <c r="H3" s="244">
        <v>13359733.73</v>
      </c>
      <c r="I3" s="428">
        <v>14630130</v>
      </c>
      <c r="J3" s="416">
        <v>16928838.199999999</v>
      </c>
      <c r="K3" s="416">
        <v>17898141</v>
      </c>
      <c r="L3" s="416">
        <v>15136556</v>
      </c>
      <c r="M3" s="416">
        <v>15971140</v>
      </c>
      <c r="N3" s="416">
        <v>15606694</v>
      </c>
      <c r="O3" s="416">
        <v>14608802</v>
      </c>
      <c r="P3" s="416">
        <v>16159299</v>
      </c>
      <c r="Q3" s="416">
        <v>16363367</v>
      </c>
      <c r="R3" s="429">
        <v>17881467</v>
      </c>
      <c r="S3" s="429">
        <v>15951330.340000255</v>
      </c>
      <c r="T3" s="63">
        <f t="shared" ref="T3:T14" si="0">S3</f>
        <v>15951330.340000255</v>
      </c>
    </row>
    <row r="4" spans="1:20">
      <c r="A4" s="427" t="s">
        <v>113</v>
      </c>
      <c r="B4" s="244">
        <v>7340355.379999998</v>
      </c>
      <c r="C4" s="244">
        <v>9192920</v>
      </c>
      <c r="D4" s="244">
        <v>18334391</v>
      </c>
      <c r="E4" s="244">
        <v>26543346</v>
      </c>
      <c r="F4" s="244">
        <v>52343560</v>
      </c>
      <c r="G4" s="244">
        <v>51216105.399999999</v>
      </c>
      <c r="H4" s="244">
        <v>36245776.280000001</v>
      </c>
      <c r="I4" s="428">
        <v>26801554</v>
      </c>
      <c r="J4" s="416">
        <v>28292736.699999999</v>
      </c>
      <c r="K4" s="416">
        <v>27088878</v>
      </c>
      <c r="L4" s="416">
        <v>23417021</v>
      </c>
      <c r="M4" s="416">
        <v>26971498</v>
      </c>
      <c r="N4" s="416">
        <v>20213837</v>
      </c>
      <c r="O4" s="416">
        <v>20804476</v>
      </c>
      <c r="P4" s="416">
        <v>21214325</v>
      </c>
      <c r="Q4" s="416">
        <v>24031847</v>
      </c>
      <c r="R4" s="429">
        <v>24480271</v>
      </c>
      <c r="S4" s="429">
        <v>29962652.160001818</v>
      </c>
      <c r="T4" s="63">
        <f t="shared" si="0"/>
        <v>29962652.160001818</v>
      </c>
    </row>
    <row r="5" spans="1:20">
      <c r="A5" s="427" t="s">
        <v>114</v>
      </c>
      <c r="B5" s="244">
        <v>4993259.890000008</v>
      </c>
      <c r="C5" s="244">
        <v>8354049</v>
      </c>
      <c r="D5" s="244">
        <v>13046970</v>
      </c>
      <c r="E5" s="244">
        <v>16165914</v>
      </c>
      <c r="F5" s="244">
        <v>19962308</v>
      </c>
      <c r="G5" s="244">
        <v>13560427.4</v>
      </c>
      <c r="H5" s="244">
        <v>14326142.01</v>
      </c>
      <c r="I5" s="428">
        <v>10014903</v>
      </c>
      <c r="J5" s="416">
        <v>11744583.01</v>
      </c>
      <c r="K5" s="416">
        <v>9724087</v>
      </c>
      <c r="L5" s="416">
        <v>11247539</v>
      </c>
      <c r="M5" s="416">
        <v>12057261</v>
      </c>
      <c r="N5" s="416">
        <v>11349981</v>
      </c>
      <c r="O5" s="416">
        <v>9721637</v>
      </c>
      <c r="P5" s="416">
        <v>8473674</v>
      </c>
      <c r="Q5" s="416">
        <v>9145874</v>
      </c>
      <c r="R5" s="429">
        <v>9043472</v>
      </c>
      <c r="S5" s="429">
        <v>14071239.960000126</v>
      </c>
      <c r="T5" s="63">
        <f t="shared" si="0"/>
        <v>14071239.960000126</v>
      </c>
    </row>
    <row r="6" spans="1:20">
      <c r="A6" s="427" t="s">
        <v>115</v>
      </c>
      <c r="B6" s="244">
        <v>28768911.599999998</v>
      </c>
      <c r="C6" s="244">
        <v>37188905</v>
      </c>
      <c r="D6" s="244">
        <v>42706871</v>
      </c>
      <c r="E6" s="244">
        <v>50405309</v>
      </c>
      <c r="F6" s="244">
        <v>59165613</v>
      </c>
      <c r="G6" s="244">
        <v>61637074.399999999</v>
      </c>
      <c r="H6" s="244">
        <v>61223676.229999997</v>
      </c>
      <c r="I6" s="428">
        <v>57654085</v>
      </c>
      <c r="J6" s="416">
        <v>67777655.400000006</v>
      </c>
      <c r="K6" s="416">
        <v>62214559</v>
      </c>
      <c r="L6" s="416">
        <v>62987617</v>
      </c>
      <c r="M6" s="416">
        <v>62147342</v>
      </c>
      <c r="N6" s="416">
        <v>70886382</v>
      </c>
      <c r="O6" s="416">
        <v>76390650</v>
      </c>
      <c r="P6" s="416">
        <v>73068145</v>
      </c>
      <c r="Q6" s="416">
        <v>56916562</v>
      </c>
      <c r="R6" s="429">
        <v>59742388</v>
      </c>
      <c r="S6" s="429">
        <v>58767994.209994927</v>
      </c>
      <c r="T6" s="63">
        <f t="shared" si="0"/>
        <v>58767994.209994927</v>
      </c>
    </row>
    <row r="7" spans="1:20">
      <c r="A7" s="427" t="s">
        <v>116</v>
      </c>
      <c r="B7" s="244">
        <v>5229671.92</v>
      </c>
      <c r="C7" s="244">
        <v>6075054</v>
      </c>
      <c r="D7" s="244">
        <v>8056193</v>
      </c>
      <c r="E7" s="244">
        <v>6848834</v>
      </c>
      <c r="F7" s="244">
        <v>9469437</v>
      </c>
      <c r="G7" s="244">
        <v>11109892</v>
      </c>
      <c r="H7" s="244">
        <v>15336657.32</v>
      </c>
      <c r="I7" s="428">
        <v>10819987</v>
      </c>
      <c r="J7" s="416">
        <v>11165031.380000001</v>
      </c>
      <c r="K7" s="416">
        <v>11471831</v>
      </c>
      <c r="L7" s="416">
        <v>10425322</v>
      </c>
      <c r="M7" s="416">
        <v>8368864</v>
      </c>
      <c r="N7" s="416">
        <v>6959520</v>
      </c>
      <c r="O7" s="416">
        <v>7170541</v>
      </c>
      <c r="P7" s="416">
        <v>8523017</v>
      </c>
      <c r="Q7" s="416">
        <v>8902998</v>
      </c>
      <c r="R7" s="429">
        <v>10043924</v>
      </c>
      <c r="S7" s="429">
        <v>12345408.710000053</v>
      </c>
      <c r="T7" s="63">
        <f t="shared" si="0"/>
        <v>12345408.710000053</v>
      </c>
    </row>
    <row r="8" spans="1:20">
      <c r="A8" s="427" t="s">
        <v>117</v>
      </c>
      <c r="B8" s="244">
        <v>25281128.979999978</v>
      </c>
      <c r="C8" s="244">
        <v>14497055</v>
      </c>
      <c r="D8" s="244">
        <v>12350282</v>
      </c>
      <c r="E8" s="244">
        <v>15702284</v>
      </c>
      <c r="F8" s="244">
        <v>17198718</v>
      </c>
      <c r="G8" s="244">
        <v>19784368</v>
      </c>
      <c r="H8" s="244">
        <v>16144887.76</v>
      </c>
      <c r="I8" s="428">
        <v>17769309</v>
      </c>
      <c r="J8" s="416">
        <v>17220237.800000001</v>
      </c>
      <c r="K8" s="416">
        <v>17995494</v>
      </c>
      <c r="L8" s="416">
        <v>20182310</v>
      </c>
      <c r="M8" s="416">
        <v>21730080</v>
      </c>
      <c r="N8" s="416">
        <v>19057687</v>
      </c>
      <c r="O8" s="416">
        <v>18810502</v>
      </c>
      <c r="P8" s="416">
        <v>18159996</v>
      </c>
      <c r="Q8" s="416">
        <v>19295483</v>
      </c>
      <c r="R8" s="429">
        <v>22593290</v>
      </c>
      <c r="S8" s="429">
        <v>22735741.559999209</v>
      </c>
      <c r="T8" s="63">
        <f t="shared" si="0"/>
        <v>22735741.559999209</v>
      </c>
    </row>
    <row r="9" spans="1:20">
      <c r="A9" s="427" t="s">
        <v>118</v>
      </c>
      <c r="B9" s="244">
        <v>13533874.44999999</v>
      </c>
      <c r="C9" s="244">
        <v>14744699</v>
      </c>
      <c r="D9" s="244">
        <v>11181219</v>
      </c>
      <c r="E9" s="244">
        <v>15259843</v>
      </c>
      <c r="F9" s="244">
        <v>41609286</v>
      </c>
      <c r="G9" s="244">
        <v>33899854</v>
      </c>
      <c r="H9" s="244">
        <v>44562895.789999999</v>
      </c>
      <c r="I9" s="428">
        <v>13867496</v>
      </c>
      <c r="J9" s="416">
        <v>39453337.270000003</v>
      </c>
      <c r="K9" s="416">
        <v>40819289</v>
      </c>
      <c r="L9" s="416">
        <v>32446965</v>
      </c>
      <c r="M9" s="416">
        <v>31737631</v>
      </c>
      <c r="N9" s="416">
        <v>33544646</v>
      </c>
      <c r="O9" s="416">
        <v>37143967</v>
      </c>
      <c r="P9" s="416">
        <v>36056424</v>
      </c>
      <c r="Q9" s="416">
        <v>35020064</v>
      </c>
      <c r="R9" s="429">
        <v>36378950.399999999</v>
      </c>
      <c r="S9" s="429">
        <v>17784585.959999945</v>
      </c>
      <c r="T9" s="63">
        <f t="shared" si="0"/>
        <v>17784585.959999945</v>
      </c>
    </row>
    <row r="10" spans="1:20">
      <c r="A10" s="427" t="s">
        <v>119</v>
      </c>
      <c r="B10" s="244">
        <v>1782913.18</v>
      </c>
      <c r="C10" s="244">
        <v>6659039</v>
      </c>
      <c r="D10" s="244">
        <v>3299192</v>
      </c>
      <c r="E10" s="244">
        <v>5224071</v>
      </c>
      <c r="F10" s="244">
        <v>4433754</v>
      </c>
      <c r="G10" s="244">
        <v>13235463</v>
      </c>
      <c r="H10" s="244">
        <v>3315759.24</v>
      </c>
      <c r="I10" s="428">
        <v>3817058</v>
      </c>
      <c r="J10" s="416">
        <v>4600725.0999999996</v>
      </c>
      <c r="K10" s="416">
        <v>4520947</v>
      </c>
      <c r="L10" s="416">
        <v>4516591</v>
      </c>
      <c r="M10" s="416">
        <v>4527680</v>
      </c>
      <c r="N10" s="416">
        <v>4404430</v>
      </c>
      <c r="O10" s="416">
        <v>4131290</v>
      </c>
      <c r="P10" s="416">
        <v>4194736</v>
      </c>
      <c r="Q10" s="416">
        <v>4046768</v>
      </c>
      <c r="R10" s="429">
        <v>4921664</v>
      </c>
      <c r="S10" s="429">
        <v>12291468.809999967</v>
      </c>
      <c r="T10" s="63">
        <f t="shared" si="0"/>
        <v>12291468.809999967</v>
      </c>
    </row>
    <row r="11" spans="1:20">
      <c r="A11" s="413" t="s">
        <v>120</v>
      </c>
      <c r="B11" s="244">
        <v>9497889.2199999988</v>
      </c>
      <c r="C11" s="244">
        <v>11347198</v>
      </c>
      <c r="D11" s="244">
        <v>21341820</v>
      </c>
      <c r="E11" s="244">
        <v>11427897</v>
      </c>
      <c r="F11" s="244">
        <v>24894377</v>
      </c>
      <c r="G11" s="244">
        <v>22160067</v>
      </c>
      <c r="H11" s="244">
        <v>20849802.890000001</v>
      </c>
      <c r="I11" s="428">
        <v>29293225</v>
      </c>
      <c r="J11" s="416">
        <v>19225549.199999999</v>
      </c>
      <c r="K11" s="416">
        <v>21252149</v>
      </c>
      <c r="L11" s="416">
        <v>15238992</v>
      </c>
      <c r="M11" s="416">
        <v>35985026</v>
      </c>
      <c r="N11" s="416">
        <v>14029481</v>
      </c>
      <c r="O11" s="416">
        <v>19968805</v>
      </c>
      <c r="P11" s="416">
        <v>24062705</v>
      </c>
      <c r="Q11" s="416">
        <v>22552874</v>
      </c>
      <c r="R11" s="429">
        <v>16612757</v>
      </c>
      <c r="S11" s="429">
        <v>19422111.459999982</v>
      </c>
      <c r="T11" s="63">
        <f t="shared" si="0"/>
        <v>19422111.459999982</v>
      </c>
    </row>
    <row r="12" spans="1:20">
      <c r="A12" s="427" t="s">
        <v>121</v>
      </c>
      <c r="B12" s="244">
        <v>16791815.219999991</v>
      </c>
      <c r="C12" s="244">
        <v>19398012</v>
      </c>
      <c r="D12" s="244">
        <v>21934884</v>
      </c>
      <c r="E12" s="244">
        <v>22917641</v>
      </c>
      <c r="F12" s="244">
        <v>28149960</v>
      </c>
      <c r="G12" s="244">
        <v>30311321</v>
      </c>
      <c r="H12" s="244">
        <v>28453558.780000001</v>
      </c>
      <c r="I12" s="428">
        <v>28224756</v>
      </c>
      <c r="J12" s="416">
        <v>40285555.630000003</v>
      </c>
      <c r="K12" s="416">
        <v>29114533</v>
      </c>
      <c r="L12" s="416">
        <v>34958776</v>
      </c>
      <c r="M12" s="416">
        <v>31667229</v>
      </c>
      <c r="N12" s="416">
        <v>27353317</v>
      </c>
      <c r="O12" s="416">
        <v>25975173</v>
      </c>
      <c r="P12" s="416">
        <v>27685383</v>
      </c>
      <c r="Q12" s="416">
        <v>25268952</v>
      </c>
      <c r="R12" s="429">
        <v>27793409</v>
      </c>
      <c r="S12" s="429">
        <v>29854373.049998119</v>
      </c>
      <c r="T12" s="63">
        <f t="shared" si="0"/>
        <v>29854373.049998119</v>
      </c>
    </row>
    <row r="13" spans="1:20">
      <c r="A13" s="427" t="s">
        <v>122</v>
      </c>
      <c r="B13" s="244">
        <v>701438.96</v>
      </c>
      <c r="C13" s="244">
        <v>1184634</v>
      </c>
      <c r="D13" s="244">
        <v>1466476</v>
      </c>
      <c r="E13" s="244">
        <v>7248075</v>
      </c>
      <c r="F13" s="244">
        <v>4904675</v>
      </c>
      <c r="G13" s="244">
        <v>13213441</v>
      </c>
      <c r="H13" s="244">
        <v>10805581.939999999</v>
      </c>
      <c r="I13" s="428">
        <v>19886298</v>
      </c>
      <c r="J13" s="416">
        <v>3761184.08</v>
      </c>
      <c r="K13" s="416">
        <v>4997891</v>
      </c>
      <c r="L13" s="416">
        <v>4993296</v>
      </c>
      <c r="M13" s="416">
        <v>3449209</v>
      </c>
      <c r="N13" s="416">
        <v>5254430</v>
      </c>
      <c r="O13" s="416">
        <v>8862776</v>
      </c>
      <c r="P13" s="416">
        <v>14927618</v>
      </c>
      <c r="Q13" s="416">
        <v>4662304</v>
      </c>
      <c r="R13" s="429">
        <v>5279947</v>
      </c>
      <c r="S13" s="429">
        <v>5753889.7100000596</v>
      </c>
      <c r="T13" s="63">
        <f t="shared" si="0"/>
        <v>5753889.7100000596</v>
      </c>
    </row>
    <row r="14" spans="1:20">
      <c r="A14" s="427" t="s">
        <v>433</v>
      </c>
      <c r="B14" s="244"/>
      <c r="C14" s="244">
        <v>6167509</v>
      </c>
      <c r="D14" s="244">
        <v>7274724</v>
      </c>
      <c r="E14" s="244">
        <v>6826368</v>
      </c>
      <c r="F14" s="244">
        <v>7722192</v>
      </c>
      <c r="G14" s="244">
        <v>6872463</v>
      </c>
      <c r="H14" s="244">
        <v>4578007.34</v>
      </c>
      <c r="I14" s="428">
        <v>4892097</v>
      </c>
      <c r="J14" s="416">
        <v>5062472.42</v>
      </c>
      <c r="K14" s="416">
        <v>6828524</v>
      </c>
      <c r="L14" s="416">
        <v>5039627</v>
      </c>
      <c r="M14" s="416">
        <v>4841580</v>
      </c>
      <c r="N14" s="416">
        <v>4720582</v>
      </c>
      <c r="O14" s="416">
        <v>5039768</v>
      </c>
      <c r="P14" s="416">
        <v>4911421</v>
      </c>
      <c r="Q14" s="416">
        <v>5165002</v>
      </c>
      <c r="R14" s="429">
        <v>4484225</v>
      </c>
      <c r="S14" s="429">
        <v>3474661.96</v>
      </c>
      <c r="T14" s="63">
        <f t="shared" si="0"/>
        <v>3474661.96</v>
      </c>
    </row>
    <row r="15" spans="1:20" ht="15" thickBot="1">
      <c r="A15" s="418" t="s">
        <v>434</v>
      </c>
      <c r="B15" s="430">
        <f t="shared" ref="B15:S15" si="1">SUM(B3:B14)</f>
        <v>123411060.29999997</v>
      </c>
      <c r="C15" s="430">
        <f t="shared" si="1"/>
        <v>144145089</v>
      </c>
      <c r="D15" s="430">
        <f t="shared" si="1"/>
        <v>171056293</v>
      </c>
      <c r="E15" s="430">
        <f t="shared" si="1"/>
        <v>196812891</v>
      </c>
      <c r="F15" s="430">
        <f t="shared" si="1"/>
        <v>282899711</v>
      </c>
      <c r="G15" s="430">
        <f t="shared" si="1"/>
        <v>290499229.60000002</v>
      </c>
      <c r="H15" s="430">
        <f t="shared" si="1"/>
        <v>269202479.31</v>
      </c>
      <c r="I15" s="431">
        <f t="shared" si="1"/>
        <v>237670898</v>
      </c>
      <c r="J15" s="419">
        <f t="shared" si="1"/>
        <v>265517906.19</v>
      </c>
      <c r="K15" s="419">
        <f t="shared" si="1"/>
        <v>253926323</v>
      </c>
      <c r="L15" s="419">
        <f t="shared" si="1"/>
        <v>240590612</v>
      </c>
      <c r="M15" s="419">
        <f t="shared" si="1"/>
        <v>259454540</v>
      </c>
      <c r="N15" s="419">
        <f t="shared" si="1"/>
        <v>233380987</v>
      </c>
      <c r="O15" s="419">
        <f t="shared" si="1"/>
        <v>248628387</v>
      </c>
      <c r="P15" s="419">
        <f t="shared" si="1"/>
        <v>257436743</v>
      </c>
      <c r="Q15" s="419">
        <f t="shared" si="1"/>
        <v>231372095</v>
      </c>
      <c r="R15" s="419">
        <f t="shared" si="1"/>
        <v>239255764.40000001</v>
      </c>
      <c r="S15" s="419">
        <f t="shared" si="1"/>
        <v>242415457.8899945</v>
      </c>
      <c r="T15" s="63"/>
    </row>
    <row r="16" spans="1:20" ht="15" thickTop="1">
      <c r="A16" s="82"/>
      <c r="C16" s="80"/>
      <c r="G16" s="84"/>
      <c r="H16" s="84"/>
      <c r="I16" s="84"/>
      <c r="J16" s="84"/>
      <c r="K16" s="84"/>
    </row>
    <row r="17" spans="1:19" ht="16">
      <c r="A17" s="365" t="s">
        <v>0</v>
      </c>
      <c r="B17" s="369"/>
      <c r="C17" s="370"/>
      <c r="D17" s="369"/>
      <c r="E17" s="369"/>
      <c r="F17" s="369"/>
      <c r="G17" s="371"/>
      <c r="H17" s="371"/>
      <c r="I17" s="371"/>
      <c r="J17" s="371"/>
      <c r="K17" s="371"/>
      <c r="L17" s="371"/>
      <c r="M17" s="371"/>
      <c r="N17" s="371"/>
      <c r="O17" s="371"/>
      <c r="P17" s="371"/>
      <c r="Q17" s="371"/>
      <c r="R17" s="371"/>
      <c r="S17" s="371"/>
    </row>
    <row r="18" spans="1:19" ht="17.25" customHeight="1">
      <c r="A18" s="251" t="s">
        <v>402</v>
      </c>
      <c r="B18" s="251"/>
      <c r="C18" s="251"/>
      <c r="D18" s="251"/>
      <c r="E18" s="251"/>
      <c r="F18" s="251"/>
      <c r="G18" s="251"/>
      <c r="H18" s="251"/>
      <c r="I18" s="251"/>
      <c r="J18" s="251"/>
      <c r="K18" s="251"/>
      <c r="L18" s="251"/>
      <c r="M18" s="251"/>
      <c r="N18" s="251"/>
      <c r="O18" s="251"/>
      <c r="P18" s="251"/>
      <c r="Q18" s="371"/>
      <c r="R18" s="371"/>
      <c r="S18" s="371"/>
    </row>
    <row r="19" spans="1:19" ht="17.25" customHeight="1">
      <c r="A19" s="251" t="s">
        <v>263</v>
      </c>
      <c r="B19" s="251"/>
      <c r="C19" s="251"/>
      <c r="D19" s="251"/>
      <c r="E19" s="251"/>
      <c r="F19" s="251"/>
      <c r="G19" s="251"/>
      <c r="H19" s="251"/>
      <c r="I19" s="251"/>
      <c r="J19" s="251"/>
      <c r="K19" s="251"/>
      <c r="L19" s="251"/>
      <c r="M19" s="251"/>
      <c r="N19" s="251"/>
      <c r="O19" s="251"/>
      <c r="P19" s="251"/>
      <c r="Q19" s="371"/>
      <c r="R19" s="371"/>
      <c r="S19" s="371"/>
    </row>
    <row r="20" spans="1:19" s="30" customFormat="1" ht="30" customHeight="1">
      <c r="A20" s="459" t="s">
        <v>376</v>
      </c>
      <c r="B20" s="459"/>
      <c r="C20" s="459"/>
      <c r="D20" s="459"/>
      <c r="E20" s="459"/>
      <c r="F20" s="459"/>
      <c r="G20" s="459"/>
      <c r="H20" s="459"/>
      <c r="I20" s="459"/>
      <c r="J20" s="459"/>
      <c r="K20" s="459"/>
      <c r="L20" s="459"/>
      <c r="M20" s="459"/>
      <c r="N20" s="459"/>
      <c r="O20" s="459"/>
      <c r="P20" s="459"/>
      <c r="Q20" s="459"/>
      <c r="R20" s="459"/>
      <c r="S20" s="459"/>
    </row>
    <row r="21" spans="1:19" ht="26.25" customHeight="1">
      <c r="A21" s="86"/>
      <c r="B21" s="87"/>
      <c r="C21" s="88"/>
      <c r="D21" s="87"/>
      <c r="E21" s="87"/>
      <c r="F21" s="87"/>
      <c r="G21" s="40"/>
      <c r="H21" s="40"/>
      <c r="I21" s="40"/>
      <c r="J21" s="40"/>
      <c r="K21" s="40"/>
      <c r="L21" s="87"/>
      <c r="M21" s="82" t="s">
        <v>23</v>
      </c>
      <c r="N21" s="63">
        <f>T14</f>
        <v>3474661.96</v>
      </c>
    </row>
    <row r="22" spans="1:19" ht="17.25" customHeight="1">
      <c r="A22" s="83"/>
      <c r="B22" s="87"/>
      <c r="C22" s="88"/>
      <c r="D22" s="87"/>
      <c r="H22" s="40"/>
      <c r="I22" s="40"/>
      <c r="J22" s="40"/>
      <c r="K22" s="40"/>
      <c r="L22" s="40"/>
      <c r="M22" s="82" t="s">
        <v>119</v>
      </c>
      <c r="N22" s="63">
        <v>4921664</v>
      </c>
    </row>
    <row r="23" spans="1:19">
      <c r="M23" s="82" t="s">
        <v>122</v>
      </c>
      <c r="N23" s="63">
        <v>5279947</v>
      </c>
    </row>
    <row r="24" spans="1:19">
      <c r="M24" s="82" t="s">
        <v>114</v>
      </c>
      <c r="N24" s="63">
        <v>9043472</v>
      </c>
    </row>
    <row r="25" spans="1:19">
      <c r="M25" s="82" t="s">
        <v>116</v>
      </c>
      <c r="N25" s="63">
        <v>10043924</v>
      </c>
    </row>
    <row r="26" spans="1:19">
      <c r="B26" s="81"/>
      <c r="C26" s="81"/>
      <c r="M26" s="83" t="s">
        <v>120</v>
      </c>
      <c r="N26" s="63">
        <v>16612757</v>
      </c>
    </row>
    <row r="27" spans="1:19">
      <c r="B27" s="81"/>
      <c r="C27" s="81"/>
      <c r="M27" s="82" t="s">
        <v>112</v>
      </c>
      <c r="N27" s="63">
        <v>17881467</v>
      </c>
    </row>
    <row r="28" spans="1:19">
      <c r="B28" s="81"/>
      <c r="C28" s="81"/>
      <c r="M28" s="82" t="s">
        <v>117</v>
      </c>
      <c r="N28" s="63">
        <v>22593290</v>
      </c>
    </row>
    <row r="29" spans="1:19">
      <c r="B29" s="81"/>
      <c r="C29" s="81"/>
      <c r="M29" s="82" t="s">
        <v>113</v>
      </c>
      <c r="N29" s="63">
        <v>24480271</v>
      </c>
    </row>
    <row r="30" spans="1:19">
      <c r="B30" s="81"/>
      <c r="C30" s="81"/>
      <c r="M30" s="82" t="s">
        <v>121</v>
      </c>
      <c r="N30" s="63">
        <v>27793409</v>
      </c>
    </row>
    <row r="31" spans="1:19">
      <c r="M31" s="82" t="s">
        <v>118</v>
      </c>
      <c r="N31" s="63">
        <v>36378950.399999999</v>
      </c>
    </row>
    <row r="32" spans="1:19">
      <c r="M32" s="82" t="s">
        <v>115</v>
      </c>
      <c r="N32" s="63">
        <v>59742388</v>
      </c>
    </row>
    <row r="33" spans="5:14">
      <c r="M33" s="89"/>
    </row>
    <row r="34" spans="5:14">
      <c r="M34" s="89"/>
      <c r="N34" s="84"/>
    </row>
    <row r="35" spans="5:14">
      <c r="N35" s="84"/>
    </row>
    <row r="36" spans="5:14">
      <c r="N36" s="84"/>
    </row>
    <row r="38" spans="5:14">
      <c r="E38" s="90"/>
    </row>
    <row r="39" spans="5:14">
      <c r="E39" s="90"/>
      <c r="H39" s="91"/>
    </row>
    <row r="40" spans="5:14">
      <c r="E40" s="90"/>
      <c r="H40" s="91"/>
    </row>
    <row r="41" spans="5:14">
      <c r="E41" s="90"/>
      <c r="H41" s="91"/>
    </row>
    <row r="42" spans="5:14">
      <c r="E42" s="90"/>
      <c r="H42" s="91"/>
    </row>
    <row r="43" spans="5:14">
      <c r="E43" s="90"/>
      <c r="H43" s="91"/>
    </row>
    <row r="44" spans="5:14">
      <c r="E44" s="90"/>
    </row>
    <row r="58" spans="1:6">
      <c r="E58" s="81"/>
      <c r="F58" s="81"/>
    </row>
    <row r="59" spans="1:6">
      <c r="A59" s="82"/>
      <c r="B59" s="81"/>
      <c r="C59" s="81"/>
      <c r="D59" s="81"/>
      <c r="E59" s="81"/>
      <c r="F59" s="81"/>
    </row>
    <row r="60" spans="1:6">
      <c r="A60" s="82"/>
      <c r="B60" s="81"/>
      <c r="C60" s="81"/>
      <c r="D60" s="81"/>
      <c r="E60" s="81"/>
      <c r="F60" s="81"/>
    </row>
    <row r="61" spans="1:6">
      <c r="A61" s="82"/>
      <c r="B61" s="81"/>
      <c r="C61" s="81"/>
      <c r="D61" s="81"/>
      <c r="E61" s="81"/>
      <c r="F61" s="81"/>
    </row>
    <row r="62" spans="1:6">
      <c r="A62" s="83"/>
      <c r="B62" s="81"/>
      <c r="C62" s="81"/>
      <c r="D62" s="81"/>
      <c r="E62" s="81"/>
      <c r="F62" s="81"/>
    </row>
    <row r="63" spans="1:6">
      <c r="A63" s="82"/>
      <c r="B63" s="81"/>
      <c r="C63" s="81"/>
      <c r="D63" s="81"/>
      <c r="E63" s="81"/>
      <c r="F63" s="81"/>
    </row>
    <row r="64" spans="1:6">
      <c r="A64" s="82"/>
      <c r="B64" s="81"/>
      <c r="C64" s="81"/>
      <c r="D64" s="81"/>
      <c r="E64" s="81"/>
      <c r="F64" s="81"/>
    </row>
    <row r="65" spans="1:6">
      <c r="A65" s="82"/>
      <c r="B65" s="81"/>
      <c r="C65" s="81"/>
      <c r="D65" s="81"/>
      <c r="E65" s="81"/>
      <c r="F65" s="81"/>
    </row>
    <row r="66" spans="1:6">
      <c r="A66" s="82"/>
      <c r="B66" s="81"/>
      <c r="C66" s="81"/>
      <c r="D66" s="81"/>
      <c r="E66" s="81"/>
      <c r="F66" s="81"/>
    </row>
    <row r="67" spans="1:6">
      <c r="A67" s="82"/>
      <c r="B67" s="81"/>
      <c r="C67" s="81"/>
      <c r="D67" s="81"/>
      <c r="E67" s="81"/>
      <c r="F67" s="81"/>
    </row>
    <row r="68" spans="1:6">
      <c r="A68" s="82"/>
      <c r="B68" s="81"/>
      <c r="C68" s="81"/>
      <c r="D68" s="81"/>
      <c r="E68" s="81"/>
      <c r="F68" s="81"/>
    </row>
    <row r="69" spans="1:6">
      <c r="A69" s="82"/>
      <c r="B69" s="81"/>
      <c r="C69" s="81"/>
      <c r="D69" s="81"/>
      <c r="E69" s="81"/>
      <c r="F69" s="81"/>
    </row>
    <row r="70" spans="1:6">
      <c r="A70" s="82"/>
      <c r="B70" s="81"/>
      <c r="C70" s="81"/>
      <c r="D70" s="81"/>
    </row>
    <row r="71" spans="1:6">
      <c r="E71" s="81"/>
      <c r="F71" s="81"/>
    </row>
    <row r="72" spans="1:6">
      <c r="A72" s="82"/>
      <c r="B72" s="81"/>
      <c r="C72" s="81"/>
      <c r="D72" s="81"/>
      <c r="E72" s="81"/>
      <c r="F72" s="81"/>
    </row>
    <row r="73" spans="1:6">
      <c r="A73" s="82"/>
      <c r="B73" s="81"/>
      <c r="C73" s="81"/>
      <c r="D73" s="81"/>
      <c r="E73" s="81"/>
      <c r="F73" s="81"/>
    </row>
    <row r="74" spans="1:6">
      <c r="A74" s="82"/>
      <c r="B74" s="81"/>
      <c r="C74" s="81"/>
      <c r="D74" s="81"/>
    </row>
  </sheetData>
  <sortState xmlns:xlrd2="http://schemas.microsoft.com/office/spreadsheetml/2017/richdata2" ref="Y3:Z14">
    <sortCondition descending="1" ref="Z3:Z14"/>
  </sortState>
  <mergeCells count="1">
    <mergeCell ref="A20:S20"/>
  </mergeCells>
  <pageMargins left="0.27" right="0.27" top="0.55000000000000004" bottom="0.32" header="0.21" footer="0.22"/>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M100"/>
  <sheetViews>
    <sheetView zoomScaleNormal="100" workbookViewId="0">
      <pane ySplit="2" topLeftCell="A48" activePane="bottomLeft" state="frozen"/>
      <selection pane="bottomLeft" activeCell="I76" sqref="I76:I77"/>
    </sheetView>
  </sheetViews>
  <sheetFormatPr defaultColWidth="9.1796875" defaultRowHeight="14.5"/>
  <cols>
    <col min="1" max="1" width="29.1796875" style="30" customWidth="1"/>
    <col min="2" max="2" width="21.7265625" style="30" bestFit="1" customWidth="1"/>
    <col min="3" max="4" width="15.7265625" style="111" bestFit="1" customWidth="1"/>
    <col min="5" max="6" width="15.7265625" style="181" bestFit="1" customWidth="1"/>
    <col min="7" max="7" width="15.7265625" style="181" customWidth="1"/>
    <col min="8" max="8" width="15.7265625" style="111" bestFit="1" customWidth="1"/>
    <col min="9" max="9" width="13" style="30" bestFit="1" customWidth="1"/>
    <col min="10" max="16384" width="9.1796875" style="30"/>
  </cols>
  <sheetData>
    <row r="1" spans="1:13" ht="18.5">
      <c r="A1" s="221" t="s">
        <v>389</v>
      </c>
    </row>
    <row r="2" spans="1:13" s="92" customFormat="1" ht="18">
      <c r="A2" s="254" t="s">
        <v>415</v>
      </c>
      <c r="B2" s="254" t="s">
        <v>222</v>
      </c>
      <c r="C2" s="255">
        <v>2019</v>
      </c>
      <c r="D2" s="255">
        <v>2020</v>
      </c>
      <c r="E2" s="255">
        <v>2021</v>
      </c>
      <c r="F2" s="255">
        <v>2022</v>
      </c>
      <c r="G2" s="255">
        <v>2023</v>
      </c>
      <c r="H2" s="255">
        <v>2024</v>
      </c>
      <c r="J2" s="32"/>
      <c r="M2" s="32"/>
    </row>
    <row r="3" spans="1:13" s="92" customFormat="1" ht="16" hidden="1">
      <c r="A3" s="256" t="s">
        <v>158</v>
      </c>
      <c r="B3" s="256" t="s">
        <v>161</v>
      </c>
      <c r="C3" s="257">
        <v>436666</v>
      </c>
      <c r="D3" s="257">
        <v>110180</v>
      </c>
      <c r="E3" s="258">
        <v>4129</v>
      </c>
      <c r="F3" s="259">
        <v>46269.546199999997</v>
      </c>
      <c r="G3" s="258">
        <v>57417</v>
      </c>
      <c r="H3" s="258">
        <v>0</v>
      </c>
      <c r="J3" s="32"/>
      <c r="M3" s="32"/>
    </row>
    <row r="4" spans="1:13" ht="16">
      <c r="A4" s="256" t="s">
        <v>158</v>
      </c>
      <c r="B4" s="256" t="s">
        <v>162</v>
      </c>
      <c r="C4" s="257">
        <v>215578</v>
      </c>
      <c r="D4" s="257">
        <v>276255</v>
      </c>
      <c r="E4" s="258">
        <v>264719</v>
      </c>
      <c r="F4" s="259">
        <v>31170.597300000001</v>
      </c>
      <c r="G4" s="258">
        <v>0</v>
      </c>
      <c r="H4" s="258">
        <v>638.0200000000001</v>
      </c>
    </row>
    <row r="5" spans="1:13" ht="16">
      <c r="A5" s="256" t="s">
        <v>164</v>
      </c>
      <c r="B5" s="256" t="s">
        <v>165</v>
      </c>
      <c r="C5" s="257">
        <v>25689</v>
      </c>
      <c r="D5" s="257">
        <v>0</v>
      </c>
      <c r="E5" s="258">
        <v>0</v>
      </c>
      <c r="F5" s="259">
        <v>37816.43</v>
      </c>
      <c r="G5" s="258">
        <v>193050.5</v>
      </c>
      <c r="H5" s="258">
        <v>3781</v>
      </c>
    </row>
    <row r="6" spans="1:13" ht="16">
      <c r="A6" s="256" t="s">
        <v>348</v>
      </c>
      <c r="B6" s="256" t="s">
        <v>348</v>
      </c>
      <c r="C6" s="258">
        <v>0</v>
      </c>
      <c r="D6" s="258">
        <v>0</v>
      </c>
      <c r="E6" s="258">
        <v>0</v>
      </c>
      <c r="F6" s="258">
        <v>0</v>
      </c>
      <c r="G6" s="258">
        <v>0</v>
      </c>
      <c r="H6" s="258">
        <v>21741.42</v>
      </c>
    </row>
    <row r="7" spans="1:13" ht="16">
      <c r="A7" s="256" t="s">
        <v>172</v>
      </c>
      <c r="B7" s="256" t="s">
        <v>174</v>
      </c>
      <c r="C7" s="257">
        <v>91303</v>
      </c>
      <c r="D7" s="257">
        <v>62879</v>
      </c>
      <c r="E7" s="258">
        <v>89983</v>
      </c>
      <c r="F7" s="259">
        <v>-14688.2058</v>
      </c>
      <c r="G7" s="258">
        <v>22143</v>
      </c>
      <c r="H7" s="258">
        <v>22376.089999999997</v>
      </c>
    </row>
    <row r="8" spans="1:13" ht="16">
      <c r="A8" s="256" t="s">
        <v>349</v>
      </c>
      <c r="B8" s="256" t="s">
        <v>349</v>
      </c>
      <c r="C8" s="258">
        <v>0</v>
      </c>
      <c r="D8" s="258">
        <v>0</v>
      </c>
      <c r="E8" s="258">
        <v>0</v>
      </c>
      <c r="F8" s="258">
        <v>0</v>
      </c>
      <c r="G8" s="258">
        <v>0</v>
      </c>
      <c r="H8" s="258">
        <v>24083.559999999987</v>
      </c>
    </row>
    <row r="9" spans="1:13" ht="16">
      <c r="A9" s="256" t="s">
        <v>350</v>
      </c>
      <c r="B9" s="256" t="s">
        <v>350</v>
      </c>
      <c r="C9" s="258">
        <v>0</v>
      </c>
      <c r="D9" s="258">
        <v>0</v>
      </c>
      <c r="E9" s="258">
        <v>0</v>
      </c>
      <c r="F9" s="258">
        <v>0</v>
      </c>
      <c r="G9" s="258">
        <v>0</v>
      </c>
      <c r="H9" s="258">
        <v>27955.160000000018</v>
      </c>
    </row>
    <row r="10" spans="1:13" ht="16">
      <c r="A10" s="256" t="s">
        <v>164</v>
      </c>
      <c r="B10" s="256" t="s">
        <v>163</v>
      </c>
      <c r="C10" s="257">
        <v>86240</v>
      </c>
      <c r="D10" s="257">
        <v>56671</v>
      </c>
      <c r="E10" s="258">
        <v>87518</v>
      </c>
      <c r="F10" s="259">
        <v>58379.9594</v>
      </c>
      <c r="G10" s="258">
        <v>60293.380000000012</v>
      </c>
      <c r="H10" s="258">
        <v>45761.479999999974</v>
      </c>
    </row>
    <row r="11" spans="1:13" ht="16">
      <c r="A11" s="256" t="s">
        <v>164</v>
      </c>
      <c r="B11" s="256" t="s">
        <v>169</v>
      </c>
      <c r="C11" s="257">
        <v>22359</v>
      </c>
      <c r="D11" s="257">
        <v>17229</v>
      </c>
      <c r="E11" s="258">
        <v>12713</v>
      </c>
      <c r="F11" s="259">
        <v>60273.281799999997</v>
      </c>
      <c r="G11" s="258">
        <v>63969.5</v>
      </c>
      <c r="H11" s="258">
        <v>62782.64999999998</v>
      </c>
    </row>
    <row r="12" spans="1:13" ht="16">
      <c r="A12" s="256" t="s">
        <v>151</v>
      </c>
      <c r="B12" s="256" t="s">
        <v>150</v>
      </c>
      <c r="C12" s="257">
        <v>23087</v>
      </c>
      <c r="D12" s="257">
        <v>113812</v>
      </c>
      <c r="E12" s="258">
        <v>69288</v>
      </c>
      <c r="F12" s="259">
        <v>51366.040699999998</v>
      </c>
      <c r="G12" s="258">
        <v>133142.45000000039</v>
      </c>
      <c r="H12" s="258">
        <v>67397.639999999941</v>
      </c>
    </row>
    <row r="13" spans="1:13" ht="16">
      <c r="A13" s="256" t="s">
        <v>201</v>
      </c>
      <c r="B13" s="256" t="s">
        <v>206</v>
      </c>
      <c r="C13" s="257">
        <v>29103</v>
      </c>
      <c r="D13" s="257">
        <v>26782</v>
      </c>
      <c r="E13" s="258">
        <v>28117</v>
      </c>
      <c r="F13" s="259">
        <v>27959.446</v>
      </c>
      <c r="G13" s="258">
        <v>40201</v>
      </c>
      <c r="H13" s="258">
        <v>67590.26999999996</v>
      </c>
    </row>
    <row r="14" spans="1:13" ht="16">
      <c r="A14" s="256" t="s">
        <v>185</v>
      </c>
      <c r="B14" s="256" t="s">
        <v>187</v>
      </c>
      <c r="C14" s="257">
        <v>122342</v>
      </c>
      <c r="D14" s="257">
        <v>123847</v>
      </c>
      <c r="E14" s="258">
        <v>130099</v>
      </c>
      <c r="F14" s="259">
        <v>147135.60010000001</v>
      </c>
      <c r="G14" s="258">
        <v>131500.5</v>
      </c>
      <c r="H14" s="258">
        <v>133824.64000000022</v>
      </c>
    </row>
    <row r="15" spans="1:13" ht="16">
      <c r="A15" s="256" t="s">
        <v>172</v>
      </c>
      <c r="B15" s="256" t="s">
        <v>173</v>
      </c>
      <c r="C15" s="257">
        <v>108564</v>
      </c>
      <c r="D15" s="257">
        <v>97552</v>
      </c>
      <c r="E15" s="258">
        <v>84159</v>
      </c>
      <c r="F15" s="259">
        <v>97923.563899999994</v>
      </c>
      <c r="G15" s="258">
        <v>112597.54999999996</v>
      </c>
      <c r="H15" s="258">
        <v>143926.32999999996</v>
      </c>
    </row>
    <row r="16" spans="1:13" ht="16">
      <c r="A16" s="256" t="s">
        <v>201</v>
      </c>
      <c r="B16" s="256" t="s">
        <v>205</v>
      </c>
      <c r="C16" s="257">
        <v>709426</v>
      </c>
      <c r="D16" s="257">
        <v>391797</v>
      </c>
      <c r="E16" s="258">
        <v>261312</v>
      </c>
      <c r="F16" s="259">
        <v>171481.12530000001</v>
      </c>
      <c r="G16" s="258">
        <v>85426.5</v>
      </c>
      <c r="H16" s="258">
        <v>200564.70000000054</v>
      </c>
    </row>
    <row r="17" spans="1:8" ht="16">
      <c r="A17" s="256" t="s">
        <v>172</v>
      </c>
      <c r="B17" s="256" t="s">
        <v>176</v>
      </c>
      <c r="C17" s="257">
        <v>81943</v>
      </c>
      <c r="D17" s="257">
        <v>86814</v>
      </c>
      <c r="E17" s="258">
        <v>94799</v>
      </c>
      <c r="F17" s="259">
        <v>91238.046499999997</v>
      </c>
      <c r="G17" s="258">
        <v>74681</v>
      </c>
      <c r="H17" s="258">
        <v>242180.88999999981</v>
      </c>
    </row>
    <row r="18" spans="1:8" ht="16">
      <c r="A18" s="256" t="s">
        <v>151</v>
      </c>
      <c r="B18" s="256" t="s">
        <v>153</v>
      </c>
      <c r="C18" s="257">
        <v>132028</v>
      </c>
      <c r="D18" s="257">
        <v>298503</v>
      </c>
      <c r="E18" s="258">
        <v>169018</v>
      </c>
      <c r="F18" s="259">
        <v>262471.66019999998</v>
      </c>
      <c r="G18" s="258">
        <v>143798.5</v>
      </c>
      <c r="H18" s="258">
        <v>276655.44999999972</v>
      </c>
    </row>
    <row r="19" spans="1:8" ht="16">
      <c r="A19" s="256" t="s">
        <v>208</v>
      </c>
      <c r="B19" s="256" t="s">
        <v>211</v>
      </c>
      <c r="C19" s="257">
        <v>1305518</v>
      </c>
      <c r="D19" s="257">
        <v>1066181</v>
      </c>
      <c r="E19" s="258">
        <v>462057</v>
      </c>
      <c r="F19" s="259">
        <v>1145831.0793000001</v>
      </c>
      <c r="G19" s="258">
        <v>2316362</v>
      </c>
      <c r="H19" s="258">
        <v>396027.57999999996</v>
      </c>
    </row>
    <row r="20" spans="1:8" ht="16">
      <c r="A20" s="256" t="s">
        <v>190</v>
      </c>
      <c r="B20" s="256" t="s">
        <v>195</v>
      </c>
      <c r="C20" s="257">
        <v>42083</v>
      </c>
      <c r="D20" s="257">
        <v>39667</v>
      </c>
      <c r="E20" s="258">
        <v>36202</v>
      </c>
      <c r="F20" s="259">
        <v>35677.423199999997</v>
      </c>
      <c r="G20" s="258">
        <v>106739</v>
      </c>
      <c r="H20" s="258">
        <v>503043.56000000017</v>
      </c>
    </row>
    <row r="21" spans="1:8" ht="16">
      <c r="A21" s="256" t="s">
        <v>164</v>
      </c>
      <c r="B21" s="256" t="s">
        <v>166</v>
      </c>
      <c r="C21" s="257">
        <v>423740</v>
      </c>
      <c r="D21" s="257">
        <v>417485</v>
      </c>
      <c r="E21" s="258">
        <v>419033</v>
      </c>
      <c r="F21" s="259">
        <v>375117.12790000002</v>
      </c>
      <c r="G21" s="258">
        <v>528350.5</v>
      </c>
      <c r="H21" s="258">
        <v>526291.57000000053</v>
      </c>
    </row>
    <row r="22" spans="1:8" ht="16">
      <c r="A22" s="256" t="s">
        <v>164</v>
      </c>
      <c r="B22" s="256" t="s">
        <v>168</v>
      </c>
      <c r="C22" s="257">
        <v>675711</v>
      </c>
      <c r="D22" s="257">
        <v>798453</v>
      </c>
      <c r="E22" s="258">
        <v>690752</v>
      </c>
      <c r="F22" s="259">
        <v>679356.64720000001</v>
      </c>
      <c r="G22" s="258">
        <v>686802.5</v>
      </c>
      <c r="H22" s="258">
        <v>551138.67999999982</v>
      </c>
    </row>
    <row r="23" spans="1:8" ht="16">
      <c r="A23" s="256" t="s">
        <v>190</v>
      </c>
      <c r="B23" s="256" t="s">
        <v>198</v>
      </c>
      <c r="C23" s="257">
        <v>742162</v>
      </c>
      <c r="D23" s="257">
        <v>740132</v>
      </c>
      <c r="E23" s="258">
        <v>537052</v>
      </c>
      <c r="F23" s="259">
        <v>672318.89249999996</v>
      </c>
      <c r="G23" s="258">
        <v>520736.5</v>
      </c>
      <c r="H23" s="258">
        <v>579767.49999999965</v>
      </c>
    </row>
    <row r="24" spans="1:8" ht="16">
      <c r="A24" s="256" t="s">
        <v>172</v>
      </c>
      <c r="B24" s="256" t="s">
        <v>175</v>
      </c>
      <c r="C24" s="257">
        <v>411339</v>
      </c>
      <c r="D24" s="257">
        <v>371864</v>
      </c>
      <c r="E24" s="258">
        <v>433073</v>
      </c>
      <c r="F24" s="259">
        <v>181886.69519999999</v>
      </c>
      <c r="G24" s="258">
        <v>298742</v>
      </c>
      <c r="H24" s="258">
        <v>753582.64000000036</v>
      </c>
    </row>
    <row r="25" spans="1:8" ht="16">
      <c r="A25" s="256" t="s">
        <v>201</v>
      </c>
      <c r="B25" s="256" t="s">
        <v>202</v>
      </c>
      <c r="C25" s="257">
        <v>433593</v>
      </c>
      <c r="D25" s="257">
        <v>460445</v>
      </c>
      <c r="E25" s="258">
        <v>621418</v>
      </c>
      <c r="F25" s="259">
        <v>549087.40560000006</v>
      </c>
      <c r="G25" s="258">
        <v>605693.5</v>
      </c>
      <c r="H25" s="258">
        <v>785921.179999999</v>
      </c>
    </row>
    <row r="26" spans="1:8" ht="16">
      <c r="A26" s="256" t="s">
        <v>215</v>
      </c>
      <c r="B26" s="256" t="s">
        <v>218</v>
      </c>
      <c r="C26" s="257">
        <v>518872</v>
      </c>
      <c r="D26" s="257">
        <v>663968</v>
      </c>
      <c r="E26" s="258">
        <v>703694</v>
      </c>
      <c r="F26" s="259">
        <v>875699.14780000004</v>
      </c>
      <c r="G26" s="258">
        <v>764248</v>
      </c>
      <c r="H26" s="258">
        <v>844438.50000000128</v>
      </c>
    </row>
    <row r="27" spans="1:8" ht="16">
      <c r="A27" s="256" t="s">
        <v>201</v>
      </c>
      <c r="B27" s="256" t="s">
        <v>200</v>
      </c>
      <c r="C27" s="257">
        <v>573171</v>
      </c>
      <c r="D27" s="257">
        <v>564146</v>
      </c>
      <c r="E27" s="258">
        <v>648386</v>
      </c>
      <c r="F27" s="259">
        <v>690804.08570000005</v>
      </c>
      <c r="G27" s="258">
        <v>623182.9900000015</v>
      </c>
      <c r="H27" s="258">
        <v>884184.11999999511</v>
      </c>
    </row>
    <row r="28" spans="1:8" ht="16">
      <c r="A28" s="256" t="s">
        <v>164</v>
      </c>
      <c r="B28" s="256" t="s">
        <v>167</v>
      </c>
      <c r="C28" s="257">
        <v>1199232</v>
      </c>
      <c r="D28" s="257">
        <v>956371</v>
      </c>
      <c r="E28" s="258">
        <v>1071241</v>
      </c>
      <c r="F28" s="259">
        <v>1054064.3602</v>
      </c>
      <c r="G28" s="258">
        <v>1049616.5</v>
      </c>
      <c r="H28" s="258">
        <v>1031531.9600000008</v>
      </c>
    </row>
    <row r="29" spans="1:8" ht="16">
      <c r="A29" s="256" t="s">
        <v>185</v>
      </c>
      <c r="B29" s="256" t="s">
        <v>186</v>
      </c>
      <c r="C29" s="257">
        <v>1498079</v>
      </c>
      <c r="D29" s="257">
        <v>976127</v>
      </c>
      <c r="E29" s="258">
        <v>1662018</v>
      </c>
      <c r="F29" s="259">
        <v>1794443.4733</v>
      </c>
      <c r="G29" s="258">
        <v>2099561.5</v>
      </c>
      <c r="H29" s="258">
        <v>1251709.4500000051</v>
      </c>
    </row>
    <row r="30" spans="1:8" ht="16">
      <c r="A30" s="256" t="s">
        <v>215</v>
      </c>
      <c r="B30" s="256" t="s">
        <v>216</v>
      </c>
      <c r="C30" s="257">
        <v>1343568</v>
      </c>
      <c r="D30" s="257">
        <v>1125091</v>
      </c>
      <c r="E30" s="258">
        <v>1005211</v>
      </c>
      <c r="F30" s="259">
        <v>1123866.7309000001</v>
      </c>
      <c r="G30" s="258">
        <v>1008041.5</v>
      </c>
      <c r="H30" s="258">
        <v>1273137.4899999991</v>
      </c>
    </row>
    <row r="31" spans="1:8" ht="18">
      <c r="A31" s="256" t="s">
        <v>416</v>
      </c>
      <c r="B31" s="256" t="s">
        <v>23</v>
      </c>
      <c r="C31" s="257">
        <v>4720584</v>
      </c>
      <c r="D31" s="257">
        <v>5039768</v>
      </c>
      <c r="E31" s="258">
        <v>4911421</v>
      </c>
      <c r="F31" s="259">
        <v>5165002</v>
      </c>
      <c r="G31" s="260">
        <v>4484226.2300000098</v>
      </c>
      <c r="H31" s="258">
        <v>1457938.07</v>
      </c>
    </row>
    <row r="32" spans="1:8" ht="16">
      <c r="A32" s="256" t="s">
        <v>215</v>
      </c>
      <c r="B32" s="256" t="s">
        <v>214</v>
      </c>
      <c r="C32" s="257">
        <v>1237767</v>
      </c>
      <c r="D32" s="257">
        <v>963718</v>
      </c>
      <c r="E32" s="258">
        <v>1740550</v>
      </c>
      <c r="F32" s="259">
        <v>1062093.1931</v>
      </c>
      <c r="G32" s="258">
        <v>1290501</v>
      </c>
      <c r="H32" s="258">
        <v>1542877.9700000081</v>
      </c>
    </row>
    <row r="33" spans="1:8" ht="16">
      <c r="A33" s="256" t="s">
        <v>179</v>
      </c>
      <c r="B33" s="256" t="s">
        <v>180</v>
      </c>
      <c r="C33" s="257">
        <v>1972702</v>
      </c>
      <c r="D33" s="257">
        <v>1736157</v>
      </c>
      <c r="E33" s="258">
        <v>1395903</v>
      </c>
      <c r="F33" s="259">
        <v>1422122.0538999999</v>
      </c>
      <c r="G33" s="258">
        <v>1869750.5</v>
      </c>
      <c r="H33" s="258">
        <v>1776660.0600000038</v>
      </c>
    </row>
    <row r="34" spans="1:8" ht="16">
      <c r="A34" s="256" t="s">
        <v>185</v>
      </c>
      <c r="B34" s="256" t="s">
        <v>184</v>
      </c>
      <c r="C34" s="257">
        <v>1013810</v>
      </c>
      <c r="D34" s="257">
        <v>1276023</v>
      </c>
      <c r="E34" s="258">
        <v>1149467</v>
      </c>
      <c r="F34" s="259">
        <v>895842.49789999996</v>
      </c>
      <c r="G34" s="258">
        <v>2415985.5</v>
      </c>
      <c r="H34" s="258">
        <v>1834158.0000000009</v>
      </c>
    </row>
    <row r="35" spans="1:8" ht="16">
      <c r="A35" s="256" t="s">
        <v>351</v>
      </c>
      <c r="B35" s="256" t="s">
        <v>351</v>
      </c>
      <c r="C35" s="258">
        <v>0</v>
      </c>
      <c r="D35" s="258">
        <v>0</v>
      </c>
      <c r="E35" s="258">
        <v>0</v>
      </c>
      <c r="F35" s="258">
        <v>0</v>
      </c>
      <c r="G35" s="258">
        <v>0</v>
      </c>
      <c r="H35" s="258">
        <v>1942943.7499999998</v>
      </c>
    </row>
    <row r="36" spans="1:8" ht="16">
      <c r="A36" s="256" t="s">
        <v>201</v>
      </c>
      <c r="B36" s="256" t="s">
        <v>204</v>
      </c>
      <c r="C36" s="257">
        <v>3698190</v>
      </c>
      <c r="D36" s="257">
        <v>3470656</v>
      </c>
      <c r="E36" s="258">
        <v>2548483</v>
      </c>
      <c r="F36" s="259">
        <v>3042427.6486999998</v>
      </c>
      <c r="G36" s="258">
        <v>2171811.5</v>
      </c>
      <c r="H36" s="258">
        <v>2191239.2400000235</v>
      </c>
    </row>
    <row r="37" spans="1:8" ht="16">
      <c r="A37" s="256" t="s">
        <v>164</v>
      </c>
      <c r="B37" s="256" t="s">
        <v>170</v>
      </c>
      <c r="C37" s="257">
        <v>1971459</v>
      </c>
      <c r="D37" s="257">
        <v>1885081</v>
      </c>
      <c r="E37" s="258">
        <v>1913479</v>
      </c>
      <c r="F37" s="259">
        <v>1781759.9763</v>
      </c>
      <c r="G37" s="258">
        <v>2339580</v>
      </c>
      <c r="H37" s="258">
        <v>2205031.4699999914</v>
      </c>
    </row>
    <row r="38" spans="1:8" ht="16">
      <c r="A38" s="256" t="s">
        <v>179</v>
      </c>
      <c r="B38" s="256" t="s">
        <v>183</v>
      </c>
      <c r="C38" s="257">
        <v>2039218</v>
      </c>
      <c r="D38" s="257">
        <v>2077580</v>
      </c>
      <c r="E38" s="258">
        <v>2037737</v>
      </c>
      <c r="F38" s="259">
        <v>1948294.2198000001</v>
      </c>
      <c r="G38" s="258">
        <v>3269581</v>
      </c>
      <c r="H38" s="258">
        <v>2996814.2599999858</v>
      </c>
    </row>
    <row r="39" spans="1:8" ht="16">
      <c r="A39" s="256" t="s">
        <v>190</v>
      </c>
      <c r="B39" s="256" t="s">
        <v>197</v>
      </c>
      <c r="C39" s="257">
        <v>8183285</v>
      </c>
      <c r="D39" s="257">
        <v>6293622</v>
      </c>
      <c r="E39" s="258">
        <v>5710500</v>
      </c>
      <c r="F39" s="259">
        <v>7792659.9209000003</v>
      </c>
      <c r="G39" s="258">
        <v>4567539</v>
      </c>
      <c r="H39" s="258">
        <v>3113134.1799997287</v>
      </c>
    </row>
    <row r="40" spans="1:8" ht="16">
      <c r="A40" s="256" t="s">
        <v>190</v>
      </c>
      <c r="B40" s="256" t="s">
        <v>193</v>
      </c>
      <c r="C40" s="257">
        <v>1911010</v>
      </c>
      <c r="D40" s="257">
        <v>2425481</v>
      </c>
      <c r="E40" s="258">
        <v>3397606</v>
      </c>
      <c r="F40" s="259">
        <v>2318097.3568000002</v>
      </c>
      <c r="G40" s="258">
        <v>3000147.0599999898</v>
      </c>
      <c r="H40" s="258">
        <v>3132052.1799999936</v>
      </c>
    </row>
    <row r="41" spans="1:8" ht="16">
      <c r="A41" s="256" t="s">
        <v>201</v>
      </c>
      <c r="B41" s="256" t="s">
        <v>201</v>
      </c>
      <c r="C41" s="257">
        <v>2656838</v>
      </c>
      <c r="D41" s="257">
        <v>2340670</v>
      </c>
      <c r="E41" s="258">
        <v>2492464</v>
      </c>
      <c r="F41" s="259">
        <v>2232962.9367</v>
      </c>
      <c r="G41" s="258">
        <v>2350410.5</v>
      </c>
      <c r="H41" s="258">
        <v>3177227.6000000057</v>
      </c>
    </row>
    <row r="42" spans="1:8" ht="16">
      <c r="A42" s="256" t="s">
        <v>158</v>
      </c>
      <c r="B42" s="256" t="s">
        <v>160</v>
      </c>
      <c r="C42" s="257">
        <v>443387</v>
      </c>
      <c r="D42" s="257">
        <v>4390636</v>
      </c>
      <c r="E42" s="258">
        <v>418010</v>
      </c>
      <c r="F42" s="259">
        <v>5550008.5082</v>
      </c>
      <c r="G42" s="258">
        <v>1084977.5</v>
      </c>
      <c r="H42" s="258">
        <v>3941792.7500000028</v>
      </c>
    </row>
    <row r="43" spans="1:8" ht="16">
      <c r="A43" s="256" t="s">
        <v>158</v>
      </c>
      <c r="B43" s="256" t="s">
        <v>159</v>
      </c>
      <c r="C43" s="257">
        <v>2351857</v>
      </c>
      <c r="D43" s="257">
        <v>4492830</v>
      </c>
      <c r="E43" s="258">
        <v>13056230</v>
      </c>
      <c r="F43" s="259">
        <v>4460802.6261</v>
      </c>
      <c r="G43" s="258">
        <v>3432809.5</v>
      </c>
      <c r="H43" s="258">
        <v>4101277.8000000501</v>
      </c>
    </row>
    <row r="44" spans="1:8" ht="16">
      <c r="A44" s="256" t="s">
        <v>179</v>
      </c>
      <c r="B44" s="256" t="s">
        <v>178</v>
      </c>
      <c r="C44" s="257">
        <v>2922853</v>
      </c>
      <c r="D44" s="257">
        <v>3083783</v>
      </c>
      <c r="E44" s="258">
        <v>3716621</v>
      </c>
      <c r="F44" s="259">
        <v>3077437.7009999999</v>
      </c>
      <c r="G44" s="258">
        <v>3854002.1200000616</v>
      </c>
      <c r="H44" s="258">
        <v>4493513.329999933</v>
      </c>
    </row>
    <row r="45" spans="1:8" ht="16">
      <c r="A45" s="256" t="s">
        <v>208</v>
      </c>
      <c r="B45" s="256" t="s">
        <v>213</v>
      </c>
      <c r="C45" s="257">
        <v>4418320</v>
      </c>
      <c r="D45" s="257">
        <v>6084261</v>
      </c>
      <c r="E45" s="258">
        <v>6169855</v>
      </c>
      <c r="F45" s="259">
        <v>6922487.5104</v>
      </c>
      <c r="G45" s="258">
        <v>4252407.5</v>
      </c>
      <c r="H45" s="258">
        <v>4674722.7100000028</v>
      </c>
    </row>
    <row r="46" spans="1:8" ht="16">
      <c r="A46" s="256" t="s">
        <v>190</v>
      </c>
      <c r="B46" s="256" t="s">
        <v>194</v>
      </c>
      <c r="C46" s="257">
        <v>5723325</v>
      </c>
      <c r="D46" s="257">
        <v>4701192</v>
      </c>
      <c r="E46" s="258">
        <v>5331360</v>
      </c>
      <c r="F46" s="259">
        <v>5449208.1135</v>
      </c>
      <c r="G46" s="258">
        <v>5009703.5</v>
      </c>
      <c r="H46" s="258">
        <v>5366402.1900000162</v>
      </c>
    </row>
    <row r="47" spans="1:8" ht="16">
      <c r="A47" s="256" t="s">
        <v>151</v>
      </c>
      <c r="B47" s="256" t="s">
        <v>152</v>
      </c>
      <c r="C47" s="257">
        <v>5099313</v>
      </c>
      <c r="D47" s="257">
        <v>8450461</v>
      </c>
      <c r="E47" s="258">
        <v>14689312</v>
      </c>
      <c r="F47" s="259">
        <v>4348466.6549000004</v>
      </c>
      <c r="G47" s="258">
        <v>5003006.2299999986</v>
      </c>
      <c r="H47" s="258">
        <v>5409836.6200000113</v>
      </c>
    </row>
    <row r="48" spans="1:8" ht="16">
      <c r="A48" s="256" t="s">
        <v>179</v>
      </c>
      <c r="B48" s="256" t="s">
        <v>181</v>
      </c>
      <c r="C48" s="257">
        <v>5608712</v>
      </c>
      <c r="D48" s="257">
        <v>5651060</v>
      </c>
      <c r="E48" s="258">
        <v>5009376</v>
      </c>
      <c r="F48" s="259">
        <v>5810701.2675999999</v>
      </c>
      <c r="G48" s="258">
        <v>5692203.5</v>
      </c>
      <c r="H48" s="258">
        <v>5772200.3099999921</v>
      </c>
    </row>
    <row r="49" spans="1:8" ht="16">
      <c r="A49" s="256" t="s">
        <v>208</v>
      </c>
      <c r="B49" s="256" t="s">
        <v>207</v>
      </c>
      <c r="C49" s="257">
        <v>2165825</v>
      </c>
      <c r="D49" s="257">
        <v>2697368</v>
      </c>
      <c r="E49" s="258">
        <v>3852114</v>
      </c>
      <c r="F49" s="259">
        <v>3411226.4029000001</v>
      </c>
      <c r="G49" s="258">
        <v>3312089.4399999902</v>
      </c>
      <c r="H49" s="258">
        <v>5921547.4499999862</v>
      </c>
    </row>
    <row r="50" spans="1:8" ht="16">
      <c r="A50" s="256" t="s">
        <v>208</v>
      </c>
      <c r="B50" s="256" t="s">
        <v>212</v>
      </c>
      <c r="C50" s="257">
        <v>722932</v>
      </c>
      <c r="D50" s="257">
        <v>651168</v>
      </c>
      <c r="E50" s="258">
        <v>1031908</v>
      </c>
      <c r="F50" s="259">
        <v>1139687.8296000001</v>
      </c>
      <c r="G50" s="258">
        <v>3257843.5</v>
      </c>
      <c r="H50" s="258">
        <v>5999018.3400000045</v>
      </c>
    </row>
    <row r="51" spans="1:8" ht="16">
      <c r="A51" s="256" t="s">
        <v>190</v>
      </c>
      <c r="B51" s="256" t="s">
        <v>191</v>
      </c>
      <c r="C51" s="257">
        <v>4070365</v>
      </c>
      <c r="D51" s="257">
        <v>16903087</v>
      </c>
      <c r="E51" s="258">
        <v>14853092</v>
      </c>
      <c r="F51" s="259">
        <v>5983807.7274000002</v>
      </c>
      <c r="G51" s="258">
        <v>5838411.4299999326</v>
      </c>
      <c r="H51" s="258">
        <v>6009280.8199998569</v>
      </c>
    </row>
    <row r="52" spans="1:8" ht="16">
      <c r="A52" s="256" t="s">
        <v>190</v>
      </c>
      <c r="B52" s="256" t="s">
        <v>199</v>
      </c>
      <c r="C52" s="257">
        <v>4636585</v>
      </c>
      <c r="D52" s="257">
        <v>4084647</v>
      </c>
      <c r="E52" s="258">
        <v>5192557</v>
      </c>
      <c r="F52" s="259">
        <v>4783793.5384999998</v>
      </c>
      <c r="G52" s="258">
        <v>5557386</v>
      </c>
      <c r="H52" s="258">
        <v>6274263.7900000103</v>
      </c>
    </row>
    <row r="53" spans="1:8" ht="16">
      <c r="A53" s="256" t="s">
        <v>190</v>
      </c>
      <c r="B53" s="256" t="s">
        <v>196</v>
      </c>
      <c r="C53" s="257">
        <v>7867962</v>
      </c>
      <c r="D53" s="257">
        <v>8134508</v>
      </c>
      <c r="E53" s="258">
        <v>8408978</v>
      </c>
      <c r="F53" s="259">
        <v>8683081.6220999993</v>
      </c>
      <c r="G53" s="258">
        <v>8168663</v>
      </c>
      <c r="H53" s="258">
        <v>6277054.5600004941</v>
      </c>
    </row>
    <row r="54" spans="1:8" ht="16">
      <c r="A54" s="256" t="s">
        <v>208</v>
      </c>
      <c r="B54" s="256" t="s">
        <v>209</v>
      </c>
      <c r="C54" s="257">
        <v>5823872</v>
      </c>
      <c r="D54" s="257">
        <v>5113491</v>
      </c>
      <c r="E54" s="258">
        <v>4659063</v>
      </c>
      <c r="F54" s="259">
        <v>5513168.8964999998</v>
      </c>
      <c r="G54" s="258">
        <v>5950107</v>
      </c>
      <c r="H54" s="258">
        <v>6308889.4099996276</v>
      </c>
    </row>
    <row r="55" spans="1:8" ht="16">
      <c r="A55" s="256" t="s">
        <v>208</v>
      </c>
      <c r="B55" s="256" t="s">
        <v>210</v>
      </c>
      <c r="C55" s="257">
        <v>5777371</v>
      </c>
      <c r="D55" s="257">
        <v>5192007</v>
      </c>
      <c r="E55" s="258">
        <v>5039328</v>
      </c>
      <c r="F55" s="259">
        <v>5899444.9244999997</v>
      </c>
      <c r="G55" s="258">
        <v>5391461</v>
      </c>
      <c r="H55" s="258">
        <v>6660550.8199999984</v>
      </c>
    </row>
    <row r="56" spans="1:8" ht="16">
      <c r="A56" s="256" t="s">
        <v>201</v>
      </c>
      <c r="B56" s="256" t="s">
        <v>203</v>
      </c>
      <c r="C56" s="257">
        <v>3249660</v>
      </c>
      <c r="D56" s="257">
        <v>2467141</v>
      </c>
      <c r="E56" s="258">
        <v>1873494</v>
      </c>
      <c r="F56" s="259">
        <v>2431150.9152000002</v>
      </c>
      <c r="G56" s="258">
        <v>3166745.5</v>
      </c>
      <c r="H56" s="258">
        <v>6764512.799999997</v>
      </c>
    </row>
    <row r="57" spans="1:8" ht="16">
      <c r="A57" s="256" t="s">
        <v>179</v>
      </c>
      <c r="B57" s="256" t="s">
        <v>182</v>
      </c>
      <c r="C57" s="257">
        <v>6514202</v>
      </c>
      <c r="D57" s="257">
        <v>6261922</v>
      </c>
      <c r="E57" s="258">
        <v>6000359</v>
      </c>
      <c r="F57" s="259">
        <v>7036928.1808000002</v>
      </c>
      <c r="G57" s="258">
        <v>7907753.5</v>
      </c>
      <c r="H57" s="258">
        <v>7698449.5599996485</v>
      </c>
    </row>
    <row r="58" spans="1:8" ht="16">
      <c r="A58" s="256" t="s">
        <v>164</v>
      </c>
      <c r="B58" s="256" t="s">
        <v>352</v>
      </c>
      <c r="C58" s="258">
        <v>0</v>
      </c>
      <c r="D58" s="258">
        <v>0</v>
      </c>
      <c r="E58" s="258">
        <v>0</v>
      </c>
      <c r="F58" s="258">
        <v>0</v>
      </c>
      <c r="G58" s="258">
        <v>0</v>
      </c>
      <c r="H58" s="258">
        <v>7865150</v>
      </c>
    </row>
    <row r="59" spans="1:8" ht="16">
      <c r="A59" s="256" t="s">
        <v>172</v>
      </c>
      <c r="B59" s="256" t="s">
        <v>171</v>
      </c>
      <c r="C59" s="257">
        <v>26707470</v>
      </c>
      <c r="D59" s="257">
        <v>22221493</v>
      </c>
      <c r="E59" s="258">
        <v>19305375</v>
      </c>
      <c r="F59" s="259">
        <v>26898079.1413</v>
      </c>
      <c r="G59" s="258">
        <v>27828423.319999866</v>
      </c>
      <c r="H59" s="258">
        <v>8037815.8199999854</v>
      </c>
    </row>
    <row r="60" spans="1:8" ht="16">
      <c r="A60" s="256" t="s">
        <v>172</v>
      </c>
      <c r="B60" s="256" t="s">
        <v>177</v>
      </c>
      <c r="C60" s="257">
        <v>6144027</v>
      </c>
      <c r="D60" s="257">
        <v>14303365</v>
      </c>
      <c r="E60" s="258">
        <v>16049035</v>
      </c>
      <c r="F60" s="259">
        <v>7765624.3823999995</v>
      </c>
      <c r="G60" s="258">
        <v>8042364</v>
      </c>
      <c r="H60" s="258">
        <v>8584704.1599998865</v>
      </c>
    </row>
    <row r="61" spans="1:8" ht="16">
      <c r="A61" s="256" t="s">
        <v>185</v>
      </c>
      <c r="B61" s="256" t="s">
        <v>188</v>
      </c>
      <c r="C61" s="257">
        <v>4325289</v>
      </c>
      <c r="D61" s="257">
        <v>4794544</v>
      </c>
      <c r="E61" s="258">
        <v>5581433</v>
      </c>
      <c r="F61" s="259">
        <v>6065576.3179000001</v>
      </c>
      <c r="G61" s="258">
        <v>5396875</v>
      </c>
      <c r="H61" s="258">
        <v>9125716.6199999508</v>
      </c>
    </row>
    <row r="62" spans="1:8" ht="16">
      <c r="A62" s="256" t="s">
        <v>190</v>
      </c>
      <c r="B62" s="256" t="s">
        <v>192</v>
      </c>
      <c r="C62" s="257">
        <v>7836471</v>
      </c>
      <c r="D62" s="257">
        <v>7947325</v>
      </c>
      <c r="E62" s="258">
        <v>9193512</v>
      </c>
      <c r="F62" s="259">
        <v>5682700.5829999996</v>
      </c>
      <c r="G62" s="258">
        <v>9150754.3800000641</v>
      </c>
      <c r="H62" s="258">
        <v>11067664.109999968</v>
      </c>
    </row>
    <row r="63" spans="1:8" ht="16">
      <c r="A63" s="256" t="s">
        <v>158</v>
      </c>
      <c r="B63" s="256" t="s">
        <v>157</v>
      </c>
      <c r="C63" s="257">
        <v>10581994</v>
      </c>
      <c r="D63" s="257">
        <v>10698904</v>
      </c>
      <c r="E63" s="258">
        <v>10319617</v>
      </c>
      <c r="F63" s="259">
        <v>12464622.6885</v>
      </c>
      <c r="G63" s="258">
        <v>12037553</v>
      </c>
      <c r="H63" s="258">
        <v>11378402.890000029</v>
      </c>
    </row>
    <row r="64" spans="1:8" ht="16">
      <c r="A64" s="256" t="s">
        <v>215</v>
      </c>
      <c r="B64" s="256" t="s">
        <v>217</v>
      </c>
      <c r="C64" s="257">
        <v>12506487</v>
      </c>
      <c r="D64" s="257">
        <v>11856025</v>
      </c>
      <c r="E64" s="258">
        <v>12709844</v>
      </c>
      <c r="F64" s="259">
        <v>13301707.5688</v>
      </c>
      <c r="G64" s="258">
        <v>14818677</v>
      </c>
      <c r="H64" s="258">
        <v>12290876.340000164</v>
      </c>
    </row>
    <row r="65" spans="1:11" ht="16">
      <c r="A65" s="256" t="s">
        <v>155</v>
      </c>
      <c r="B65" s="256" t="s">
        <v>156</v>
      </c>
      <c r="C65" s="257">
        <v>14260246</v>
      </c>
      <c r="D65" s="257">
        <v>12695998</v>
      </c>
      <c r="E65" s="258">
        <v>13051782</v>
      </c>
      <c r="F65" s="259">
        <v>11804995.7031</v>
      </c>
      <c r="G65" s="258">
        <v>12895392</v>
      </c>
      <c r="H65" s="258">
        <v>13298387.809999526</v>
      </c>
    </row>
    <row r="66" spans="1:11" ht="16">
      <c r="A66" s="256" t="s">
        <v>190</v>
      </c>
      <c r="B66" s="256" t="s">
        <v>189</v>
      </c>
      <c r="C66" s="257">
        <v>29873134</v>
      </c>
      <c r="D66" s="257">
        <v>25120989</v>
      </c>
      <c r="E66" s="258">
        <v>20407286</v>
      </c>
      <c r="F66" s="259">
        <v>15515216.4551</v>
      </c>
      <c r="G66" s="258">
        <v>17822307.819998547</v>
      </c>
      <c r="H66" s="258">
        <v>16445331.250000188</v>
      </c>
    </row>
    <row r="67" spans="1:11" ht="16">
      <c r="A67" s="256" t="s">
        <v>155</v>
      </c>
      <c r="B67" s="256" t="s">
        <v>154</v>
      </c>
      <c r="C67" s="257">
        <v>13093069</v>
      </c>
      <c r="D67" s="257">
        <v>13279175</v>
      </c>
      <c r="E67" s="258">
        <v>14633601</v>
      </c>
      <c r="F67" s="259">
        <v>13463956.5835</v>
      </c>
      <c r="G67" s="258">
        <v>14898017</v>
      </c>
      <c r="H67" s="258">
        <v>16555985.209999086</v>
      </c>
    </row>
    <row r="68" spans="1:11" ht="18.5" thickBot="1">
      <c r="A68" s="252" t="s">
        <v>417</v>
      </c>
      <c r="B68" s="252"/>
      <c r="C68" s="253">
        <f>SUM(C4:C66)</f>
        <v>219851252</v>
      </c>
      <c r="D68" s="253">
        <f>SUM(D4:D66)</f>
        <v>235239032</v>
      </c>
      <c r="E68" s="253">
        <f>SUM(E4:E66)</f>
        <v>242799013</v>
      </c>
      <c r="F68" s="253">
        <f>SUM(F4:F66)</f>
        <v>217861867.6776</v>
      </c>
      <c r="G68" s="253">
        <f>SUM(G4:G66)</f>
        <v>224300329.39999843</v>
      </c>
      <c r="H68" s="253">
        <f>SUM(H3:H67)</f>
        <v>242415457.77999806</v>
      </c>
      <c r="K68" s="30" t="s">
        <v>320</v>
      </c>
    </row>
    <row r="69" spans="1:11" ht="15" thickTop="1">
      <c r="B69" s="82"/>
      <c r="C69" s="93"/>
    </row>
    <row r="70" spans="1:11" ht="16">
      <c r="A70" s="365" t="s">
        <v>0</v>
      </c>
      <c r="B70" s="366"/>
      <c r="C70" s="367"/>
      <c r="D70" s="367"/>
      <c r="E70" s="259"/>
      <c r="F70" s="259"/>
      <c r="G70" s="259"/>
      <c r="H70" s="367"/>
    </row>
    <row r="71" spans="1:11" ht="16">
      <c r="A71" s="251" t="s">
        <v>356</v>
      </c>
      <c r="B71" s="251"/>
      <c r="C71" s="366"/>
      <c r="D71" s="366"/>
      <c r="E71" s="368"/>
      <c r="F71" s="368"/>
      <c r="G71" s="368"/>
      <c r="H71" s="366"/>
      <c r="I71" s="83"/>
    </row>
    <row r="72" spans="1:11" ht="16">
      <c r="A72" s="251" t="s">
        <v>22</v>
      </c>
      <c r="B72" s="251"/>
      <c r="C72" s="366"/>
      <c r="D72" s="366"/>
      <c r="E72" s="368"/>
      <c r="F72" s="368"/>
      <c r="G72" s="368"/>
      <c r="H72" s="366"/>
      <c r="I72" s="83"/>
    </row>
    <row r="73" spans="1:11" ht="29.5" customHeight="1">
      <c r="A73" s="459" t="s">
        <v>376</v>
      </c>
      <c r="B73" s="459"/>
      <c r="C73" s="459"/>
      <c r="D73" s="459"/>
      <c r="E73" s="459"/>
      <c r="F73" s="459"/>
      <c r="G73" s="459"/>
      <c r="H73" s="459"/>
    </row>
    <row r="74" spans="1:11">
      <c r="A74" s="83"/>
    </row>
    <row r="100" spans="10:12">
      <c r="J100" s="85"/>
      <c r="K100" s="85"/>
      <c r="L100" s="85"/>
    </row>
  </sheetData>
  <sortState xmlns:xlrd2="http://schemas.microsoft.com/office/spreadsheetml/2017/richdata2" ref="A4:H67">
    <sortCondition ref="H4:H67"/>
  </sortState>
  <mergeCells count="1">
    <mergeCell ref="A73:H73"/>
  </mergeCells>
  <pageMargins left="0.7" right="0.7" top="0.75" bottom="0.75" header="0.3" footer="0.3"/>
  <pageSetup scale="65" fitToHeight="0"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P15"/>
  <sheetViews>
    <sheetView zoomScale="115" zoomScaleNormal="115" workbookViewId="0">
      <pane ySplit="2" topLeftCell="A5" activePane="bottomLeft" state="frozen"/>
      <selection pane="bottomLeft" activeCell="A2" sqref="A2:O10"/>
    </sheetView>
  </sheetViews>
  <sheetFormatPr defaultColWidth="9.1796875" defaultRowHeight="14.5"/>
  <cols>
    <col min="1" max="1" width="30" style="30" customWidth="1"/>
    <col min="2" max="5" width="13.26953125" style="30" hidden="1" customWidth="1"/>
    <col min="6" max="13" width="15.7265625" style="30" bestFit="1" customWidth="1"/>
    <col min="14" max="14" width="15.54296875" style="30" customWidth="1"/>
    <col min="15" max="15" width="15.7265625" style="30" bestFit="1" customWidth="1"/>
    <col min="16" max="16" width="13.54296875" style="30" bestFit="1" customWidth="1"/>
    <col min="17" max="16384" width="9.1796875" style="30"/>
  </cols>
  <sheetData>
    <row r="1" spans="1:16" ht="18.5">
      <c r="A1" s="222" t="s">
        <v>390</v>
      </c>
      <c r="B1" s="121"/>
    </row>
    <row r="2" spans="1:16">
      <c r="A2" s="432" t="s">
        <v>429</v>
      </c>
      <c r="B2" s="432">
        <v>2011</v>
      </c>
      <c r="C2" s="432">
        <v>2012</v>
      </c>
      <c r="D2" s="432">
        <v>2013</v>
      </c>
      <c r="E2" s="432">
        <v>2014</v>
      </c>
      <c r="F2" s="432">
        <v>2015</v>
      </c>
      <c r="G2" s="432">
        <v>2016</v>
      </c>
      <c r="H2" s="432">
        <v>2017</v>
      </c>
      <c r="I2" s="432">
        <v>2018</v>
      </c>
      <c r="J2" s="432">
        <v>2019</v>
      </c>
      <c r="K2" s="432">
        <v>2020</v>
      </c>
      <c r="L2" s="432">
        <v>2021</v>
      </c>
      <c r="M2" s="432">
        <v>2022</v>
      </c>
      <c r="N2" s="432">
        <v>2023</v>
      </c>
      <c r="O2" s="432">
        <v>2024</v>
      </c>
    </row>
    <row r="3" spans="1:16" ht="15.5">
      <c r="A3" s="433" t="s">
        <v>50</v>
      </c>
      <c r="B3" s="434">
        <v>121317883.59999999</v>
      </c>
      <c r="C3" s="434">
        <v>115404913</v>
      </c>
      <c r="D3" s="434">
        <v>95365193</v>
      </c>
      <c r="E3" s="434">
        <v>86071758</v>
      </c>
      <c r="F3" s="434">
        <v>90272231.799999997</v>
      </c>
      <c r="G3" s="434">
        <v>89322441</v>
      </c>
      <c r="H3" s="434">
        <v>87798353</v>
      </c>
      <c r="I3" s="434">
        <v>92421567</v>
      </c>
      <c r="J3" s="434">
        <v>94205715</v>
      </c>
      <c r="K3" s="434">
        <v>95808893</v>
      </c>
      <c r="L3" s="434">
        <v>94296806</v>
      </c>
      <c r="M3" s="434">
        <v>84623596</v>
      </c>
      <c r="N3" s="434">
        <v>91412689.400000006</v>
      </c>
      <c r="O3" s="434">
        <v>100073108</v>
      </c>
      <c r="P3" s="48">
        <f t="shared" ref="P3:P9" si="0">O3</f>
        <v>100073108</v>
      </c>
    </row>
    <row r="4" spans="1:16" ht="15.5">
      <c r="A4" s="433" t="s">
        <v>49</v>
      </c>
      <c r="B4" s="434">
        <v>50870890</v>
      </c>
      <c r="C4" s="434">
        <v>73383217</v>
      </c>
      <c r="D4" s="434">
        <v>61857476</v>
      </c>
      <c r="E4" s="434">
        <v>78704753</v>
      </c>
      <c r="F4" s="434">
        <v>68248817.269999996</v>
      </c>
      <c r="G4" s="434">
        <v>60368059</v>
      </c>
      <c r="H4" s="434">
        <v>60237861</v>
      </c>
      <c r="I4" s="434">
        <v>64782417</v>
      </c>
      <c r="J4" s="434">
        <v>50632624</v>
      </c>
      <c r="K4" s="434">
        <v>55851117</v>
      </c>
      <c r="L4" s="434">
        <v>60979271</v>
      </c>
      <c r="M4" s="434">
        <v>55352817</v>
      </c>
      <c r="N4" s="434">
        <v>55867487.499990001</v>
      </c>
      <c r="O4" s="434">
        <v>68125708</v>
      </c>
      <c r="P4" s="48">
        <f t="shared" si="0"/>
        <v>68125708</v>
      </c>
    </row>
    <row r="5" spans="1:16" ht="15.5">
      <c r="A5" s="433" t="s">
        <v>48</v>
      </c>
      <c r="B5" s="434">
        <v>86884303.599999994</v>
      </c>
      <c r="C5" s="434">
        <v>85320690</v>
      </c>
      <c r="D5" s="434">
        <v>101607686</v>
      </c>
      <c r="E5" s="434">
        <v>61266093</v>
      </c>
      <c r="F5" s="434">
        <v>97958650.379999995</v>
      </c>
      <c r="G5" s="434">
        <v>93424732</v>
      </c>
      <c r="H5" s="434">
        <v>83807412</v>
      </c>
      <c r="I5" s="434">
        <v>82523213</v>
      </c>
      <c r="J5" s="434">
        <v>80435603</v>
      </c>
      <c r="K5" s="434">
        <v>85708974</v>
      </c>
      <c r="L5" s="434">
        <v>83569188</v>
      </c>
      <c r="M5" s="434">
        <v>81287326</v>
      </c>
      <c r="N5" s="434">
        <v>83256599.400000006</v>
      </c>
      <c r="O5" s="434">
        <v>65379222</v>
      </c>
      <c r="P5" s="48">
        <f t="shared" si="0"/>
        <v>65379222</v>
      </c>
    </row>
    <row r="6" spans="1:16" ht="15.5">
      <c r="A6" s="433" t="s">
        <v>46</v>
      </c>
      <c r="B6" s="434">
        <v>3598371</v>
      </c>
      <c r="C6" s="434">
        <v>2367853</v>
      </c>
      <c r="D6" s="434">
        <v>589410</v>
      </c>
      <c r="E6" s="434">
        <v>989723</v>
      </c>
      <c r="F6" s="434">
        <v>938155.66</v>
      </c>
      <c r="G6" s="434">
        <v>1085664</v>
      </c>
      <c r="H6" s="434">
        <v>1031552</v>
      </c>
      <c r="I6" s="434">
        <v>962384</v>
      </c>
      <c r="J6" s="434">
        <v>1069114</v>
      </c>
      <c r="K6" s="434">
        <v>1249011</v>
      </c>
      <c r="L6" s="434">
        <v>1360003</v>
      </c>
      <c r="M6" s="434">
        <v>1263246</v>
      </c>
      <c r="N6" s="434">
        <v>1099980.3999999999</v>
      </c>
      <c r="O6" s="434">
        <v>1466959</v>
      </c>
      <c r="P6" s="48">
        <f t="shared" si="0"/>
        <v>1466959</v>
      </c>
    </row>
    <row r="7" spans="1:16" ht="15.5">
      <c r="A7" s="433" t="s">
        <v>47</v>
      </c>
      <c r="B7" s="434">
        <v>17984028</v>
      </c>
      <c r="C7" s="434">
        <v>11143660</v>
      </c>
      <c r="D7" s="434">
        <v>7215356</v>
      </c>
      <c r="E7" s="434">
        <v>8285323</v>
      </c>
      <c r="F7" s="434">
        <v>5345068.57</v>
      </c>
      <c r="G7" s="434">
        <v>7233270</v>
      </c>
      <c r="H7" s="434">
        <v>4856792</v>
      </c>
      <c r="I7" s="434">
        <v>16628807</v>
      </c>
      <c r="J7" s="434">
        <v>4555333</v>
      </c>
      <c r="K7" s="434">
        <v>7422485</v>
      </c>
      <c r="L7" s="434">
        <v>14778698</v>
      </c>
      <c r="M7" s="434">
        <v>6224036</v>
      </c>
      <c r="N7" s="434">
        <v>5248937.4999900004</v>
      </c>
      <c r="O7" s="434">
        <v>4658365</v>
      </c>
      <c r="P7" s="48">
        <f t="shared" si="0"/>
        <v>4658365</v>
      </c>
    </row>
    <row r="8" spans="1:16" ht="15.5">
      <c r="A8" s="433" t="s">
        <v>435</v>
      </c>
      <c r="B8" s="434">
        <v>1610361</v>
      </c>
      <c r="C8" s="434">
        <v>1983288</v>
      </c>
      <c r="D8" s="434">
        <v>2042752</v>
      </c>
      <c r="E8" s="434">
        <v>1859249</v>
      </c>
      <c r="F8" s="434">
        <v>1991757.54</v>
      </c>
      <c r="G8" s="434">
        <v>1849774</v>
      </c>
      <c r="H8" s="434">
        <v>2099864</v>
      </c>
      <c r="I8" s="434">
        <v>1886622</v>
      </c>
      <c r="J8" s="434">
        <v>1629195</v>
      </c>
      <c r="K8" s="434">
        <v>1843811</v>
      </c>
      <c r="L8" s="434">
        <v>1649333</v>
      </c>
      <c r="M8" s="434">
        <v>1850126</v>
      </c>
      <c r="N8" s="434">
        <v>1571088.4999899999</v>
      </c>
      <c r="O8" s="434">
        <v>2007703</v>
      </c>
      <c r="P8" s="48">
        <f t="shared" si="0"/>
        <v>2007703</v>
      </c>
    </row>
    <row r="9" spans="1:16" ht="15.5">
      <c r="A9" s="433" t="s">
        <v>436</v>
      </c>
      <c r="B9" s="434">
        <v>622594</v>
      </c>
      <c r="C9" s="434">
        <v>883615</v>
      </c>
      <c r="D9" s="434">
        <v>524606</v>
      </c>
      <c r="E9" s="434">
        <v>494000</v>
      </c>
      <c r="F9" s="434">
        <v>763224.97</v>
      </c>
      <c r="G9" s="434">
        <v>642383</v>
      </c>
      <c r="H9" s="434">
        <v>758778</v>
      </c>
      <c r="I9" s="434">
        <v>766935</v>
      </c>
      <c r="J9" s="434">
        <v>853404</v>
      </c>
      <c r="K9" s="434">
        <v>708490</v>
      </c>
      <c r="L9" s="434">
        <v>803443</v>
      </c>
      <c r="M9" s="434">
        <v>766797</v>
      </c>
      <c r="N9" s="434">
        <v>798980.49999000004</v>
      </c>
      <c r="O9" s="434">
        <v>704393</v>
      </c>
      <c r="P9" s="48">
        <f t="shared" si="0"/>
        <v>704393</v>
      </c>
    </row>
    <row r="10" spans="1:16" ht="15" thickBot="1">
      <c r="A10" s="435" t="s">
        <v>437</v>
      </c>
      <c r="B10" s="436">
        <f t="shared" ref="B10:N10" si="1">SUM(B3:B9)</f>
        <v>282888431.19999999</v>
      </c>
      <c r="C10" s="436">
        <f t="shared" si="1"/>
        <v>290487236</v>
      </c>
      <c r="D10" s="436">
        <f t="shared" si="1"/>
        <v>269202479</v>
      </c>
      <c r="E10" s="436">
        <f t="shared" si="1"/>
        <v>237670899</v>
      </c>
      <c r="F10" s="436">
        <f t="shared" si="1"/>
        <v>265517906.18999997</v>
      </c>
      <c r="G10" s="436">
        <f t="shared" si="1"/>
        <v>253926323</v>
      </c>
      <c r="H10" s="436">
        <f t="shared" si="1"/>
        <v>240590612</v>
      </c>
      <c r="I10" s="436">
        <f t="shared" si="1"/>
        <v>259971945</v>
      </c>
      <c r="J10" s="436">
        <f t="shared" si="1"/>
        <v>233380988</v>
      </c>
      <c r="K10" s="436">
        <f t="shared" si="1"/>
        <v>248592781</v>
      </c>
      <c r="L10" s="436">
        <f t="shared" si="1"/>
        <v>257436742</v>
      </c>
      <c r="M10" s="436">
        <f t="shared" si="1"/>
        <v>231367944</v>
      </c>
      <c r="N10" s="436">
        <f t="shared" si="1"/>
        <v>239255763.19995999</v>
      </c>
      <c r="O10" s="436">
        <f>SUM(O3:O9)</f>
        <v>242415458</v>
      </c>
    </row>
    <row r="11" spans="1:16" ht="16" thickTop="1">
      <c r="A11" s="31"/>
      <c r="B11" s="33"/>
    </row>
    <row r="12" spans="1:16" ht="16">
      <c r="A12" s="363" t="s">
        <v>0</v>
      </c>
    </row>
    <row r="13" spans="1:16" ht="16">
      <c r="A13" s="364" t="s">
        <v>328</v>
      </c>
      <c r="B13" s="34"/>
      <c r="C13" s="34"/>
      <c r="D13" s="35"/>
      <c r="E13" s="35"/>
      <c r="F13" s="35"/>
      <c r="G13" s="35"/>
      <c r="H13" s="35"/>
      <c r="I13" s="35"/>
      <c r="J13" s="35"/>
      <c r="K13" s="35"/>
      <c r="L13" s="35"/>
      <c r="M13" s="35"/>
      <c r="N13" s="35"/>
      <c r="O13" s="35"/>
    </row>
    <row r="14" spans="1:16" ht="16">
      <c r="A14" s="364" t="s">
        <v>329</v>
      </c>
      <c r="B14" s="34"/>
      <c r="C14" s="34"/>
      <c r="D14" s="35"/>
      <c r="E14" s="35"/>
      <c r="F14" s="35"/>
      <c r="G14" s="35"/>
      <c r="H14" s="35"/>
      <c r="I14" s="35"/>
      <c r="J14" s="35"/>
      <c r="K14" s="35"/>
      <c r="L14" s="35"/>
      <c r="M14" s="35"/>
      <c r="N14" s="35"/>
      <c r="O14" s="35"/>
    </row>
    <row r="15" spans="1:16" ht="16">
      <c r="A15" s="364" t="s">
        <v>377</v>
      </c>
      <c r="B15" s="34"/>
      <c r="C15" s="34"/>
      <c r="D15" s="35"/>
      <c r="E15" s="35"/>
      <c r="F15" s="35"/>
      <c r="G15" s="35"/>
      <c r="H15" s="35"/>
      <c r="I15" s="35"/>
      <c r="J15" s="35"/>
      <c r="K15" s="35"/>
      <c r="L15" s="35"/>
      <c r="M15" s="35"/>
      <c r="N15" s="35"/>
      <c r="O15" s="35"/>
    </row>
  </sheetData>
  <pageMargins left="0.7" right="0.7" top="0.75" bottom="0.75" header="0.3" footer="0.3"/>
  <pageSetup scale="95" fitToHeight="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115"/>
  <sheetViews>
    <sheetView zoomScale="115" zoomScaleNormal="115" workbookViewId="0">
      <pane ySplit="1" topLeftCell="A52" activePane="bottomLeft" state="frozen"/>
      <selection pane="bottomLeft" activeCell="A72" sqref="A72:T72"/>
    </sheetView>
  </sheetViews>
  <sheetFormatPr defaultColWidth="9.1796875" defaultRowHeight="14.5"/>
  <cols>
    <col min="1" max="1" width="14.54296875" style="66" customWidth="1"/>
    <col min="2" max="2" width="51.7265625" style="67" customWidth="1"/>
    <col min="3" max="3" width="15.26953125" style="69" hidden="1" customWidth="1"/>
    <col min="4" max="5" width="13.7265625" style="69" hidden="1" customWidth="1"/>
    <col min="6" max="6" width="13.7265625" style="65" hidden="1" customWidth="1"/>
    <col min="7" max="7" width="15.26953125" style="65" hidden="1" customWidth="1"/>
    <col min="8" max="8" width="15.54296875" style="65" hidden="1" customWidth="1"/>
    <col min="9" max="12" width="15.26953125" style="65" hidden="1" customWidth="1"/>
    <col min="13" max="13" width="15.7265625" style="65" hidden="1" customWidth="1"/>
    <col min="14" max="16" width="15" style="65" hidden="1" customWidth="1"/>
    <col min="17" max="17" width="15" style="65" customWidth="1"/>
    <col min="18" max="19" width="15.26953125" style="69" bestFit="1" customWidth="1"/>
    <col min="20" max="20" width="15.7265625" style="69" bestFit="1" customWidth="1"/>
    <col min="21" max="21" width="13.26953125" style="65" customWidth="1"/>
    <col min="22" max="22" width="13.26953125" style="65" bestFit="1" customWidth="1"/>
    <col min="23" max="23" width="13.7265625" style="65" bestFit="1" customWidth="1"/>
    <col min="24" max="16384" width="9.1796875" style="65"/>
  </cols>
  <sheetData>
    <row r="1" spans="1:23" ht="18.5">
      <c r="A1" s="217" t="s">
        <v>391</v>
      </c>
      <c r="B1" s="64"/>
      <c r="C1" s="64"/>
      <c r="D1" s="64"/>
      <c r="E1" s="64"/>
      <c r="F1" s="64"/>
      <c r="G1" s="64"/>
      <c r="H1" s="64"/>
      <c r="I1" s="64"/>
      <c r="J1" s="64"/>
      <c r="K1" s="64"/>
      <c r="L1" s="64"/>
      <c r="M1" s="64"/>
    </row>
    <row r="2" spans="1:23" s="77" customFormat="1" ht="42.75" customHeight="1">
      <c r="A2" s="127" t="s">
        <v>101</v>
      </c>
      <c r="B2" s="127" t="s">
        <v>347</v>
      </c>
      <c r="C2" s="127">
        <v>2007</v>
      </c>
      <c r="D2" s="128">
        <v>2008</v>
      </c>
      <c r="E2" s="128">
        <v>2009</v>
      </c>
      <c r="F2" s="128">
        <v>2010</v>
      </c>
      <c r="G2" s="128">
        <v>2011</v>
      </c>
      <c r="H2" s="128">
        <v>2012</v>
      </c>
      <c r="I2" s="128">
        <v>2013</v>
      </c>
      <c r="J2" s="128">
        <v>2014</v>
      </c>
      <c r="K2" s="128">
        <v>2015</v>
      </c>
      <c r="L2" s="128">
        <v>2016</v>
      </c>
      <c r="M2" s="128">
        <v>2017</v>
      </c>
      <c r="N2" s="128">
        <v>2018</v>
      </c>
      <c r="O2" s="128">
        <v>2019</v>
      </c>
      <c r="P2" s="128">
        <v>2020</v>
      </c>
      <c r="Q2" s="128">
        <v>2021</v>
      </c>
      <c r="R2" s="128">
        <v>2022</v>
      </c>
      <c r="S2" s="128">
        <v>2023</v>
      </c>
      <c r="T2" s="128">
        <v>2024</v>
      </c>
      <c r="V2" s="183" t="s">
        <v>359</v>
      </c>
      <c r="W2" s="183"/>
    </row>
    <row r="3" spans="1:23">
      <c r="A3" s="66" t="s">
        <v>100</v>
      </c>
      <c r="B3" s="67" t="s">
        <v>99</v>
      </c>
      <c r="C3" s="68">
        <v>9179793.0199999977</v>
      </c>
      <c r="D3" s="69">
        <v>7980293</v>
      </c>
      <c r="E3" s="69">
        <v>8959830.959999999</v>
      </c>
      <c r="F3" s="69">
        <v>8214596</v>
      </c>
      <c r="G3" s="69">
        <v>10011126</v>
      </c>
      <c r="H3" s="69">
        <v>10226671.5</v>
      </c>
      <c r="I3" s="69">
        <v>7294105.1900000004</v>
      </c>
      <c r="J3" s="69">
        <v>6823152.6100000003</v>
      </c>
      <c r="K3" s="69">
        <v>7869433</v>
      </c>
      <c r="L3" s="69">
        <v>6916950</v>
      </c>
      <c r="M3" s="69">
        <v>7239871.330000001</v>
      </c>
      <c r="N3" s="69">
        <v>7262514</v>
      </c>
      <c r="O3" s="69">
        <v>6843743.7699999996</v>
      </c>
      <c r="P3" s="69">
        <v>6717704</v>
      </c>
      <c r="Q3" s="69">
        <v>6918081.5200000014</v>
      </c>
      <c r="R3" s="69">
        <v>6381005.6400000006</v>
      </c>
      <c r="S3" s="69">
        <v>6993488.7999999998</v>
      </c>
      <c r="T3" s="69">
        <v>6234914.2400000002</v>
      </c>
      <c r="V3" s="184" t="s">
        <v>102</v>
      </c>
      <c r="W3" s="185">
        <f>T11</f>
        <v>11945879.880000001</v>
      </c>
    </row>
    <row r="4" spans="1:23">
      <c r="B4" s="67" t="s">
        <v>94</v>
      </c>
      <c r="C4" s="68">
        <v>1256473.52</v>
      </c>
      <c r="D4" s="69">
        <v>1722389</v>
      </c>
      <c r="E4" s="69">
        <v>1835707.99</v>
      </c>
      <c r="F4" s="69">
        <v>1760653</v>
      </c>
      <c r="G4" s="69">
        <v>2385971</v>
      </c>
      <c r="H4" s="69">
        <v>3135563.61</v>
      </c>
      <c r="I4" s="69">
        <v>2209566.7000000002</v>
      </c>
      <c r="J4" s="69">
        <v>1704163.07</v>
      </c>
      <c r="K4" s="69">
        <v>1705065.54</v>
      </c>
      <c r="L4" s="69">
        <v>1809300</v>
      </c>
      <c r="M4" s="69">
        <v>2014355.6099999999</v>
      </c>
      <c r="N4" s="69">
        <v>1665717</v>
      </c>
      <c r="O4" s="69">
        <v>1931626.73</v>
      </c>
      <c r="P4" s="69">
        <v>1033555</v>
      </c>
      <c r="Q4" s="69">
        <v>1013255.5699999998</v>
      </c>
      <c r="R4" s="69">
        <v>2483296.91</v>
      </c>
      <c r="S4" s="69">
        <v>2077247.89</v>
      </c>
      <c r="T4" s="69">
        <v>2498238.8200000003</v>
      </c>
      <c r="V4" s="184" t="s">
        <v>103</v>
      </c>
      <c r="W4" s="185">
        <f>T30</f>
        <v>53747035.499999993</v>
      </c>
    </row>
    <row r="5" spans="1:23">
      <c r="B5" s="67" t="s">
        <v>126</v>
      </c>
      <c r="C5" s="68">
        <v>1165186</v>
      </c>
      <c r="D5" s="69">
        <v>1605398</v>
      </c>
      <c r="E5" s="69">
        <v>1769676.3</v>
      </c>
      <c r="F5" s="69">
        <v>1476028</v>
      </c>
      <c r="G5" s="69">
        <v>750143</v>
      </c>
      <c r="H5" s="69">
        <v>573644.63</v>
      </c>
      <c r="I5" s="69">
        <v>381426.58</v>
      </c>
      <c r="J5" s="69">
        <v>379050.12</v>
      </c>
      <c r="K5" s="69">
        <v>625655.61</v>
      </c>
      <c r="L5" s="69">
        <v>793662.02</v>
      </c>
      <c r="M5" s="69">
        <v>392411.07</v>
      </c>
      <c r="N5" s="69">
        <v>736525</v>
      </c>
      <c r="O5" s="69">
        <v>1043403.94</v>
      </c>
      <c r="P5" s="69">
        <v>141696</v>
      </c>
      <c r="Q5" s="69">
        <v>126694.99</v>
      </c>
      <c r="R5" s="69">
        <v>809914.61</v>
      </c>
      <c r="S5" s="69">
        <v>1508675.17</v>
      </c>
      <c r="T5" s="69">
        <v>635970.11</v>
      </c>
      <c r="V5" s="184" t="s">
        <v>360</v>
      </c>
      <c r="W5" s="185">
        <f>T52</f>
        <v>130967663.64999999</v>
      </c>
    </row>
    <row r="6" spans="1:23">
      <c r="B6" s="67" t="s">
        <v>98</v>
      </c>
      <c r="C6" s="68">
        <v>2880400.38</v>
      </c>
      <c r="D6" s="69">
        <v>3150827</v>
      </c>
      <c r="E6" s="69">
        <v>3079230.87</v>
      </c>
      <c r="F6" s="69">
        <v>2640768</v>
      </c>
      <c r="G6" s="69">
        <v>2842702</v>
      </c>
      <c r="H6" s="69">
        <v>2472045.7200000002</v>
      </c>
      <c r="I6" s="69">
        <v>2845423.81</v>
      </c>
      <c r="J6" s="69">
        <v>3425748.4</v>
      </c>
      <c r="K6" s="69">
        <v>2718120.18</v>
      </c>
      <c r="L6" s="69">
        <v>3027580</v>
      </c>
      <c r="M6" s="69">
        <v>2289092.34</v>
      </c>
      <c r="N6" s="69">
        <v>2636188</v>
      </c>
      <c r="O6" s="69">
        <v>1743822.97</v>
      </c>
      <c r="P6" s="69">
        <v>-32873</v>
      </c>
      <c r="Q6" s="69">
        <v>170487.1</v>
      </c>
      <c r="R6" s="69">
        <v>1589691.7400000002</v>
      </c>
      <c r="S6" s="69">
        <v>1457773.33</v>
      </c>
      <c r="T6" s="69">
        <v>1777572.29</v>
      </c>
      <c r="V6" s="184" t="s">
        <v>361</v>
      </c>
      <c r="W6" s="185">
        <f>T54</f>
        <v>14601052.760000004</v>
      </c>
    </row>
    <row r="7" spans="1:23">
      <c r="B7" s="67" t="s">
        <v>95</v>
      </c>
      <c r="C7" s="68">
        <v>728324.19</v>
      </c>
      <c r="D7" s="69">
        <v>1410740</v>
      </c>
      <c r="E7" s="69">
        <v>3668543.08</v>
      </c>
      <c r="F7" s="69">
        <v>1649120</v>
      </c>
      <c r="G7" s="69">
        <v>1124508</v>
      </c>
      <c r="H7" s="69">
        <v>851567.22</v>
      </c>
      <c r="I7" s="69">
        <v>819257.58</v>
      </c>
      <c r="J7" s="69">
        <v>813991.96</v>
      </c>
      <c r="K7" s="69">
        <v>309565.11</v>
      </c>
      <c r="L7" s="69">
        <v>962585</v>
      </c>
      <c r="M7" s="69">
        <v>814089.25</v>
      </c>
      <c r="N7" s="69">
        <v>915292</v>
      </c>
      <c r="O7" s="69">
        <v>512494.07</v>
      </c>
      <c r="P7" s="69">
        <v>1554790</v>
      </c>
      <c r="Q7" s="69">
        <v>1972918.5199999996</v>
      </c>
      <c r="R7" s="69">
        <v>743772.30999999994</v>
      </c>
      <c r="S7" s="69">
        <v>548951.51</v>
      </c>
      <c r="T7" s="69">
        <v>859944.32000000007</v>
      </c>
      <c r="V7" s="184" t="s">
        <v>362</v>
      </c>
      <c r="W7" s="185">
        <f>T56</f>
        <v>2629309.9099999997</v>
      </c>
    </row>
    <row r="8" spans="1:23">
      <c r="B8" s="67" t="s">
        <v>96</v>
      </c>
      <c r="C8" s="68">
        <v>1519667.06</v>
      </c>
      <c r="D8" s="69">
        <v>20924</v>
      </c>
      <c r="E8" s="69">
        <v>235611.62</v>
      </c>
      <c r="F8" s="69">
        <v>205064</v>
      </c>
      <c r="G8" s="69">
        <v>358523</v>
      </c>
      <c r="H8" s="69">
        <v>358213.68</v>
      </c>
      <c r="I8" s="69">
        <v>604601.54</v>
      </c>
      <c r="J8" s="69">
        <v>171313.17</v>
      </c>
      <c r="K8" s="69">
        <v>309498.65000000002</v>
      </c>
      <c r="L8" s="69">
        <v>1278361</v>
      </c>
      <c r="M8" s="69">
        <v>272192</v>
      </c>
      <c r="N8" s="69">
        <v>116413</v>
      </c>
      <c r="O8" s="69">
        <v>66974.570000000007</v>
      </c>
      <c r="P8" s="69">
        <v>1611234</v>
      </c>
      <c r="Q8" s="69">
        <v>2322393.5100000007</v>
      </c>
      <c r="R8" s="69">
        <v>8504.7999999999993</v>
      </c>
      <c r="S8" s="69">
        <v>187479.55</v>
      </c>
      <c r="T8" s="69">
        <v>-193039</v>
      </c>
      <c r="V8" s="184" t="s">
        <v>23</v>
      </c>
      <c r="W8" s="185">
        <f>T65</f>
        <v>50851789.049999997</v>
      </c>
    </row>
    <row r="9" spans="1:23">
      <c r="B9" s="67" t="s">
        <v>97</v>
      </c>
      <c r="C9" s="68">
        <v>279720.64</v>
      </c>
      <c r="D9" s="69">
        <v>152309</v>
      </c>
      <c r="E9" s="69">
        <v>202092.42</v>
      </c>
      <c r="F9" s="69">
        <v>180104</v>
      </c>
      <c r="G9" s="69">
        <v>160153</v>
      </c>
      <c r="H9" s="69">
        <v>237485.58</v>
      </c>
      <c r="I9" s="69">
        <v>181861.7</v>
      </c>
      <c r="J9" s="69">
        <v>312773.18</v>
      </c>
      <c r="K9" s="69">
        <v>714662.68</v>
      </c>
      <c r="L9" s="69">
        <v>263562</v>
      </c>
      <c r="M9" s="69">
        <v>272941</v>
      </c>
      <c r="N9" s="69">
        <v>255321</v>
      </c>
      <c r="O9" s="69">
        <v>105320.74</v>
      </c>
      <c r="P9" s="69">
        <v>481619</v>
      </c>
      <c r="Q9" s="69">
        <v>661454.89000000013</v>
      </c>
      <c r="R9" s="69">
        <v>119282.6</v>
      </c>
      <c r="S9" s="69">
        <v>103478.86</v>
      </c>
      <c r="T9" s="69">
        <v>132279.1</v>
      </c>
      <c r="W9" s="69"/>
    </row>
    <row r="10" spans="1:23" hidden="1">
      <c r="B10" s="67" t="s">
        <v>224</v>
      </c>
      <c r="C10" s="67"/>
      <c r="D10" s="67"/>
      <c r="E10" s="67"/>
      <c r="F10" s="67"/>
      <c r="G10" s="69">
        <v>0</v>
      </c>
      <c r="H10" s="69">
        <v>0</v>
      </c>
      <c r="I10" s="69">
        <v>0</v>
      </c>
      <c r="J10" s="69">
        <v>0</v>
      </c>
      <c r="K10" s="69">
        <v>0</v>
      </c>
      <c r="L10" s="69">
        <v>0</v>
      </c>
      <c r="M10" s="69">
        <v>0</v>
      </c>
      <c r="N10" s="69">
        <v>0</v>
      </c>
      <c r="O10" s="69">
        <v>0</v>
      </c>
      <c r="P10" s="69">
        <v>7529</v>
      </c>
      <c r="Q10" s="69">
        <v>10385.77</v>
      </c>
      <c r="R10" s="69">
        <v>6869.78</v>
      </c>
      <c r="S10" s="69">
        <v>583.57000000000016</v>
      </c>
      <c r="T10" s="69">
        <v>0</v>
      </c>
    </row>
    <row r="11" spans="1:23">
      <c r="A11" s="471"/>
      <c r="B11" s="471"/>
      <c r="C11" s="70">
        <f t="shared" ref="C11:S11" si="0">SUM(C2:C10)</f>
        <v>17011571.809999999</v>
      </c>
      <c r="D11" s="70">
        <f t="shared" si="0"/>
        <v>16044888</v>
      </c>
      <c r="E11" s="70">
        <f t="shared" si="0"/>
        <v>19752702.240000006</v>
      </c>
      <c r="F11" s="70">
        <f t="shared" si="0"/>
        <v>16128343</v>
      </c>
      <c r="G11" s="70">
        <f t="shared" si="0"/>
        <v>17635137</v>
      </c>
      <c r="H11" s="70">
        <f t="shared" si="0"/>
        <v>17857203.939999998</v>
      </c>
      <c r="I11" s="70">
        <f t="shared" si="0"/>
        <v>14338256.100000001</v>
      </c>
      <c r="J11" s="70">
        <f t="shared" si="0"/>
        <v>13632206.51</v>
      </c>
      <c r="K11" s="70">
        <f t="shared" si="0"/>
        <v>14254015.769999998</v>
      </c>
      <c r="L11" s="70">
        <f t="shared" si="0"/>
        <v>15054016.02</v>
      </c>
      <c r="M11" s="70">
        <f t="shared" si="0"/>
        <v>13296969.600000001</v>
      </c>
      <c r="N11" s="70">
        <f t="shared" si="0"/>
        <v>13589988</v>
      </c>
      <c r="O11" s="70">
        <f t="shared" si="0"/>
        <v>12249405.790000001</v>
      </c>
      <c r="P11" s="70">
        <f t="shared" si="0"/>
        <v>11517274</v>
      </c>
      <c r="Q11" s="70">
        <f t="shared" si="0"/>
        <v>13197692.870000001</v>
      </c>
      <c r="R11" s="70">
        <f t="shared" si="0"/>
        <v>12144360.390000001</v>
      </c>
      <c r="S11" s="70">
        <f t="shared" si="0"/>
        <v>12879701.68</v>
      </c>
      <c r="T11" s="70">
        <f>SUM(T3:T10)</f>
        <v>11945879.880000001</v>
      </c>
    </row>
    <row r="12" spans="1:23">
      <c r="C12" s="67"/>
      <c r="D12" s="67"/>
      <c r="E12" s="67"/>
      <c r="F12" s="67"/>
      <c r="G12" s="69"/>
      <c r="H12" s="69"/>
      <c r="I12" s="69"/>
      <c r="J12" s="69"/>
      <c r="K12" s="69"/>
      <c r="L12" s="69"/>
      <c r="M12" s="69"/>
      <c r="N12" s="69"/>
      <c r="O12" s="69"/>
      <c r="P12" s="69"/>
      <c r="Q12" s="69"/>
    </row>
    <row r="13" spans="1:23">
      <c r="A13" s="66" t="s">
        <v>51</v>
      </c>
      <c r="B13" s="67" t="s">
        <v>93</v>
      </c>
      <c r="C13" s="68">
        <v>11114130.18</v>
      </c>
      <c r="D13" s="69">
        <v>10237010</v>
      </c>
      <c r="E13" s="69">
        <v>10170388.799999999</v>
      </c>
      <c r="F13" s="69">
        <v>13269950</v>
      </c>
      <c r="G13" s="69">
        <v>10238326</v>
      </c>
      <c r="H13" s="69">
        <v>15805508.949999999</v>
      </c>
      <c r="I13" s="69">
        <v>13248074.52</v>
      </c>
      <c r="J13" s="69">
        <v>14244565.92</v>
      </c>
      <c r="K13" s="69">
        <v>14416087.09</v>
      </c>
      <c r="L13" s="69">
        <v>15246156</v>
      </c>
      <c r="M13" s="69">
        <v>14664698.560000001</v>
      </c>
      <c r="N13" s="69">
        <v>15400007</v>
      </c>
      <c r="O13" s="69">
        <v>13814905.16</v>
      </c>
      <c r="P13" s="69">
        <v>13304458</v>
      </c>
      <c r="Q13" s="69">
        <v>12989476</v>
      </c>
      <c r="R13" s="69">
        <v>13543102.330000004</v>
      </c>
      <c r="S13" s="69">
        <v>14941328.870000001</v>
      </c>
      <c r="T13" s="69">
        <v>14959730.310000001</v>
      </c>
      <c r="W13" s="69"/>
    </row>
    <row r="14" spans="1:23">
      <c r="B14" s="67" t="s">
        <v>92</v>
      </c>
      <c r="C14" s="67"/>
      <c r="D14" s="67"/>
      <c r="E14" s="67"/>
      <c r="F14" s="67"/>
      <c r="G14" s="69">
        <v>0</v>
      </c>
      <c r="H14" s="69">
        <v>59516.38</v>
      </c>
      <c r="I14" s="69">
        <v>76366.52</v>
      </c>
      <c r="J14" s="69">
        <v>112610.87</v>
      </c>
      <c r="K14" s="69">
        <v>88522.53</v>
      </c>
      <c r="L14" s="69">
        <v>55535</v>
      </c>
      <c r="M14" s="69">
        <v>18413</v>
      </c>
      <c r="N14" s="69">
        <v>30354</v>
      </c>
      <c r="O14" s="69">
        <v>24640.92</v>
      </c>
      <c r="P14" s="69">
        <v>33404</v>
      </c>
      <c r="Q14" s="69">
        <v>31021</v>
      </c>
      <c r="R14" s="69">
        <v>30098.36</v>
      </c>
      <c r="S14" s="69">
        <v>-13951.689999999999</v>
      </c>
      <c r="T14" s="69">
        <v>20584.7</v>
      </c>
    </row>
    <row r="15" spans="1:23" hidden="1">
      <c r="B15" s="67" t="s">
        <v>144</v>
      </c>
      <c r="C15" s="67"/>
      <c r="D15" s="67"/>
      <c r="E15" s="67"/>
      <c r="F15" s="67"/>
      <c r="G15" s="69">
        <v>0</v>
      </c>
      <c r="H15" s="69">
        <v>0</v>
      </c>
      <c r="I15" s="69">
        <v>0</v>
      </c>
      <c r="J15" s="69">
        <v>0</v>
      </c>
      <c r="K15" s="69">
        <v>0</v>
      </c>
      <c r="L15" s="69">
        <v>0</v>
      </c>
      <c r="M15" s="69">
        <v>0</v>
      </c>
      <c r="N15" s="69">
        <v>20658</v>
      </c>
      <c r="O15" s="69">
        <v>-134</v>
      </c>
      <c r="P15" s="69">
        <v>0</v>
      </c>
      <c r="Q15" s="69">
        <v>216</v>
      </c>
      <c r="R15" s="69">
        <v>-2960</v>
      </c>
      <c r="S15" s="69">
        <v>0</v>
      </c>
      <c r="T15" s="69">
        <v>0</v>
      </c>
    </row>
    <row r="16" spans="1:23">
      <c r="B16" s="71" t="s">
        <v>91</v>
      </c>
      <c r="C16" s="72">
        <f t="shared" ref="C16:F16" si="1">SUM(C13:C15)</f>
        <v>11114130.18</v>
      </c>
      <c r="D16" s="72">
        <f t="shared" si="1"/>
        <v>10237010</v>
      </c>
      <c r="E16" s="72">
        <f t="shared" si="1"/>
        <v>10170388.799999999</v>
      </c>
      <c r="F16" s="72">
        <f t="shared" si="1"/>
        <v>13269950</v>
      </c>
      <c r="G16" s="72">
        <f t="shared" ref="G16:R16" si="2">SUM(G13:G15)</f>
        <v>10238326</v>
      </c>
      <c r="H16" s="72">
        <f t="shared" si="2"/>
        <v>15865025.33</v>
      </c>
      <c r="I16" s="72">
        <f t="shared" si="2"/>
        <v>13324441.039999999</v>
      </c>
      <c r="J16" s="72">
        <f t="shared" si="2"/>
        <v>14357176.789999999</v>
      </c>
      <c r="K16" s="72">
        <f t="shared" si="2"/>
        <v>14504609.619999999</v>
      </c>
      <c r="L16" s="72">
        <f t="shared" si="2"/>
        <v>15301691</v>
      </c>
      <c r="M16" s="72">
        <f t="shared" si="2"/>
        <v>14683111.560000001</v>
      </c>
      <c r="N16" s="72">
        <f t="shared" si="2"/>
        <v>15451019</v>
      </c>
      <c r="O16" s="72">
        <v>13839412.08</v>
      </c>
      <c r="P16" s="72">
        <f t="shared" si="2"/>
        <v>13337862</v>
      </c>
      <c r="Q16" s="72">
        <f t="shared" si="2"/>
        <v>13020713</v>
      </c>
      <c r="R16" s="72">
        <f t="shared" si="2"/>
        <v>13570240.690000003</v>
      </c>
      <c r="S16" s="72">
        <f t="shared" ref="S16" si="3">SUM(S13:S15)</f>
        <v>14927377.180000002</v>
      </c>
      <c r="T16" s="72">
        <f>SUM(T13:T15)</f>
        <v>14980315.01</v>
      </c>
    </row>
    <row r="17" spans="1:22" ht="4.9000000000000004" customHeight="1">
      <c r="C17" s="67"/>
      <c r="D17" s="67"/>
      <c r="E17" s="67"/>
      <c r="F17" s="67"/>
      <c r="G17" s="69"/>
      <c r="H17" s="69"/>
      <c r="I17" s="69"/>
      <c r="J17" s="69"/>
      <c r="K17" s="69"/>
      <c r="L17" s="69"/>
      <c r="M17" s="69"/>
      <c r="N17" s="69"/>
      <c r="O17" s="69"/>
      <c r="P17" s="69"/>
      <c r="Q17" s="69"/>
    </row>
    <row r="18" spans="1:22" ht="14.5" customHeight="1">
      <c r="B18" s="67" t="s">
        <v>90</v>
      </c>
      <c r="C18" s="68">
        <v>7139046.5899999933</v>
      </c>
      <c r="D18" s="69">
        <v>11072547</v>
      </c>
      <c r="E18" s="69">
        <v>8429206.9700000007</v>
      </c>
      <c r="F18" s="69">
        <v>9174578</v>
      </c>
      <c r="G18" s="69">
        <v>10847630</v>
      </c>
      <c r="H18" s="69">
        <v>17836560.809999999</v>
      </c>
      <c r="I18" s="69">
        <v>18281035.739999998</v>
      </c>
      <c r="J18" s="69">
        <v>13726829.310000001</v>
      </c>
      <c r="K18" s="69">
        <v>15455053.789999999</v>
      </c>
      <c r="L18" s="69">
        <v>11875775</v>
      </c>
      <c r="M18" s="69">
        <v>12451687.119999999</v>
      </c>
      <c r="N18" s="69">
        <v>11779934</v>
      </c>
      <c r="O18" s="69">
        <v>11128381.119999999</v>
      </c>
      <c r="P18" s="69">
        <v>15378235</v>
      </c>
      <c r="Q18" s="69">
        <v>12697808</v>
      </c>
      <c r="R18" s="69">
        <v>17106379.209999997</v>
      </c>
      <c r="S18" s="69">
        <v>13168525.5</v>
      </c>
      <c r="T18" s="69">
        <v>16910914.650000002</v>
      </c>
    </row>
    <row r="19" spans="1:22">
      <c r="B19" s="67" t="s">
        <v>88</v>
      </c>
      <c r="C19" s="68"/>
      <c r="D19" s="69">
        <v>199247</v>
      </c>
      <c r="E19" s="69">
        <v>923271.99</v>
      </c>
      <c r="F19" s="69">
        <v>1397773</v>
      </c>
      <c r="G19" s="69">
        <v>2551533</v>
      </c>
      <c r="H19" s="69">
        <v>2487432.84</v>
      </c>
      <c r="I19" s="69">
        <v>2905499.55</v>
      </c>
      <c r="J19" s="69">
        <v>1368456.31</v>
      </c>
      <c r="K19" s="69">
        <v>2742180.2</v>
      </c>
      <c r="L19" s="69">
        <v>3352210</v>
      </c>
      <c r="M19" s="69">
        <v>4013413.03</v>
      </c>
      <c r="N19" s="69">
        <v>4107184</v>
      </c>
      <c r="O19" s="69">
        <v>2658008.98</v>
      </c>
      <c r="P19" s="69">
        <v>2871776</v>
      </c>
      <c r="Q19" s="69">
        <v>3309193</v>
      </c>
      <c r="R19" s="69">
        <v>3776966.3900000006</v>
      </c>
      <c r="S19" s="69">
        <v>3988677.7099999995</v>
      </c>
      <c r="T19" s="69">
        <v>5275837.66</v>
      </c>
    </row>
    <row r="20" spans="1:22" hidden="1">
      <c r="B20" s="67" t="s">
        <v>89</v>
      </c>
      <c r="C20" s="68">
        <v>91398.37</v>
      </c>
      <c r="D20" s="69">
        <v>84952</v>
      </c>
      <c r="E20" s="69">
        <v>91275.06</v>
      </c>
      <c r="F20" s="69">
        <v>66967</v>
      </c>
      <c r="G20" s="69">
        <v>0</v>
      </c>
      <c r="H20" s="69">
        <v>0</v>
      </c>
      <c r="I20" s="69">
        <v>0</v>
      </c>
      <c r="J20" s="69">
        <v>0</v>
      </c>
      <c r="K20" s="69">
        <v>0</v>
      </c>
      <c r="L20" s="69">
        <v>0</v>
      </c>
      <c r="M20" s="69">
        <v>0</v>
      </c>
      <c r="N20" s="69">
        <v>0</v>
      </c>
      <c r="O20" s="69">
        <v>0</v>
      </c>
      <c r="P20" s="69">
        <v>0</v>
      </c>
      <c r="Q20" s="69">
        <v>0</v>
      </c>
      <c r="R20" s="69">
        <v>0</v>
      </c>
      <c r="S20" s="69">
        <v>0</v>
      </c>
      <c r="T20" s="69">
        <v>0</v>
      </c>
    </row>
    <row r="21" spans="1:22">
      <c r="B21" s="71" t="s">
        <v>87</v>
      </c>
      <c r="C21" s="72">
        <f t="shared" ref="C21:F21" si="4">SUM(C18:C20)</f>
        <v>7230444.9599999934</v>
      </c>
      <c r="D21" s="72">
        <f t="shared" si="4"/>
        <v>11356746</v>
      </c>
      <c r="E21" s="72">
        <f t="shared" si="4"/>
        <v>9443754.0200000014</v>
      </c>
      <c r="F21" s="72">
        <f t="shared" si="4"/>
        <v>10639318</v>
      </c>
      <c r="G21" s="72">
        <f t="shared" ref="G21:R21" si="5">SUM(G18:G20)</f>
        <v>13399163</v>
      </c>
      <c r="H21" s="72">
        <f t="shared" si="5"/>
        <v>20323993.649999999</v>
      </c>
      <c r="I21" s="72">
        <f t="shared" si="5"/>
        <v>21186535.289999999</v>
      </c>
      <c r="J21" s="72">
        <f t="shared" si="5"/>
        <v>15095285.620000001</v>
      </c>
      <c r="K21" s="72">
        <f t="shared" si="5"/>
        <v>18197233.989999998</v>
      </c>
      <c r="L21" s="72">
        <f t="shared" si="5"/>
        <v>15227985</v>
      </c>
      <c r="M21" s="72">
        <f t="shared" si="5"/>
        <v>16465100.149999999</v>
      </c>
      <c r="N21" s="72">
        <f t="shared" si="5"/>
        <v>15887118</v>
      </c>
      <c r="O21" s="72">
        <v>13786390.1</v>
      </c>
      <c r="P21" s="72">
        <f t="shared" si="5"/>
        <v>18250011</v>
      </c>
      <c r="Q21" s="72">
        <f t="shared" si="5"/>
        <v>16007001</v>
      </c>
      <c r="R21" s="72">
        <f t="shared" si="5"/>
        <v>20883345.599999998</v>
      </c>
      <c r="S21" s="72">
        <f t="shared" ref="S21" si="6">SUM(S18:S20)</f>
        <v>17157203.210000001</v>
      </c>
      <c r="T21" s="72">
        <f>SUM(T18:T20)</f>
        <v>22186752.310000002</v>
      </c>
    </row>
    <row r="22" spans="1:22" ht="3" customHeight="1">
      <c r="C22" s="67"/>
      <c r="D22" s="67"/>
      <c r="E22" s="67"/>
      <c r="F22" s="67"/>
      <c r="G22" s="69"/>
      <c r="H22" s="69"/>
      <c r="I22" s="69"/>
      <c r="J22" s="69"/>
      <c r="K22" s="69"/>
      <c r="L22" s="69"/>
      <c r="M22" s="69"/>
      <c r="N22" s="69"/>
      <c r="O22" s="69"/>
      <c r="P22" s="69"/>
      <c r="Q22" s="69"/>
    </row>
    <row r="23" spans="1:22" ht="13.9" customHeight="1">
      <c r="B23" s="67" t="s">
        <v>86</v>
      </c>
      <c r="C23" s="68">
        <v>6615256.2299999977</v>
      </c>
      <c r="D23" s="69">
        <v>5912604</v>
      </c>
      <c r="E23" s="69">
        <v>6134349.6300000008</v>
      </c>
      <c r="F23" s="69">
        <v>7712743</v>
      </c>
      <c r="G23" s="69">
        <v>9148722</v>
      </c>
      <c r="H23" s="69">
        <v>11855753.15</v>
      </c>
      <c r="I23" s="69">
        <v>10691474.27</v>
      </c>
      <c r="J23" s="69">
        <v>12164790.199999999</v>
      </c>
      <c r="K23" s="69">
        <v>11894739.43</v>
      </c>
      <c r="L23" s="69">
        <v>12793663</v>
      </c>
      <c r="M23" s="69">
        <v>10976873.369999997</v>
      </c>
      <c r="N23" s="69">
        <v>11026037</v>
      </c>
      <c r="O23" s="69">
        <v>11069042.779999999</v>
      </c>
      <c r="P23" s="69">
        <v>11813405</v>
      </c>
      <c r="Q23" s="69">
        <v>12161212</v>
      </c>
      <c r="R23" s="69">
        <v>12669640.760000004</v>
      </c>
      <c r="S23" s="69">
        <v>12331525.75</v>
      </c>
      <c r="T23" s="69">
        <v>12755765.969999995</v>
      </c>
    </row>
    <row r="24" spans="1:22" hidden="1">
      <c r="B24" s="67" t="s">
        <v>85</v>
      </c>
      <c r="C24" s="68">
        <v>90223.01</v>
      </c>
      <c r="D24" s="69">
        <v>211309</v>
      </c>
      <c r="E24" s="69">
        <v>150323.82999999999</v>
      </c>
      <c r="F24" s="69">
        <v>181562</v>
      </c>
      <c r="G24" s="69">
        <v>43689</v>
      </c>
      <c r="H24" s="69">
        <v>0</v>
      </c>
      <c r="I24" s="69">
        <v>0</v>
      </c>
      <c r="J24" s="69">
        <v>0</v>
      </c>
      <c r="K24" s="69">
        <v>0</v>
      </c>
      <c r="L24" s="69">
        <v>0</v>
      </c>
      <c r="M24" s="69">
        <v>0</v>
      </c>
      <c r="N24" s="69">
        <v>0</v>
      </c>
      <c r="O24" s="69">
        <v>0</v>
      </c>
      <c r="P24" s="69">
        <v>0</v>
      </c>
      <c r="Q24" s="69">
        <v>0</v>
      </c>
      <c r="R24" s="69">
        <v>0</v>
      </c>
      <c r="S24" s="69">
        <v>0</v>
      </c>
      <c r="T24" s="69">
        <v>0</v>
      </c>
    </row>
    <row r="25" spans="1:22">
      <c r="B25" s="71" t="s">
        <v>84</v>
      </c>
      <c r="C25" s="72">
        <f t="shared" ref="C25:T25" si="7">SUM(C23:C24)</f>
        <v>6705479.2399999974</v>
      </c>
      <c r="D25" s="72">
        <f t="shared" si="7"/>
        <v>6123913</v>
      </c>
      <c r="E25" s="72">
        <f t="shared" si="7"/>
        <v>6284673.4600000009</v>
      </c>
      <c r="F25" s="72">
        <f t="shared" si="7"/>
        <v>7894305</v>
      </c>
      <c r="G25" s="72">
        <f t="shared" si="7"/>
        <v>9192411</v>
      </c>
      <c r="H25" s="72">
        <f t="shared" si="7"/>
        <v>11855753.15</v>
      </c>
      <c r="I25" s="72">
        <f t="shared" si="7"/>
        <v>10691474.27</v>
      </c>
      <c r="J25" s="72">
        <f t="shared" si="7"/>
        <v>12164790.199999999</v>
      </c>
      <c r="K25" s="72">
        <f t="shared" si="7"/>
        <v>11894739.43</v>
      </c>
      <c r="L25" s="72">
        <f t="shared" si="7"/>
        <v>12793663</v>
      </c>
      <c r="M25" s="72">
        <f t="shared" si="7"/>
        <v>10976873.369999997</v>
      </c>
      <c r="N25" s="72">
        <f t="shared" si="7"/>
        <v>11026037</v>
      </c>
      <c r="O25" s="72">
        <f t="shared" si="7"/>
        <v>11069042.779999999</v>
      </c>
      <c r="P25" s="72">
        <f t="shared" si="7"/>
        <v>11813405</v>
      </c>
      <c r="Q25" s="72">
        <f t="shared" si="7"/>
        <v>12161212</v>
      </c>
      <c r="R25" s="72">
        <f t="shared" si="7"/>
        <v>12669640.760000004</v>
      </c>
      <c r="S25" s="72">
        <f t="shared" si="7"/>
        <v>12331525.75</v>
      </c>
      <c r="T25" s="72">
        <f t="shared" si="7"/>
        <v>12755765.969999995</v>
      </c>
    </row>
    <row r="26" spans="1:22" ht="3.65" customHeight="1">
      <c r="C26" s="67"/>
      <c r="D26" s="67"/>
      <c r="E26" s="67"/>
      <c r="F26" s="67"/>
      <c r="G26" s="69"/>
      <c r="H26" s="69"/>
      <c r="I26" s="69"/>
      <c r="J26" s="69"/>
      <c r="K26" s="69"/>
      <c r="L26" s="69"/>
      <c r="M26" s="69"/>
      <c r="N26" s="69"/>
      <c r="O26" s="69"/>
      <c r="P26" s="69"/>
      <c r="Q26" s="69"/>
    </row>
    <row r="27" spans="1:22" ht="15" customHeight="1">
      <c r="B27" s="67" t="s">
        <v>83</v>
      </c>
      <c r="C27" s="68">
        <v>2234653.27</v>
      </c>
      <c r="D27" s="69">
        <v>2762721</v>
      </c>
      <c r="E27" s="69">
        <v>2829532.73</v>
      </c>
      <c r="F27" s="69">
        <v>2913118</v>
      </c>
      <c r="G27" s="69">
        <v>2414914</v>
      </c>
      <c r="H27" s="69">
        <v>2382531.36</v>
      </c>
      <c r="I27" s="69">
        <v>2777167.37</v>
      </c>
      <c r="J27" s="69">
        <v>3063650.19</v>
      </c>
      <c r="K27" s="69">
        <v>3051536.75</v>
      </c>
      <c r="L27" s="69">
        <v>3810995</v>
      </c>
      <c r="M27" s="69">
        <v>3076776</v>
      </c>
      <c r="N27" s="69">
        <v>3185901</v>
      </c>
      <c r="O27" s="69">
        <v>2087883.66</v>
      </c>
      <c r="P27" s="69">
        <v>3809330</v>
      </c>
      <c r="Q27" s="69">
        <v>2402503</v>
      </c>
      <c r="R27" s="69">
        <v>3150954.07</v>
      </c>
      <c r="S27" s="69">
        <v>2740096.79</v>
      </c>
      <c r="T27" s="69">
        <v>3817583.21</v>
      </c>
    </row>
    <row r="28" spans="1:22">
      <c r="B28" s="67" t="s">
        <v>266</v>
      </c>
      <c r="C28" s="68"/>
      <c r="F28" s="69"/>
      <c r="G28" s="69">
        <v>0</v>
      </c>
      <c r="H28" s="69">
        <v>0</v>
      </c>
      <c r="I28" s="69">
        <v>0</v>
      </c>
      <c r="J28" s="69">
        <v>0</v>
      </c>
      <c r="K28" s="69">
        <v>0</v>
      </c>
      <c r="L28" s="69">
        <v>0</v>
      </c>
      <c r="M28" s="69">
        <v>0</v>
      </c>
      <c r="N28" s="69">
        <v>0</v>
      </c>
      <c r="O28" s="69">
        <v>0</v>
      </c>
      <c r="P28" s="69">
        <v>0</v>
      </c>
      <c r="Q28" s="69">
        <v>0</v>
      </c>
      <c r="R28" s="69">
        <v>11557</v>
      </c>
      <c r="S28" s="69">
        <v>1127</v>
      </c>
      <c r="T28" s="69">
        <v>6619</v>
      </c>
    </row>
    <row r="29" spans="1:22">
      <c r="B29" s="71" t="s">
        <v>82</v>
      </c>
      <c r="C29" s="72">
        <f t="shared" ref="C29:F29" si="8">SUM(C27:C27)</f>
        <v>2234653.27</v>
      </c>
      <c r="D29" s="72">
        <f t="shared" si="8"/>
        <v>2762721</v>
      </c>
      <c r="E29" s="72">
        <f t="shared" si="8"/>
        <v>2829532.73</v>
      </c>
      <c r="F29" s="72">
        <f t="shared" si="8"/>
        <v>2913118</v>
      </c>
      <c r="G29" s="72">
        <f t="shared" ref="G29:Q29" si="9">SUM(G27:G27)</f>
        <v>2414914</v>
      </c>
      <c r="H29" s="72">
        <f t="shared" si="9"/>
        <v>2382531.36</v>
      </c>
      <c r="I29" s="72">
        <f t="shared" si="9"/>
        <v>2777167.37</v>
      </c>
      <c r="J29" s="72">
        <f t="shared" si="9"/>
        <v>3063650.19</v>
      </c>
      <c r="K29" s="72">
        <f t="shared" si="9"/>
        <v>3051536.75</v>
      </c>
      <c r="L29" s="72">
        <f t="shared" si="9"/>
        <v>3810995</v>
      </c>
      <c r="M29" s="72">
        <f t="shared" si="9"/>
        <v>3076776</v>
      </c>
      <c r="N29" s="72">
        <f t="shared" si="9"/>
        <v>3185901</v>
      </c>
      <c r="O29" s="72">
        <f t="shared" si="9"/>
        <v>2087883.66</v>
      </c>
      <c r="P29" s="72">
        <f t="shared" si="9"/>
        <v>3809330</v>
      </c>
      <c r="Q29" s="72">
        <f t="shared" si="9"/>
        <v>2402503</v>
      </c>
      <c r="R29" s="72">
        <f>SUM(R27:R28)</f>
        <v>3162511.07</v>
      </c>
      <c r="S29" s="72">
        <f>SUM(S27:S28)</f>
        <v>2741223.79</v>
      </c>
      <c r="T29" s="72">
        <f>SUM(T27:T28)</f>
        <v>3824202.21</v>
      </c>
    </row>
    <row r="30" spans="1:22">
      <c r="A30" s="472" t="s">
        <v>81</v>
      </c>
      <c r="B30" s="472"/>
      <c r="C30" s="70">
        <f t="shared" ref="C30:S30" si="10">SUM(C29,C25,C21,C16)</f>
        <v>27284707.649999991</v>
      </c>
      <c r="D30" s="70">
        <f t="shared" si="10"/>
        <v>30480390</v>
      </c>
      <c r="E30" s="70">
        <f t="shared" si="10"/>
        <v>28728349.009999998</v>
      </c>
      <c r="F30" s="70">
        <f t="shared" si="10"/>
        <v>34716691</v>
      </c>
      <c r="G30" s="70">
        <f t="shared" si="10"/>
        <v>35244814</v>
      </c>
      <c r="H30" s="70">
        <f t="shared" si="10"/>
        <v>50427303.489999995</v>
      </c>
      <c r="I30" s="70">
        <f t="shared" si="10"/>
        <v>47979617.969999999</v>
      </c>
      <c r="J30" s="70">
        <f t="shared" si="10"/>
        <v>44680902.799999997</v>
      </c>
      <c r="K30" s="70">
        <f t="shared" si="10"/>
        <v>47648119.789999999</v>
      </c>
      <c r="L30" s="70">
        <f t="shared" si="10"/>
        <v>47134334</v>
      </c>
      <c r="M30" s="70">
        <f t="shared" si="10"/>
        <v>45201861.079999998</v>
      </c>
      <c r="N30" s="70">
        <f t="shared" si="10"/>
        <v>45550075</v>
      </c>
      <c r="O30" s="70">
        <f t="shared" si="10"/>
        <v>40782728.619999997</v>
      </c>
      <c r="P30" s="70">
        <f t="shared" si="10"/>
        <v>47210608</v>
      </c>
      <c r="Q30" s="70">
        <f t="shared" si="10"/>
        <v>43591429</v>
      </c>
      <c r="R30" s="70">
        <f t="shared" si="10"/>
        <v>50285738.120000005</v>
      </c>
      <c r="S30" s="70">
        <f t="shared" si="10"/>
        <v>47157329.93</v>
      </c>
      <c r="T30" s="70">
        <f>SUM(T16,T21,T25,T29)</f>
        <v>53747035.499999993</v>
      </c>
    </row>
    <row r="31" spans="1:22" ht="18" customHeight="1">
      <c r="B31" s="66"/>
      <c r="C31" s="66"/>
      <c r="D31" s="66"/>
      <c r="E31" s="66"/>
      <c r="F31" s="66"/>
      <c r="G31" s="69"/>
      <c r="H31" s="69"/>
      <c r="I31" s="69"/>
      <c r="J31" s="69"/>
      <c r="K31" s="69"/>
      <c r="L31" s="69"/>
      <c r="M31" s="69"/>
      <c r="N31" s="69"/>
      <c r="O31" s="69"/>
      <c r="P31" s="69"/>
      <c r="Q31" s="69"/>
    </row>
    <row r="32" spans="1:22">
      <c r="A32" s="66" t="s">
        <v>80</v>
      </c>
      <c r="B32" s="67" t="s">
        <v>61</v>
      </c>
      <c r="C32" s="68">
        <v>10974056.929999998</v>
      </c>
      <c r="D32" s="69">
        <v>10793537</v>
      </c>
      <c r="E32" s="69">
        <v>17438231.43</v>
      </c>
      <c r="F32" s="69">
        <v>24319364</v>
      </c>
      <c r="G32" s="69">
        <v>32944242</v>
      </c>
      <c r="H32" s="69">
        <v>25813515.890000001</v>
      </c>
      <c r="I32" s="69">
        <v>25447028.68</v>
      </c>
      <c r="J32" s="69">
        <v>23930423.989999998</v>
      </c>
      <c r="K32" s="69">
        <v>27481990.550000001</v>
      </c>
      <c r="L32" s="69">
        <v>27344154</v>
      </c>
      <c r="M32" s="69">
        <v>23095849.280000001</v>
      </c>
      <c r="N32" s="69">
        <v>30088177</v>
      </c>
      <c r="O32" s="69">
        <v>23060163.939999994</v>
      </c>
      <c r="P32" s="69">
        <v>24699925.880000006</v>
      </c>
      <c r="Q32" s="69">
        <v>25502528.089999992</v>
      </c>
      <c r="R32" s="69">
        <v>21137744.770000003</v>
      </c>
      <c r="S32" s="69">
        <v>28908157.299999997</v>
      </c>
      <c r="T32" s="69">
        <v>31764843.77</v>
      </c>
      <c r="V32" s="69"/>
    </row>
    <row r="33" spans="2:22">
      <c r="B33" s="67" t="s">
        <v>76</v>
      </c>
      <c r="C33" s="68">
        <v>6570667</v>
      </c>
      <c r="D33" s="69">
        <v>4519814</v>
      </c>
      <c r="E33" s="69">
        <v>10594008.399999999</v>
      </c>
      <c r="F33" s="69">
        <v>10278445</v>
      </c>
      <c r="G33" s="69">
        <v>16189398</v>
      </c>
      <c r="H33" s="69">
        <v>21993515.789999999</v>
      </c>
      <c r="I33" s="69">
        <v>16872697.670000002</v>
      </c>
      <c r="J33" s="69">
        <v>15116518.9</v>
      </c>
      <c r="K33" s="69">
        <v>14293923.970000001</v>
      </c>
      <c r="L33" s="69">
        <v>15137000</v>
      </c>
      <c r="M33" s="69">
        <v>20566434.849999998</v>
      </c>
      <c r="N33" s="69">
        <v>16674160</v>
      </c>
      <c r="O33" s="69">
        <v>16547621.699999996</v>
      </c>
      <c r="P33" s="69">
        <v>15721688.430000002</v>
      </c>
      <c r="Q33" s="69">
        <v>13837756.299999995</v>
      </c>
      <c r="R33" s="69">
        <v>17626085.599999998</v>
      </c>
      <c r="S33" s="69">
        <v>18630295</v>
      </c>
      <c r="T33" s="69">
        <v>18160407.239999995</v>
      </c>
      <c r="U33" s="69"/>
      <c r="V33" s="69"/>
    </row>
    <row r="34" spans="2:22">
      <c r="B34" s="67" t="s">
        <v>64</v>
      </c>
      <c r="C34" s="68">
        <v>5421899.2400000012</v>
      </c>
      <c r="D34" s="69">
        <v>6158492</v>
      </c>
      <c r="E34" s="69">
        <v>6593549.7200000016</v>
      </c>
      <c r="F34" s="69">
        <v>8881642</v>
      </c>
      <c r="G34" s="69">
        <v>11365123</v>
      </c>
      <c r="H34" s="69">
        <v>9951477.0299999993</v>
      </c>
      <c r="I34" s="69">
        <v>12122356.76</v>
      </c>
      <c r="J34" s="69">
        <v>12088601.689999999</v>
      </c>
      <c r="K34" s="69">
        <v>11248947.369999999</v>
      </c>
      <c r="L34" s="69">
        <v>10584971</v>
      </c>
      <c r="M34" s="69">
        <v>11987367.720000001</v>
      </c>
      <c r="N34" s="69">
        <v>13963980</v>
      </c>
      <c r="O34" s="69">
        <v>14080297.659999996</v>
      </c>
      <c r="P34" s="69">
        <v>13264626.269999998</v>
      </c>
      <c r="Q34" s="69">
        <v>19209106.000000004</v>
      </c>
      <c r="R34" s="69">
        <v>12616276.02</v>
      </c>
      <c r="S34" s="69">
        <v>17189632.220000003</v>
      </c>
      <c r="T34" s="69">
        <v>18444291.539999992</v>
      </c>
      <c r="U34" s="69"/>
      <c r="V34" s="69"/>
    </row>
    <row r="35" spans="2:22">
      <c r="B35" s="67" t="s">
        <v>69</v>
      </c>
      <c r="C35" s="68">
        <v>11959023.269999998</v>
      </c>
      <c r="D35" s="69">
        <v>11552934</v>
      </c>
      <c r="E35" s="69">
        <v>12037026.67</v>
      </c>
      <c r="F35" s="69">
        <v>12664313</v>
      </c>
      <c r="G35" s="69">
        <v>15349520</v>
      </c>
      <c r="H35" s="69">
        <v>16073605.48</v>
      </c>
      <c r="I35" s="69">
        <v>15800876.02</v>
      </c>
      <c r="J35" s="69">
        <v>15294864.880000001</v>
      </c>
      <c r="K35" s="69">
        <v>16713068.199999999</v>
      </c>
      <c r="L35" s="69">
        <v>16526287</v>
      </c>
      <c r="M35" s="69">
        <v>18138282.009999998</v>
      </c>
      <c r="N35" s="69">
        <v>16731875</v>
      </c>
      <c r="O35" s="69">
        <v>15000943.699999999</v>
      </c>
      <c r="P35" s="69">
        <v>14435811.690000001</v>
      </c>
      <c r="Q35" s="69">
        <v>15683579.810000001</v>
      </c>
      <c r="R35" s="69">
        <v>13939466.420000006</v>
      </c>
      <c r="S35" s="69">
        <v>15140577.120000001</v>
      </c>
      <c r="T35" s="69">
        <v>16495801.459999999</v>
      </c>
      <c r="U35" s="69"/>
      <c r="V35" s="69"/>
    </row>
    <row r="36" spans="2:22">
      <c r="B36" s="67" t="s">
        <v>70</v>
      </c>
      <c r="C36" s="68">
        <v>5491017</v>
      </c>
      <c r="D36" s="69">
        <v>7402457</v>
      </c>
      <c r="E36" s="69">
        <v>6541035</v>
      </c>
      <c r="F36" s="69">
        <v>6938439</v>
      </c>
      <c r="G36" s="69">
        <v>8537716</v>
      </c>
      <c r="H36" s="69">
        <v>12321474</v>
      </c>
      <c r="I36" s="69">
        <v>15094787.6</v>
      </c>
      <c r="J36" s="69">
        <v>21941730.670000002</v>
      </c>
      <c r="K36" s="69">
        <v>11586883.73</v>
      </c>
      <c r="L36" s="69">
        <v>15188307</v>
      </c>
      <c r="M36" s="69">
        <v>11041579.77</v>
      </c>
      <c r="N36" s="69">
        <v>12755152</v>
      </c>
      <c r="O36" s="69">
        <v>10441818.99</v>
      </c>
      <c r="P36" s="69">
        <v>9704134.8000000007</v>
      </c>
      <c r="Q36" s="69">
        <v>9936263.2300000004</v>
      </c>
      <c r="R36" s="69">
        <v>12129345.389999999</v>
      </c>
      <c r="S36" s="69">
        <v>11495494.550000001</v>
      </c>
      <c r="T36" s="69">
        <v>10096040.66</v>
      </c>
      <c r="U36" s="69"/>
      <c r="V36" s="69"/>
    </row>
    <row r="37" spans="2:22">
      <c r="B37" s="67" t="s">
        <v>77</v>
      </c>
      <c r="C37" s="68">
        <v>1005653.24</v>
      </c>
      <c r="D37" s="69">
        <v>1776526</v>
      </c>
      <c r="E37" s="69">
        <v>4329842.21</v>
      </c>
      <c r="F37" s="69">
        <v>6034143</v>
      </c>
      <c r="G37" s="69">
        <v>7660904</v>
      </c>
      <c r="H37" s="69">
        <v>8747388.2599999998</v>
      </c>
      <c r="I37" s="69">
        <v>7939587.2699999996</v>
      </c>
      <c r="J37" s="69">
        <v>8553076.3699999992</v>
      </c>
      <c r="K37" s="69">
        <v>9041925.8399999999</v>
      </c>
      <c r="L37" s="69">
        <v>9140737</v>
      </c>
      <c r="M37" s="69">
        <v>9740397.0799999982</v>
      </c>
      <c r="N37" s="69">
        <v>8413360</v>
      </c>
      <c r="O37" s="69">
        <v>8244084.9399999976</v>
      </c>
      <c r="P37" s="69">
        <v>8724318.0399999991</v>
      </c>
      <c r="Q37" s="69">
        <v>9239916</v>
      </c>
      <c r="R37" s="69">
        <v>9069763.589999998</v>
      </c>
      <c r="S37" s="69">
        <v>8251074.169999999</v>
      </c>
      <c r="T37" s="69">
        <v>9881830.0399999991</v>
      </c>
      <c r="U37" s="69"/>
      <c r="V37" s="69"/>
    </row>
    <row r="38" spans="2:22">
      <c r="B38" s="67" t="s">
        <v>65</v>
      </c>
      <c r="C38" s="68">
        <v>2420625</v>
      </c>
      <c r="D38" s="69">
        <v>2726944</v>
      </c>
      <c r="E38" s="69">
        <v>2744980.75</v>
      </c>
      <c r="F38" s="69">
        <v>2761856</v>
      </c>
      <c r="G38" s="69">
        <v>2803647</v>
      </c>
      <c r="H38" s="69">
        <v>2932795.66</v>
      </c>
      <c r="I38" s="69">
        <v>2709869.99</v>
      </c>
      <c r="J38" s="69">
        <v>3314938.77</v>
      </c>
      <c r="K38" s="69">
        <v>2989703.16</v>
      </c>
      <c r="L38" s="69">
        <v>3403933</v>
      </c>
      <c r="M38" s="69">
        <v>3673493.3099999996</v>
      </c>
      <c r="N38" s="69">
        <v>5267198</v>
      </c>
      <c r="O38" s="69">
        <v>3464330.9700000007</v>
      </c>
      <c r="P38" s="69">
        <v>3740162.64</v>
      </c>
      <c r="Q38" s="69">
        <v>4535506.05</v>
      </c>
      <c r="R38" s="69">
        <v>3517374.5999999996</v>
      </c>
      <c r="S38" s="69">
        <v>5383118.5700000003</v>
      </c>
      <c r="T38" s="69">
        <v>5000808.1199999992</v>
      </c>
      <c r="U38" s="69"/>
      <c r="V38" s="69"/>
    </row>
    <row r="39" spans="2:22">
      <c r="B39" s="67" t="s">
        <v>78</v>
      </c>
      <c r="C39" s="68">
        <v>2148587.04</v>
      </c>
      <c r="D39" s="69">
        <v>2537247</v>
      </c>
      <c r="E39" s="69">
        <v>2552550.41</v>
      </c>
      <c r="F39" s="69">
        <v>2444908</v>
      </c>
      <c r="G39" s="69">
        <v>2340704</v>
      </c>
      <c r="H39" s="69">
        <v>2668551.16</v>
      </c>
      <c r="I39" s="69">
        <v>2714055.36</v>
      </c>
      <c r="J39" s="69">
        <v>2606885.94</v>
      </c>
      <c r="K39" s="69">
        <v>2686195.65</v>
      </c>
      <c r="L39" s="69">
        <v>2722811</v>
      </c>
      <c r="M39" s="69">
        <v>2717874.71</v>
      </c>
      <c r="N39" s="69">
        <v>2726337</v>
      </c>
      <c r="O39" s="69">
        <v>2742503.0500000003</v>
      </c>
      <c r="P39" s="69">
        <v>2722870.8299999996</v>
      </c>
      <c r="Q39" s="69">
        <v>2810591</v>
      </c>
      <c r="R39" s="69">
        <v>2658780.5100000002</v>
      </c>
      <c r="S39" s="69">
        <v>4375754.7600000007</v>
      </c>
      <c r="T39" s="69">
        <v>4604954.2799999993</v>
      </c>
      <c r="U39" s="69"/>
      <c r="V39" s="69"/>
    </row>
    <row r="40" spans="2:22">
      <c r="B40" s="67" t="s">
        <v>71</v>
      </c>
      <c r="C40" s="68">
        <v>1752833.81</v>
      </c>
      <c r="D40" s="69">
        <v>1633522</v>
      </c>
      <c r="E40" s="69">
        <v>1790851.57</v>
      </c>
      <c r="F40" s="69">
        <v>1928048</v>
      </c>
      <c r="G40" s="69">
        <v>2066331</v>
      </c>
      <c r="H40" s="69">
        <v>2575344.41</v>
      </c>
      <c r="I40" s="69">
        <v>2709447.93</v>
      </c>
      <c r="J40" s="69">
        <v>2962457.34</v>
      </c>
      <c r="K40" s="69">
        <v>3133721.78</v>
      </c>
      <c r="L40" s="69">
        <v>3359054</v>
      </c>
      <c r="M40" s="69">
        <v>4505004.3800000008</v>
      </c>
      <c r="N40" s="69">
        <v>4568749</v>
      </c>
      <c r="O40" s="69">
        <v>4048020.7299999995</v>
      </c>
      <c r="P40" s="69">
        <v>4047469.5899999994</v>
      </c>
      <c r="Q40" s="69">
        <v>3834949.34</v>
      </c>
      <c r="R40" s="69">
        <v>4123755.6599999997</v>
      </c>
      <c r="S40" s="69">
        <v>4028672.12</v>
      </c>
      <c r="T40" s="69">
        <v>4047721.9400000004</v>
      </c>
      <c r="U40" s="69"/>
      <c r="V40" s="69"/>
    </row>
    <row r="41" spans="2:22">
      <c r="B41" s="67" t="s">
        <v>67</v>
      </c>
      <c r="C41" s="68">
        <v>1114873.6399999999</v>
      </c>
      <c r="D41" s="69">
        <v>1749602</v>
      </c>
      <c r="E41" s="69">
        <v>1579828.93</v>
      </c>
      <c r="F41" s="69">
        <v>2438482</v>
      </c>
      <c r="G41" s="69">
        <v>2830660</v>
      </c>
      <c r="H41" s="69">
        <v>2837601.3</v>
      </c>
      <c r="I41" s="69">
        <v>4009231.03</v>
      </c>
      <c r="J41" s="69">
        <v>3551517.74</v>
      </c>
      <c r="K41" s="69">
        <v>3477187.41</v>
      </c>
      <c r="L41" s="69">
        <v>3422313</v>
      </c>
      <c r="M41" s="69">
        <v>3912663.8599999994</v>
      </c>
      <c r="N41" s="69">
        <v>3607056</v>
      </c>
      <c r="O41" s="69">
        <v>3891274.99</v>
      </c>
      <c r="P41" s="69">
        <v>4618923.32</v>
      </c>
      <c r="Q41" s="69">
        <v>6080797.4800000004</v>
      </c>
      <c r="R41" s="69">
        <v>3788609.7600000002</v>
      </c>
      <c r="S41" s="69">
        <v>4011360.4200000004</v>
      </c>
      <c r="T41" s="69">
        <v>4919391.97</v>
      </c>
      <c r="V41" s="69"/>
    </row>
    <row r="42" spans="2:22">
      <c r="B42" s="67" t="s">
        <v>73</v>
      </c>
      <c r="C42" s="68">
        <v>5441199.1399999997</v>
      </c>
      <c r="D42" s="69">
        <v>3373196</v>
      </c>
      <c r="E42" s="69">
        <v>6142649.6599999983</v>
      </c>
      <c r="F42" s="69">
        <v>6078270</v>
      </c>
      <c r="G42" s="69">
        <v>6859314</v>
      </c>
      <c r="H42" s="69">
        <v>7223658.5800000001</v>
      </c>
      <c r="I42" s="69">
        <v>11203329.99</v>
      </c>
      <c r="J42" s="69">
        <v>5691055.3700000001</v>
      </c>
      <c r="K42" s="69">
        <v>12065436.449999999</v>
      </c>
      <c r="L42" s="69">
        <v>6615140</v>
      </c>
      <c r="M42" s="69">
        <v>8271585.4100000001</v>
      </c>
      <c r="N42" s="69">
        <v>8173784</v>
      </c>
      <c r="O42" s="69">
        <v>7077489.7400000012</v>
      </c>
      <c r="P42" s="69">
        <v>7546706.6000000006</v>
      </c>
      <c r="Q42" s="69">
        <v>6178473.4800000004</v>
      </c>
      <c r="R42" s="69">
        <v>8582223.7600000016</v>
      </c>
      <c r="S42" s="69">
        <v>2340261.67</v>
      </c>
      <c r="T42" s="69">
        <v>3766583.15</v>
      </c>
      <c r="U42" s="69"/>
      <c r="V42" s="69"/>
    </row>
    <row r="43" spans="2:22">
      <c r="B43" s="67" t="s">
        <v>66</v>
      </c>
      <c r="C43" s="68">
        <v>742121</v>
      </c>
      <c r="D43" s="69">
        <v>684324</v>
      </c>
      <c r="E43" s="69">
        <v>790837</v>
      </c>
      <c r="F43" s="69">
        <v>749767</v>
      </c>
      <c r="G43" s="69">
        <v>841382</v>
      </c>
      <c r="H43" s="69">
        <v>1147875</v>
      </c>
      <c r="I43" s="69">
        <v>694692.43</v>
      </c>
      <c r="J43" s="69">
        <v>626509.31000000006</v>
      </c>
      <c r="K43" s="69">
        <v>1086909.6599999999</v>
      </c>
      <c r="L43" s="69">
        <v>936944</v>
      </c>
      <c r="M43" s="69">
        <v>1023666</v>
      </c>
      <c r="N43" s="69">
        <v>1028574</v>
      </c>
      <c r="O43" s="69">
        <v>1221590.6500000001</v>
      </c>
      <c r="P43" s="69">
        <v>973600.29999999993</v>
      </c>
      <c r="Q43" s="69">
        <v>1083954.03</v>
      </c>
      <c r="R43" s="69">
        <v>1114337.6499999999</v>
      </c>
      <c r="S43" s="69">
        <v>1113586.72</v>
      </c>
      <c r="T43" s="69">
        <v>1094314.5299999998</v>
      </c>
      <c r="U43" s="69"/>
      <c r="V43" s="69"/>
    </row>
    <row r="44" spans="2:22">
      <c r="B44" s="67" t="s">
        <v>79</v>
      </c>
      <c r="C44" s="68">
        <v>733424.01</v>
      </c>
      <c r="D44" s="69">
        <v>687603</v>
      </c>
      <c r="E44" s="69">
        <v>636144.29</v>
      </c>
      <c r="F44" s="69">
        <v>716460</v>
      </c>
      <c r="G44" s="69">
        <v>658775</v>
      </c>
      <c r="H44" s="69">
        <v>831696.91</v>
      </c>
      <c r="I44" s="69">
        <v>610971.79</v>
      </c>
      <c r="J44" s="69">
        <v>761026.25</v>
      </c>
      <c r="K44" s="69">
        <v>1081654.73</v>
      </c>
      <c r="L44" s="69">
        <v>797849</v>
      </c>
      <c r="M44" s="69">
        <v>811009.52</v>
      </c>
      <c r="N44" s="69">
        <v>828953</v>
      </c>
      <c r="O44" s="69">
        <v>738429.14999999991</v>
      </c>
      <c r="P44" s="69">
        <v>851605.42999999993</v>
      </c>
      <c r="Q44" s="69">
        <v>779002</v>
      </c>
      <c r="R44" s="69">
        <v>764291.99</v>
      </c>
      <c r="S44" s="69">
        <v>739866.04999999993</v>
      </c>
      <c r="T44" s="69">
        <v>590342</v>
      </c>
      <c r="U44" s="69"/>
      <c r="V44" s="69"/>
    </row>
    <row r="45" spans="2:22">
      <c r="B45" s="67" t="s">
        <v>68</v>
      </c>
      <c r="C45" s="68">
        <v>39626.519999999997</v>
      </c>
      <c r="D45" s="69">
        <v>1176490</v>
      </c>
      <c r="E45" s="69">
        <v>483878.49</v>
      </c>
      <c r="F45" s="69">
        <v>560467</v>
      </c>
      <c r="G45" s="69">
        <v>430107</v>
      </c>
      <c r="H45" s="69">
        <v>453174.96</v>
      </c>
      <c r="I45" s="69">
        <v>755838.51</v>
      </c>
      <c r="J45" s="69">
        <v>664291.94999999995</v>
      </c>
      <c r="K45" s="69">
        <v>684144.2</v>
      </c>
      <c r="L45" s="69">
        <v>632232</v>
      </c>
      <c r="M45" s="69">
        <v>613878.14000000013</v>
      </c>
      <c r="N45" s="69">
        <v>629823</v>
      </c>
      <c r="O45" s="69">
        <v>566427.66</v>
      </c>
      <c r="P45" s="69">
        <v>553284.52999999991</v>
      </c>
      <c r="Q45" s="69">
        <v>1223514.2299999997</v>
      </c>
      <c r="R45" s="69">
        <v>632150.3899999999</v>
      </c>
      <c r="S45" s="69">
        <v>681592.82000000007</v>
      </c>
      <c r="T45" s="69">
        <v>664729.8600000001</v>
      </c>
      <c r="U45" s="69"/>
      <c r="V45" s="69"/>
    </row>
    <row r="46" spans="2:22">
      <c r="B46" s="67" t="s">
        <v>63</v>
      </c>
      <c r="C46" s="68"/>
      <c r="D46" s="69">
        <v>162707</v>
      </c>
      <c r="E46" s="69">
        <v>251326.72</v>
      </c>
      <c r="F46" s="69">
        <v>516803</v>
      </c>
      <c r="G46" s="69">
        <v>427731</v>
      </c>
      <c r="H46" s="69">
        <v>403540.21</v>
      </c>
      <c r="I46" s="69">
        <v>389914</v>
      </c>
      <c r="J46" s="69">
        <v>448433.02</v>
      </c>
      <c r="K46" s="69">
        <v>542524.98</v>
      </c>
      <c r="L46" s="69">
        <v>466896</v>
      </c>
      <c r="M46" s="69">
        <v>537684</v>
      </c>
      <c r="N46" s="69">
        <v>506008</v>
      </c>
      <c r="O46" s="69">
        <v>507759.98</v>
      </c>
      <c r="P46" s="69">
        <v>504365.08999999997</v>
      </c>
      <c r="Q46" s="69">
        <v>512415.86</v>
      </c>
      <c r="R46" s="69">
        <v>511970.56</v>
      </c>
      <c r="S46" s="69">
        <v>507229.43999999994</v>
      </c>
      <c r="T46" s="69">
        <v>524346.05999999994</v>
      </c>
      <c r="U46" s="69"/>
      <c r="V46" s="69"/>
    </row>
    <row r="47" spans="2:22">
      <c r="B47" s="67" t="s">
        <v>62</v>
      </c>
      <c r="C47" s="68"/>
      <c r="D47" s="69">
        <v>20776</v>
      </c>
      <c r="E47" s="69">
        <v>145822.15</v>
      </c>
      <c r="F47" s="69">
        <v>131067</v>
      </c>
      <c r="G47" s="69">
        <v>148610</v>
      </c>
      <c r="H47" s="69">
        <v>162735.01</v>
      </c>
      <c r="I47" s="69">
        <v>206529.12</v>
      </c>
      <c r="J47" s="69">
        <v>340149.56</v>
      </c>
      <c r="K47" s="69">
        <v>393094.87</v>
      </c>
      <c r="L47" s="69">
        <v>381505</v>
      </c>
      <c r="M47" s="69">
        <v>316905</v>
      </c>
      <c r="N47" s="69">
        <v>396708</v>
      </c>
      <c r="O47" s="69">
        <v>371180.75</v>
      </c>
      <c r="P47" s="69">
        <v>391429.16</v>
      </c>
      <c r="Q47" s="69">
        <v>390031.47</v>
      </c>
      <c r="R47" s="69">
        <v>380818.04000000004</v>
      </c>
      <c r="S47" s="69">
        <v>364359.97</v>
      </c>
      <c r="T47" s="69">
        <v>406232.08999999997</v>
      </c>
      <c r="U47" s="69"/>
      <c r="V47" s="69"/>
    </row>
    <row r="48" spans="2:22">
      <c r="B48" s="67" t="s">
        <v>72</v>
      </c>
      <c r="C48" s="68"/>
      <c r="F48" s="69"/>
      <c r="G48" s="69">
        <v>34325</v>
      </c>
      <c r="H48" s="69">
        <v>118229.05</v>
      </c>
      <c r="I48" s="69">
        <v>364936.65</v>
      </c>
      <c r="J48" s="69">
        <v>453801.49</v>
      </c>
      <c r="K48" s="69">
        <v>633054.71999999997</v>
      </c>
      <c r="L48" s="69">
        <v>661308</v>
      </c>
      <c r="M48" s="69">
        <v>614064.73</v>
      </c>
      <c r="N48" s="69">
        <v>545674</v>
      </c>
      <c r="O48" s="69">
        <v>282488.83999999997</v>
      </c>
      <c r="P48" s="69">
        <v>206252.25</v>
      </c>
      <c r="Q48" s="69">
        <v>182518.16999999998</v>
      </c>
      <c r="R48" s="69">
        <v>133948.61000000002</v>
      </c>
      <c r="S48" s="69">
        <v>213605.58000000002</v>
      </c>
      <c r="T48" s="69">
        <v>169088.22</v>
      </c>
      <c r="U48" s="69"/>
      <c r="V48" s="69"/>
    </row>
    <row r="49" spans="1:22">
      <c r="B49" s="67" t="s">
        <v>75</v>
      </c>
      <c r="C49" s="68"/>
      <c r="F49" s="69">
        <v>93475</v>
      </c>
      <c r="G49" s="69">
        <v>124703</v>
      </c>
      <c r="H49" s="69">
        <v>158296.26999999999</v>
      </c>
      <c r="I49" s="69">
        <v>110571.35</v>
      </c>
      <c r="J49" s="69">
        <v>140397.85999999999</v>
      </c>
      <c r="K49" s="69">
        <v>134869.24</v>
      </c>
      <c r="L49" s="69">
        <v>163102</v>
      </c>
      <c r="M49" s="69">
        <v>234021</v>
      </c>
      <c r="N49" s="69">
        <v>138705</v>
      </c>
      <c r="O49" s="69">
        <v>132666.63</v>
      </c>
      <c r="P49" s="69">
        <v>136493.07</v>
      </c>
      <c r="Q49" s="69">
        <v>144914.25</v>
      </c>
      <c r="R49" s="69">
        <v>285501.52</v>
      </c>
      <c r="S49" s="69">
        <v>205884.56</v>
      </c>
      <c r="T49" s="69">
        <v>221550.83999999997</v>
      </c>
      <c r="U49" s="69"/>
      <c r="V49" s="69"/>
    </row>
    <row r="50" spans="1:22" ht="16.5" customHeight="1">
      <c r="B50" s="67" t="s">
        <v>74</v>
      </c>
      <c r="C50" s="68"/>
      <c r="F50" s="69"/>
      <c r="G50" s="69">
        <v>0</v>
      </c>
      <c r="H50" s="69">
        <v>0</v>
      </c>
      <c r="I50" s="69">
        <v>68133.8</v>
      </c>
      <c r="J50" s="69">
        <v>52779.89</v>
      </c>
      <c r="K50" s="69">
        <v>140868.88</v>
      </c>
      <c r="L50" s="69">
        <v>124210</v>
      </c>
      <c r="M50" s="69">
        <v>102394</v>
      </c>
      <c r="N50" s="69">
        <v>130034</v>
      </c>
      <c r="O50" s="69">
        <v>104183.70999999999</v>
      </c>
      <c r="P50" s="69">
        <v>119555.17</v>
      </c>
      <c r="Q50" s="69">
        <v>113767</v>
      </c>
      <c r="R50" s="69">
        <v>124200.73999999999</v>
      </c>
      <c r="S50" s="69">
        <v>130874.20999999999</v>
      </c>
      <c r="T50" s="69">
        <v>114385.88</v>
      </c>
      <c r="U50" s="69"/>
      <c r="V50" s="69"/>
    </row>
    <row r="51" spans="1:22" ht="16.5" hidden="1" customHeight="1">
      <c r="B51" s="67" t="s">
        <v>127</v>
      </c>
      <c r="C51" s="68"/>
      <c r="F51" s="69"/>
      <c r="G51" s="69">
        <v>0</v>
      </c>
      <c r="H51" s="69">
        <v>0</v>
      </c>
      <c r="I51" s="69">
        <v>0</v>
      </c>
      <c r="J51" s="69">
        <v>0</v>
      </c>
      <c r="K51" s="69">
        <v>0</v>
      </c>
      <c r="L51" s="69">
        <v>4650</v>
      </c>
      <c r="M51" s="69">
        <v>-4650</v>
      </c>
      <c r="N51" s="69">
        <v>0</v>
      </c>
      <c r="O51" s="69">
        <v>0</v>
      </c>
      <c r="P51" s="69">
        <v>0</v>
      </c>
      <c r="Q51" s="69">
        <v>0</v>
      </c>
      <c r="R51" s="69">
        <v>0</v>
      </c>
      <c r="S51" s="69">
        <v>0</v>
      </c>
      <c r="T51" s="69">
        <v>0</v>
      </c>
      <c r="U51" s="69"/>
    </row>
    <row r="52" spans="1:22" ht="16">
      <c r="A52" s="473" t="s">
        <v>60</v>
      </c>
      <c r="B52" s="473"/>
      <c r="C52" s="264">
        <f t="shared" ref="C52:T52" si="11">SUM(C32:C51)</f>
        <v>55815606.840000004</v>
      </c>
      <c r="D52" s="264">
        <f t="shared" si="11"/>
        <v>56956171</v>
      </c>
      <c r="E52" s="264">
        <f t="shared" si="11"/>
        <v>74652563.400000006</v>
      </c>
      <c r="F52" s="264">
        <f t="shared" si="11"/>
        <v>87535949</v>
      </c>
      <c r="G52" s="264">
        <f t="shared" si="11"/>
        <v>111613192</v>
      </c>
      <c r="H52" s="264">
        <f t="shared" si="11"/>
        <v>116414474.96999997</v>
      </c>
      <c r="I52" s="264">
        <f t="shared" si="11"/>
        <v>119824855.95</v>
      </c>
      <c r="J52" s="264">
        <f t="shared" si="11"/>
        <v>118539460.98999999</v>
      </c>
      <c r="K52" s="264">
        <f t="shared" si="11"/>
        <v>119416105.39000002</v>
      </c>
      <c r="L52" s="264">
        <f t="shared" si="11"/>
        <v>117613403</v>
      </c>
      <c r="M52" s="264">
        <f t="shared" si="11"/>
        <v>121899504.76999997</v>
      </c>
      <c r="N52" s="264">
        <f t="shared" si="11"/>
        <v>127174307</v>
      </c>
      <c r="O52" s="264">
        <f t="shared" si="11"/>
        <v>112523277.77999997</v>
      </c>
      <c r="P52" s="264">
        <f t="shared" si="11"/>
        <v>112963223.09</v>
      </c>
      <c r="Q52" s="264">
        <f t="shared" si="11"/>
        <v>121279583.79000001</v>
      </c>
      <c r="R52" s="264">
        <f t="shared" si="11"/>
        <v>113136645.58000001</v>
      </c>
      <c r="S52" s="264">
        <f t="shared" si="11"/>
        <v>123711397.25</v>
      </c>
      <c r="T52" s="264">
        <f t="shared" si="11"/>
        <v>130967663.64999999</v>
      </c>
      <c r="U52" s="69"/>
    </row>
    <row r="53" spans="1:22" ht="16">
      <c r="A53" s="265"/>
      <c r="B53" s="266"/>
      <c r="C53" s="266"/>
      <c r="D53" s="266"/>
      <c r="E53" s="266"/>
      <c r="F53" s="266"/>
      <c r="G53" s="267"/>
      <c r="H53" s="267"/>
      <c r="I53" s="267"/>
      <c r="J53" s="267"/>
      <c r="K53" s="267"/>
      <c r="L53" s="267"/>
      <c r="M53" s="267"/>
      <c r="N53" s="267"/>
      <c r="O53" s="267"/>
      <c r="P53" s="267"/>
      <c r="Q53" s="267"/>
      <c r="R53" s="267"/>
      <c r="S53" s="267"/>
      <c r="T53" s="267"/>
      <c r="U53" s="69"/>
    </row>
    <row r="54" spans="1:22" ht="32">
      <c r="A54" s="268" t="s">
        <v>59</v>
      </c>
      <c r="B54" s="269" t="s">
        <v>58</v>
      </c>
      <c r="C54" s="270">
        <v>13690124.909999996</v>
      </c>
      <c r="D54" s="264">
        <v>13283337</v>
      </c>
      <c r="E54" s="264">
        <v>14452103.52</v>
      </c>
      <c r="F54" s="264">
        <v>13812821</v>
      </c>
      <c r="G54" s="264">
        <v>13908430</v>
      </c>
      <c r="H54" s="264">
        <v>14053990.26</v>
      </c>
      <c r="I54" s="264">
        <v>12711728.189999999</v>
      </c>
      <c r="J54" s="264">
        <v>13671164.91</v>
      </c>
      <c r="K54" s="264">
        <v>13923765.529999999</v>
      </c>
      <c r="L54" s="264">
        <v>13908920</v>
      </c>
      <c r="M54" s="264">
        <v>14114665.6</v>
      </c>
      <c r="N54" s="264">
        <v>13517548</v>
      </c>
      <c r="O54" s="264">
        <v>16836697.550000001</v>
      </c>
      <c r="P54" s="264">
        <v>12198315</v>
      </c>
      <c r="Q54" s="264">
        <v>14429786</v>
      </c>
      <c r="R54" s="264">
        <v>14359761</v>
      </c>
      <c r="S54" s="271">
        <v>15942315.069999997</v>
      </c>
      <c r="T54" s="271">
        <v>14601052.760000004</v>
      </c>
    </row>
    <row r="55" spans="1:22" ht="16">
      <c r="A55" s="265"/>
      <c r="B55" s="272"/>
      <c r="C55" s="272"/>
      <c r="D55" s="272"/>
      <c r="E55" s="272"/>
      <c r="F55" s="272"/>
      <c r="G55" s="267"/>
      <c r="H55" s="267"/>
      <c r="I55" s="267"/>
      <c r="J55" s="267"/>
      <c r="K55" s="267"/>
      <c r="L55" s="267"/>
      <c r="M55" s="267"/>
      <c r="N55" s="267"/>
      <c r="O55" s="267"/>
      <c r="P55" s="267"/>
      <c r="Q55" s="267"/>
      <c r="R55" s="267"/>
      <c r="S55" s="267"/>
      <c r="T55" s="267"/>
    </row>
    <row r="56" spans="1:22" ht="16">
      <c r="A56" s="263" t="s">
        <v>57</v>
      </c>
      <c r="B56" s="269" t="s">
        <v>128</v>
      </c>
      <c r="C56" s="270">
        <v>4252998.68</v>
      </c>
      <c r="D56" s="264">
        <v>3461552</v>
      </c>
      <c r="E56" s="264">
        <v>4355304.3099999996</v>
      </c>
      <c r="F56" s="264">
        <v>3939562</v>
      </c>
      <c r="G56" s="264">
        <v>3662199</v>
      </c>
      <c r="H56" s="264">
        <v>3384748.36</v>
      </c>
      <c r="I56" s="264">
        <v>2800349.96</v>
      </c>
      <c r="J56" s="264">
        <v>3123239.52</v>
      </c>
      <c r="K56" s="264">
        <v>3143475.74</v>
      </c>
      <c r="L56" s="264">
        <v>3036343</v>
      </c>
      <c r="M56" s="264">
        <v>3102343.58</v>
      </c>
      <c r="N56" s="264">
        <v>3019916</v>
      </c>
      <c r="O56" s="264">
        <v>2897182.59</v>
      </c>
      <c r="P56" s="264">
        <v>2789751</v>
      </c>
      <c r="Q56" s="264">
        <v>2985133</v>
      </c>
      <c r="R56" s="264">
        <v>2801280</v>
      </c>
      <c r="S56" s="271">
        <v>2734316.96</v>
      </c>
      <c r="T56" s="271">
        <v>2629309.9099999997</v>
      </c>
    </row>
    <row r="57" spans="1:22" ht="16">
      <c r="A57" s="265"/>
      <c r="B57" s="272"/>
      <c r="C57" s="272"/>
      <c r="D57" s="272"/>
      <c r="E57" s="272"/>
      <c r="F57" s="272"/>
      <c r="G57" s="267"/>
      <c r="H57" s="267"/>
      <c r="I57" s="267"/>
      <c r="J57" s="267"/>
      <c r="K57" s="267"/>
      <c r="L57" s="267"/>
      <c r="M57" s="267"/>
      <c r="N57" s="267"/>
      <c r="O57" s="267"/>
      <c r="P57" s="267"/>
      <c r="Q57" s="267"/>
      <c r="R57" s="267"/>
      <c r="S57" s="267"/>
      <c r="T57" s="267"/>
    </row>
    <row r="58" spans="1:22" ht="18">
      <c r="A58" s="265" t="s">
        <v>56</v>
      </c>
      <c r="B58" s="272" t="s">
        <v>418</v>
      </c>
      <c r="C58" s="273">
        <v>9329689.5599999987</v>
      </c>
      <c r="D58" s="267">
        <v>15999893</v>
      </c>
      <c r="E58" s="267">
        <v>16476097</v>
      </c>
      <c r="F58" s="267">
        <f>13319184-2162548-3471611+16877853</f>
        <v>24562878</v>
      </c>
      <c r="G58" s="267">
        <v>51870632</v>
      </c>
      <c r="H58" s="267">
        <v>37603354.659999996</v>
      </c>
      <c r="I58" s="267">
        <v>36314947.420000002</v>
      </c>
      <c r="J58" s="267">
        <v>21464270.649999999</v>
      </c>
      <c r="K58" s="267">
        <v>24068856.09</v>
      </c>
      <c r="L58" s="267">
        <v>25183984.759999998</v>
      </c>
      <c r="M58" s="267">
        <v>24010159.039999999</v>
      </c>
      <c r="N58" s="267">
        <v>22142181</v>
      </c>
      <c r="O58" s="267">
        <v>26273412.68</v>
      </c>
      <c r="P58" s="267">
        <v>40817153</v>
      </c>
      <c r="Q58" s="267">
        <v>38993432</v>
      </c>
      <c r="R58" s="267">
        <v>21540121.310000002</v>
      </c>
      <c r="S58" s="274">
        <v>19018285</v>
      </c>
      <c r="T58" s="274">
        <v>28992694</v>
      </c>
    </row>
    <row r="59" spans="1:22" ht="18">
      <c r="A59" s="265"/>
      <c r="B59" s="272" t="s">
        <v>419</v>
      </c>
      <c r="C59" s="272"/>
      <c r="D59" s="267">
        <v>16605994</v>
      </c>
      <c r="E59" s="267">
        <v>16937766</v>
      </c>
      <c r="F59" s="267">
        <v>26741905</v>
      </c>
      <c r="G59" s="267">
        <v>52203712</v>
      </c>
      <c r="H59" s="267">
        <v>38048399.530000001</v>
      </c>
      <c r="I59" s="267">
        <v>23741722.07</v>
      </c>
      <c r="J59" s="267">
        <v>20104220.399999999</v>
      </c>
      <c r="K59" s="267">
        <v>22112085.41</v>
      </c>
      <c r="L59" s="267">
        <v>18204478</v>
      </c>
      <c r="M59" s="267">
        <v>8998595</v>
      </c>
      <c r="N59" s="267">
        <v>26702585</v>
      </c>
      <c r="O59" s="267">
        <v>12768517.42</v>
      </c>
      <c r="P59" s="267">
        <v>12846602</v>
      </c>
      <c r="Q59" s="267">
        <v>21559373</v>
      </c>
      <c r="R59" s="267">
        <v>13761104.51</v>
      </c>
      <c r="S59" s="274">
        <v>12308171</v>
      </c>
      <c r="T59" s="274">
        <v>14313886.999999998</v>
      </c>
    </row>
    <row r="60" spans="1:22" ht="16">
      <c r="A60" s="265"/>
      <c r="B60" s="272" t="s">
        <v>53</v>
      </c>
      <c r="C60" s="273">
        <v>3613019.9</v>
      </c>
      <c r="D60" s="267">
        <v>3964862</v>
      </c>
      <c r="E60" s="267">
        <v>3561562.21</v>
      </c>
      <c r="F60" s="267">
        <v>3471611</v>
      </c>
      <c r="G60" s="267">
        <v>4778134</v>
      </c>
      <c r="H60" s="267">
        <v>4833194.43</v>
      </c>
      <c r="I60" s="267">
        <v>5528549.8099999996</v>
      </c>
      <c r="J60" s="267">
        <v>4191459.14</v>
      </c>
      <c r="K60" s="267">
        <v>5148896.25</v>
      </c>
      <c r="L60" s="267">
        <v>4792260</v>
      </c>
      <c r="M60" s="267">
        <v>4538278</v>
      </c>
      <c r="N60" s="267">
        <v>4643486</v>
      </c>
      <c r="O60" s="267">
        <v>4504494.53</v>
      </c>
      <c r="P60" s="267">
        <v>2996964</v>
      </c>
      <c r="Q60" s="267">
        <v>3976707</v>
      </c>
      <c r="R60" s="267">
        <v>2415256.1799999997</v>
      </c>
      <c r="S60" s="274">
        <v>6123320.4300000006</v>
      </c>
      <c r="T60" s="274">
        <v>1857001.67</v>
      </c>
    </row>
    <row r="61" spans="1:22" ht="18">
      <c r="A61" s="265"/>
      <c r="B61" s="272" t="s">
        <v>420</v>
      </c>
      <c r="C61" s="273">
        <v>4257817.18</v>
      </c>
      <c r="D61" s="267">
        <v>5628187</v>
      </c>
      <c r="E61" s="273">
        <v>8355797</v>
      </c>
      <c r="F61" s="273">
        <f>52603+4188123+2901156</f>
        <v>7141882</v>
      </c>
      <c r="G61" s="275">
        <v>5933917</v>
      </c>
      <c r="H61" s="275">
        <v>8235814.3799999999</v>
      </c>
      <c r="I61" s="275">
        <v>7854727.4900000002</v>
      </c>
      <c r="J61" s="275">
        <v>8969539.379999999</v>
      </c>
      <c r="K61" s="275">
        <v>10995773.41</v>
      </c>
      <c r="L61" s="275">
        <v>7743398.8499999996</v>
      </c>
      <c r="M61" s="275">
        <v>4497166.07</v>
      </c>
      <c r="N61" s="275">
        <v>6471900</v>
      </c>
      <c r="O61" s="275">
        <v>5682822.5</v>
      </c>
      <c r="P61" s="275">
        <v>5002530</v>
      </c>
      <c r="Q61" s="267">
        <v>5186211</v>
      </c>
      <c r="R61" s="267">
        <v>3731561.4099999997</v>
      </c>
      <c r="S61" s="274">
        <v>3273816.9799999995</v>
      </c>
      <c r="T61" s="274">
        <v>4587072.1499999994</v>
      </c>
    </row>
    <row r="62" spans="1:22" ht="16">
      <c r="A62" s="265"/>
      <c r="B62" s="272" t="s">
        <v>54</v>
      </c>
      <c r="C62" s="273">
        <v>1207766.03</v>
      </c>
      <c r="D62" s="267">
        <v>897497</v>
      </c>
      <c r="E62" s="267">
        <v>36104.379999999997</v>
      </c>
      <c r="F62" s="267">
        <v>44731</v>
      </c>
      <c r="G62" s="267">
        <v>935038</v>
      </c>
      <c r="H62" s="267">
        <v>1802447.45</v>
      </c>
      <c r="I62" s="267">
        <v>1810123.48</v>
      </c>
      <c r="J62" s="267">
        <v>1862081.77</v>
      </c>
      <c r="K62" s="267">
        <v>2058244.58</v>
      </c>
      <c r="L62" s="267">
        <v>1989826</v>
      </c>
      <c r="M62" s="267">
        <v>2318310.46</v>
      </c>
      <c r="N62" s="267">
        <v>1690830</v>
      </c>
      <c r="O62" s="267">
        <v>1322507.22</v>
      </c>
      <c r="P62" s="267">
        <v>1352094</v>
      </c>
      <c r="Q62" s="267">
        <v>2866184</v>
      </c>
      <c r="R62" s="267">
        <v>1631100.0599999998</v>
      </c>
      <c r="S62" s="274">
        <v>1809759.43</v>
      </c>
      <c r="T62" s="274">
        <v>2420165.6599999997</v>
      </c>
    </row>
    <row r="63" spans="1:22" ht="16">
      <c r="A63" s="265"/>
      <c r="B63" s="272" t="s">
        <v>219</v>
      </c>
      <c r="C63" s="272"/>
      <c r="D63" s="272"/>
      <c r="E63" s="272"/>
      <c r="F63" s="272"/>
      <c r="G63" s="267">
        <v>-5658821</v>
      </c>
      <c r="H63" s="267">
        <v>-3141637.28</v>
      </c>
      <c r="I63" s="267">
        <v>0</v>
      </c>
      <c r="J63" s="267">
        <v>0</v>
      </c>
      <c r="K63" s="267">
        <v>-1875149.14</v>
      </c>
      <c r="L63" s="267">
        <v>-774836</v>
      </c>
      <c r="M63" s="267">
        <v>-836214</v>
      </c>
      <c r="N63" s="267">
        <v>-944940</v>
      </c>
      <c r="O63" s="267">
        <v>-830904.81</v>
      </c>
      <c r="P63" s="267">
        <v>-128660</v>
      </c>
      <c r="Q63" s="267">
        <v>-1390104</v>
      </c>
      <c r="R63" s="267">
        <v>-1254769.49</v>
      </c>
      <c r="S63" s="274">
        <v>-459983.67</v>
      </c>
      <c r="T63" s="274">
        <v>-1319031.43</v>
      </c>
    </row>
    <row r="64" spans="1:22" ht="16.5" hidden="1" customHeight="1">
      <c r="A64" s="265"/>
      <c r="B64" s="272" t="s">
        <v>55</v>
      </c>
      <c r="C64" s="273">
        <v>3220918.04</v>
      </c>
      <c r="D64" s="267">
        <v>2875372</v>
      </c>
      <c r="E64" s="267">
        <v>2102582.02</v>
      </c>
      <c r="F64" s="267">
        <v>2162548</v>
      </c>
      <c r="G64" s="267">
        <v>1748321</v>
      </c>
      <c r="H64" s="267">
        <v>1611165.69</v>
      </c>
      <c r="I64" s="267">
        <v>1231259.69</v>
      </c>
      <c r="J64" s="267">
        <v>544683.72</v>
      </c>
      <c r="K64" s="267">
        <v>-53709.74</v>
      </c>
      <c r="L64" s="267">
        <v>0</v>
      </c>
      <c r="M64" s="267">
        <v>0</v>
      </c>
      <c r="N64" s="267">
        <v>0</v>
      </c>
      <c r="O64" s="267">
        <v>0</v>
      </c>
      <c r="P64" s="267">
        <v>0</v>
      </c>
      <c r="Q64" s="267">
        <v>0</v>
      </c>
      <c r="R64" s="267">
        <v>0</v>
      </c>
      <c r="S64" s="267">
        <v>0</v>
      </c>
      <c r="T64" s="267">
        <v>0</v>
      </c>
    </row>
    <row r="65" spans="1:21" ht="16">
      <c r="A65" s="473" t="s">
        <v>52</v>
      </c>
      <c r="B65" s="473"/>
      <c r="C65" s="264">
        <f t="shared" ref="C65:T65" si="12">SUM(C58:C64)</f>
        <v>21629210.710000001</v>
      </c>
      <c r="D65" s="264">
        <f t="shared" si="12"/>
        <v>45971805</v>
      </c>
      <c r="E65" s="264">
        <f t="shared" si="12"/>
        <v>47469908.610000007</v>
      </c>
      <c r="F65" s="264">
        <f t="shared" si="12"/>
        <v>64125555</v>
      </c>
      <c r="G65" s="264">
        <f t="shared" si="12"/>
        <v>111810933</v>
      </c>
      <c r="H65" s="264">
        <f t="shared" si="12"/>
        <v>88992738.859999999</v>
      </c>
      <c r="I65" s="264">
        <f t="shared" si="12"/>
        <v>76481329.960000008</v>
      </c>
      <c r="J65" s="264">
        <f t="shared" si="12"/>
        <v>57136255.059999995</v>
      </c>
      <c r="K65" s="264">
        <f t="shared" si="12"/>
        <v>62454996.859999992</v>
      </c>
      <c r="L65" s="264">
        <f t="shared" si="12"/>
        <v>57139111.609999999</v>
      </c>
      <c r="M65" s="264">
        <f t="shared" si="12"/>
        <v>43526294.57</v>
      </c>
      <c r="N65" s="264">
        <f t="shared" si="12"/>
        <v>60706042</v>
      </c>
      <c r="O65" s="264">
        <f t="shared" si="12"/>
        <v>49720849.539999999</v>
      </c>
      <c r="P65" s="264">
        <f t="shared" si="12"/>
        <v>62886683</v>
      </c>
      <c r="Q65" s="264">
        <f t="shared" si="12"/>
        <v>71191803</v>
      </c>
      <c r="R65" s="264">
        <f t="shared" si="12"/>
        <v>41824373.979999997</v>
      </c>
      <c r="S65" s="264">
        <f t="shared" si="12"/>
        <v>42073369.169999994</v>
      </c>
      <c r="T65" s="264">
        <f t="shared" si="12"/>
        <v>50851789.049999997</v>
      </c>
    </row>
    <row r="66" spans="1:21" ht="6.65" customHeight="1">
      <c r="A66" s="265"/>
      <c r="B66" s="265"/>
      <c r="C66" s="265"/>
      <c r="D66" s="265"/>
      <c r="E66" s="265"/>
      <c r="F66" s="265"/>
      <c r="G66" s="276"/>
      <c r="H66" s="276"/>
      <c r="I66" s="276"/>
      <c r="J66" s="276"/>
      <c r="K66" s="276"/>
      <c r="L66" s="276"/>
      <c r="M66" s="276"/>
      <c r="N66" s="276"/>
      <c r="O66" s="276"/>
      <c r="P66" s="276"/>
      <c r="Q66" s="276"/>
      <c r="R66" s="267"/>
      <c r="S66" s="267"/>
      <c r="T66" s="267"/>
    </row>
    <row r="67" spans="1:21" ht="14.5" customHeight="1" thickBot="1">
      <c r="A67" s="262" t="s">
        <v>421</v>
      </c>
      <c r="B67" s="277"/>
      <c r="C67" s="277" t="e">
        <f>C11+C30+C52+C54+C56+C65+#REF!+#REF!</f>
        <v>#REF!</v>
      </c>
      <c r="D67" s="277" t="e">
        <f>D11+D30+D52+D54+D56+D65+#REF!+#REF!</f>
        <v>#REF!</v>
      </c>
      <c r="E67" s="277" t="e">
        <f>E11+E30+E52+E54+E56+E65+#REF!+#REF!</f>
        <v>#REF!</v>
      </c>
      <c r="F67" s="277" t="e">
        <f>F11+F30+F52+F54+F56+F65+#REF!+#REF!</f>
        <v>#REF!</v>
      </c>
      <c r="G67" s="277" t="e">
        <f>G11+G30+G52+G54+G56+G65+#REF!+#REF!</f>
        <v>#REF!</v>
      </c>
      <c r="H67" s="277" t="e">
        <f>H11+H30+H52+H54+H56+H65+#REF!+#REF!</f>
        <v>#REF!</v>
      </c>
      <c r="I67" s="277" t="e">
        <f>I11+I30+I52+I54+I56+I65+#REF!+#REF!</f>
        <v>#REF!</v>
      </c>
      <c r="J67" s="277" t="e">
        <f>J11+J30+J52+J54+J56+J65+#REF!+#REF!</f>
        <v>#REF!</v>
      </c>
      <c r="K67" s="277" t="e">
        <f>K11+K30+K52+K54+K56+K65+#REF!+#REF!</f>
        <v>#REF!</v>
      </c>
      <c r="L67" s="277" t="e">
        <f>L11+L30+L52+L54+L56+L65+#REF!+#REF!</f>
        <v>#REF!</v>
      </c>
      <c r="M67" s="277" t="e">
        <f>M11+M30+M52+M54+M56+M65+#REF!+#REF!</f>
        <v>#REF!</v>
      </c>
      <c r="N67" s="277" t="e">
        <f>N11+N30+N52+N54+N56+N65+#REF!+#REF!</f>
        <v>#REF!</v>
      </c>
      <c r="O67" s="277" t="e">
        <f>O11+O30+O52+O54+O56+O65+#REF!+#REF!</f>
        <v>#REF!</v>
      </c>
      <c r="P67" s="277" t="e">
        <f>P11+P30+P52+P54+P56+P65+#REF!+#REF!</f>
        <v>#REF!</v>
      </c>
      <c r="Q67" s="277">
        <f>SUM(Q65,Q56,Q54,Q52,Q30,Q11)</f>
        <v>266675427.66000003</v>
      </c>
      <c r="R67" s="277">
        <f>SUM(R65,R56,R54,R52,R30,R11)</f>
        <v>234552159.06999999</v>
      </c>
      <c r="S67" s="277">
        <f>SUM(S65,S56,S54,S52,S30,S11)</f>
        <v>244498430.06</v>
      </c>
      <c r="T67" s="277">
        <f>SUM(T65,T56,T54,T52,T30,T11)</f>
        <v>264742730.75</v>
      </c>
    </row>
    <row r="68" spans="1:21" ht="15.75" customHeight="1" thickTop="1">
      <c r="U68" s="69"/>
    </row>
    <row r="69" spans="1:21" ht="16">
      <c r="A69" s="265" t="s">
        <v>0</v>
      </c>
      <c r="B69" s="272"/>
      <c r="C69" s="267"/>
      <c r="D69" s="267"/>
      <c r="E69" s="267"/>
      <c r="F69" s="362"/>
      <c r="G69" s="362"/>
      <c r="H69" s="362"/>
      <c r="I69" s="362"/>
      <c r="J69" s="362"/>
      <c r="K69" s="362"/>
      <c r="L69" s="362"/>
      <c r="M69" s="362"/>
      <c r="N69" s="362"/>
      <c r="O69" s="362"/>
      <c r="P69" s="362"/>
      <c r="Q69" s="267"/>
      <c r="R69" s="267"/>
      <c r="S69" s="267"/>
      <c r="T69" s="267"/>
    </row>
    <row r="70" spans="1:21" ht="16">
      <c r="A70" s="362" t="s">
        <v>378</v>
      </c>
      <c r="B70" s="362"/>
      <c r="C70" s="362"/>
      <c r="D70" s="362"/>
      <c r="E70" s="362"/>
      <c r="F70" s="362"/>
      <c r="G70" s="362"/>
      <c r="H70" s="362"/>
      <c r="I70" s="362"/>
      <c r="J70" s="362"/>
      <c r="K70" s="362"/>
      <c r="L70" s="362"/>
      <c r="M70" s="362"/>
      <c r="N70" s="362"/>
      <c r="O70" s="362"/>
      <c r="P70" s="362"/>
      <c r="Q70" s="362"/>
      <c r="R70" s="267"/>
      <c r="S70" s="267"/>
      <c r="T70" s="267"/>
    </row>
    <row r="71" spans="1:21" ht="43.9" customHeight="1">
      <c r="A71" s="469" t="s">
        <v>357</v>
      </c>
      <c r="B71" s="469"/>
      <c r="C71" s="469"/>
      <c r="D71" s="469"/>
      <c r="E71" s="469"/>
      <c r="F71" s="469"/>
      <c r="G71" s="469"/>
      <c r="H71" s="469"/>
      <c r="I71" s="469"/>
      <c r="J71" s="469"/>
      <c r="K71" s="469"/>
      <c r="L71" s="469"/>
      <c r="M71" s="469"/>
      <c r="N71" s="469"/>
      <c r="O71" s="469"/>
      <c r="P71" s="469"/>
      <c r="Q71" s="469"/>
      <c r="R71" s="469"/>
      <c r="S71" s="469"/>
      <c r="T71" s="469"/>
    </row>
    <row r="72" spans="1:21" ht="29.5" customHeight="1">
      <c r="A72" s="474" t="s">
        <v>358</v>
      </c>
      <c r="B72" s="474"/>
      <c r="C72" s="474"/>
      <c r="D72" s="474"/>
      <c r="E72" s="474"/>
      <c r="F72" s="474"/>
      <c r="G72" s="474"/>
      <c r="H72" s="474"/>
      <c r="I72" s="474"/>
      <c r="J72" s="474"/>
      <c r="K72" s="474"/>
      <c r="L72" s="474"/>
      <c r="M72" s="474"/>
      <c r="N72" s="474"/>
      <c r="O72" s="474"/>
      <c r="P72" s="474"/>
      <c r="Q72" s="474"/>
      <c r="R72" s="474"/>
      <c r="S72" s="474"/>
      <c r="T72" s="474"/>
    </row>
    <row r="73" spans="1:21" ht="14.5" customHeight="1">
      <c r="A73" s="470" t="s">
        <v>385</v>
      </c>
      <c r="B73" s="470"/>
      <c r="C73" s="470"/>
      <c r="D73" s="470"/>
      <c r="E73" s="470"/>
      <c r="F73" s="470"/>
      <c r="G73" s="470"/>
      <c r="H73" s="470"/>
      <c r="I73" s="470"/>
      <c r="J73" s="470"/>
      <c r="K73" s="470"/>
      <c r="L73" s="470"/>
      <c r="M73" s="470"/>
      <c r="N73" s="470"/>
      <c r="O73" s="470"/>
      <c r="P73" s="470"/>
      <c r="Q73" s="470"/>
      <c r="R73" s="470"/>
      <c r="S73" s="470"/>
      <c r="T73" s="470"/>
    </row>
    <row r="74" spans="1:21" ht="15.75" customHeight="1">
      <c r="A74" s="73"/>
      <c r="B74" s="73"/>
      <c r="C74" s="73"/>
      <c r="D74" s="73"/>
      <c r="E74" s="73"/>
      <c r="F74" s="73"/>
      <c r="G74" s="73"/>
    </row>
    <row r="75" spans="1:21" ht="11.5" customHeight="1">
      <c r="G75" s="74"/>
    </row>
    <row r="76" spans="1:21">
      <c r="A76" s="74" t="s">
        <v>223</v>
      </c>
      <c r="B76" s="75"/>
    </row>
    <row r="78" spans="1:21">
      <c r="A78" s="67" t="s">
        <v>102</v>
      </c>
      <c r="B78" s="67" t="s">
        <v>286</v>
      </c>
      <c r="D78" s="76"/>
      <c r="E78" s="65"/>
      <c r="F78" s="69"/>
      <c r="M78" s="69">
        <v>6381005.6400000006</v>
      </c>
      <c r="Q78" s="69">
        <f>T3</f>
        <v>6234914.2400000002</v>
      </c>
    </row>
    <row r="79" spans="1:21">
      <c r="A79" s="67" t="s">
        <v>102</v>
      </c>
      <c r="B79" s="67" t="s">
        <v>287</v>
      </c>
      <c r="D79" s="76"/>
      <c r="E79" s="65"/>
      <c r="F79" s="69"/>
      <c r="M79" s="69">
        <v>2483296.91</v>
      </c>
      <c r="Q79" s="69">
        <f>T4</f>
        <v>2498238.8200000003</v>
      </c>
    </row>
    <row r="80" spans="1:21">
      <c r="A80" s="67" t="s">
        <v>102</v>
      </c>
      <c r="B80" s="67" t="s">
        <v>288</v>
      </c>
      <c r="D80" s="76"/>
      <c r="E80" s="65"/>
      <c r="F80" s="69"/>
      <c r="M80" s="69">
        <v>743772.30999999994</v>
      </c>
      <c r="Q80" s="69">
        <f>T6</f>
        <v>1777572.29</v>
      </c>
    </row>
    <row r="81" spans="1:17">
      <c r="A81" s="67" t="s">
        <v>102</v>
      </c>
      <c r="B81" s="67" t="s">
        <v>289</v>
      </c>
      <c r="D81" s="76"/>
      <c r="E81" s="65"/>
      <c r="F81" s="69"/>
      <c r="M81" s="69">
        <v>119282.6</v>
      </c>
      <c r="Q81" s="69">
        <f>T7</f>
        <v>859944.32000000007</v>
      </c>
    </row>
    <row r="82" spans="1:17" ht="29">
      <c r="A82" s="67" t="s">
        <v>102</v>
      </c>
      <c r="B82" s="67" t="s">
        <v>284</v>
      </c>
      <c r="D82" s="76"/>
      <c r="E82" s="65"/>
      <c r="F82" s="69"/>
      <c r="M82" s="69">
        <v>2406476.1300000004</v>
      </c>
      <c r="Q82" s="69">
        <f>T5</f>
        <v>635970.11</v>
      </c>
    </row>
    <row r="83" spans="1:17">
      <c r="A83" s="67" t="s">
        <v>102</v>
      </c>
      <c r="B83" s="67" t="s">
        <v>285</v>
      </c>
      <c r="D83" s="76"/>
      <c r="E83" s="65"/>
      <c r="F83" s="69"/>
      <c r="M83" s="69">
        <v>17106379.209999997</v>
      </c>
      <c r="Q83" s="69">
        <f>T9</f>
        <v>132279.1</v>
      </c>
    </row>
    <row r="84" spans="1:17">
      <c r="A84" s="67" t="s">
        <v>103</v>
      </c>
      <c r="B84" s="67" t="s">
        <v>291</v>
      </c>
      <c r="D84" s="65"/>
      <c r="M84" s="69">
        <v>21137744.770000003</v>
      </c>
      <c r="Q84" s="69">
        <f>T18</f>
        <v>16910914.650000002</v>
      </c>
    </row>
    <row r="85" spans="1:17">
      <c r="A85" s="67" t="s">
        <v>103</v>
      </c>
      <c r="B85" s="67" t="s">
        <v>290</v>
      </c>
      <c r="C85" s="69">
        <v>14941328.870000001</v>
      </c>
      <c r="D85" s="76"/>
      <c r="M85" s="69">
        <v>12669640.760000004</v>
      </c>
      <c r="Q85" s="69">
        <f>T13</f>
        <v>14959730.310000001</v>
      </c>
    </row>
    <row r="86" spans="1:17">
      <c r="A86" s="67" t="s">
        <v>103</v>
      </c>
      <c r="B86" s="67" t="s">
        <v>293</v>
      </c>
      <c r="D86" s="65"/>
      <c r="M86" s="69">
        <v>12616276.02</v>
      </c>
      <c r="Q86" s="69">
        <f>T25</f>
        <v>12755765.969999995</v>
      </c>
    </row>
    <row r="87" spans="1:17">
      <c r="A87" s="67" t="s">
        <v>103</v>
      </c>
      <c r="B87" s="67" t="s">
        <v>292</v>
      </c>
      <c r="D87" s="76"/>
      <c r="E87" s="76"/>
      <c r="M87" s="69">
        <v>17626085.599999998</v>
      </c>
      <c r="Q87" s="69">
        <f>T19</f>
        <v>5275837.66</v>
      </c>
    </row>
    <row r="88" spans="1:17">
      <c r="A88" s="67" t="s">
        <v>103</v>
      </c>
      <c r="B88" s="67" t="s">
        <v>294</v>
      </c>
      <c r="D88" s="65"/>
      <c r="M88" s="69">
        <v>12129345.389999999</v>
      </c>
      <c r="Q88" s="69">
        <f>T27</f>
        <v>3817583.21</v>
      </c>
    </row>
    <row r="89" spans="1:17">
      <c r="A89" s="67" t="s">
        <v>104</v>
      </c>
      <c r="B89" s="67" t="s">
        <v>295</v>
      </c>
      <c r="D89" s="76"/>
      <c r="F89" s="69"/>
      <c r="M89" s="69">
        <v>8582223.7600000016</v>
      </c>
      <c r="Q89" s="69">
        <f t="shared" ref="Q89" si="13">T32</f>
        <v>31764843.77</v>
      </c>
    </row>
    <row r="90" spans="1:17">
      <c r="A90" s="67" t="s">
        <v>104</v>
      </c>
      <c r="B90" s="67" t="s">
        <v>297</v>
      </c>
      <c r="D90" s="76"/>
      <c r="F90" s="69"/>
      <c r="M90" s="69">
        <v>3788609.7600000002</v>
      </c>
      <c r="Q90" s="69">
        <f>T34</f>
        <v>18444291.539999992</v>
      </c>
    </row>
    <row r="91" spans="1:17">
      <c r="A91" s="67" t="s">
        <v>104</v>
      </c>
      <c r="B91" s="67" t="s">
        <v>296</v>
      </c>
      <c r="D91" s="76"/>
      <c r="F91" s="69"/>
      <c r="M91" s="69">
        <v>4123755.6599999997</v>
      </c>
      <c r="Q91" s="69">
        <f>T33</f>
        <v>18160407.239999995</v>
      </c>
    </row>
    <row r="92" spans="1:17">
      <c r="A92" s="67" t="s">
        <v>104</v>
      </c>
      <c r="B92" s="67" t="s">
        <v>298</v>
      </c>
      <c r="D92" s="76"/>
      <c r="F92" s="69"/>
      <c r="M92" s="69">
        <v>3517374.5999999996</v>
      </c>
      <c r="Q92" s="69">
        <f t="shared" ref="Q92:Q107" si="14">T35</f>
        <v>16495801.459999999</v>
      </c>
    </row>
    <row r="93" spans="1:17">
      <c r="A93" s="67" t="s">
        <v>104</v>
      </c>
      <c r="B93" s="67" t="s">
        <v>299</v>
      </c>
      <c r="D93" s="76"/>
      <c r="F93" s="69"/>
      <c r="M93" s="69">
        <v>2658780.5100000002</v>
      </c>
      <c r="Q93" s="69">
        <f t="shared" si="14"/>
        <v>10096040.66</v>
      </c>
    </row>
    <row r="94" spans="1:17">
      <c r="A94" s="67" t="s">
        <v>104</v>
      </c>
      <c r="B94" s="67" t="s">
        <v>300</v>
      </c>
      <c r="D94" s="76"/>
      <c r="F94" s="69"/>
      <c r="M94" s="69">
        <v>2200731.46</v>
      </c>
      <c r="Q94" s="69">
        <f t="shared" si="14"/>
        <v>9881830.0399999991</v>
      </c>
    </row>
    <row r="95" spans="1:17">
      <c r="A95" s="67" t="s">
        <v>104</v>
      </c>
      <c r="B95" s="67" t="s">
        <v>301</v>
      </c>
      <c r="D95" s="76"/>
      <c r="F95" s="69"/>
      <c r="M95" s="69">
        <v>1114337.6499999999</v>
      </c>
      <c r="Q95" s="69">
        <f t="shared" si="14"/>
        <v>5000808.1199999992</v>
      </c>
    </row>
    <row r="96" spans="1:17">
      <c r="A96" s="67" t="s">
        <v>104</v>
      </c>
      <c r="B96" s="67" t="s">
        <v>302</v>
      </c>
      <c r="D96" s="76"/>
      <c r="F96" s="69"/>
      <c r="M96" s="69">
        <v>632150.3899999999</v>
      </c>
      <c r="Q96" s="69">
        <f t="shared" si="14"/>
        <v>4604954.2799999993</v>
      </c>
    </row>
    <row r="97" spans="1:17">
      <c r="A97" s="67" t="s">
        <v>104</v>
      </c>
      <c r="B97" s="67" t="s">
        <v>303</v>
      </c>
      <c r="D97" s="76"/>
      <c r="F97" s="69"/>
      <c r="M97" s="69">
        <v>14359761</v>
      </c>
      <c r="Q97" s="69">
        <f t="shared" si="14"/>
        <v>4047721.9400000004</v>
      </c>
    </row>
    <row r="98" spans="1:17">
      <c r="A98" s="67" t="s">
        <v>104</v>
      </c>
      <c r="B98" s="67" t="s">
        <v>304</v>
      </c>
      <c r="D98" s="76"/>
      <c r="F98" s="69"/>
      <c r="M98" s="69">
        <v>2801280</v>
      </c>
      <c r="Q98" s="69">
        <f t="shared" si="14"/>
        <v>4919391.97</v>
      </c>
    </row>
    <row r="99" spans="1:17">
      <c r="A99" s="67" t="s">
        <v>104</v>
      </c>
      <c r="B99" s="67" t="s">
        <v>305</v>
      </c>
      <c r="D99" s="76"/>
      <c r="F99" s="69"/>
      <c r="M99" s="69">
        <v>21540121.310000002</v>
      </c>
      <c r="Q99" s="69">
        <f t="shared" si="14"/>
        <v>3766583.15</v>
      </c>
    </row>
    <row r="100" spans="1:17" ht="13.5" customHeight="1">
      <c r="A100" s="67" t="s">
        <v>104</v>
      </c>
      <c r="B100" s="67" t="s">
        <v>306</v>
      </c>
      <c r="D100" s="76"/>
      <c r="F100" s="69"/>
      <c r="M100" s="69">
        <v>13761104.51</v>
      </c>
      <c r="Q100" s="69">
        <f t="shared" si="14"/>
        <v>1094314.5299999998</v>
      </c>
    </row>
    <row r="101" spans="1:17">
      <c r="A101" s="67" t="s">
        <v>104</v>
      </c>
      <c r="B101" s="67" t="s">
        <v>307</v>
      </c>
      <c r="D101" s="76"/>
      <c r="F101" s="69"/>
      <c r="M101" s="69">
        <v>3731561.4099999997</v>
      </c>
      <c r="Q101" s="69">
        <f t="shared" si="14"/>
        <v>590342</v>
      </c>
    </row>
    <row r="102" spans="1:17" ht="14.5" customHeight="1">
      <c r="A102" s="67" t="s">
        <v>104</v>
      </c>
      <c r="B102" s="67" t="s">
        <v>308</v>
      </c>
      <c r="D102" s="76"/>
      <c r="F102" s="69"/>
      <c r="M102" s="69">
        <v>2415256.1799999997</v>
      </c>
      <c r="Q102" s="69">
        <f t="shared" si="14"/>
        <v>664729.8600000001</v>
      </c>
    </row>
    <row r="103" spans="1:17">
      <c r="A103" s="67" t="s">
        <v>104</v>
      </c>
      <c r="B103" s="67" t="s">
        <v>309</v>
      </c>
      <c r="D103" s="76"/>
      <c r="F103" s="69"/>
      <c r="M103" s="69">
        <v>1631100.0599999998</v>
      </c>
      <c r="Q103" s="69">
        <f t="shared" si="14"/>
        <v>524346.05999999994</v>
      </c>
    </row>
    <row r="104" spans="1:17">
      <c r="A104" s="67" t="s">
        <v>104</v>
      </c>
      <c r="B104" s="67" t="s">
        <v>310</v>
      </c>
      <c r="D104" s="76"/>
      <c r="F104" s="69"/>
      <c r="M104" s="69"/>
      <c r="Q104" s="69">
        <f t="shared" si="14"/>
        <v>406232.08999999997</v>
      </c>
    </row>
    <row r="105" spans="1:17" ht="14.5" customHeight="1">
      <c r="A105" s="67" t="s">
        <v>104</v>
      </c>
      <c r="B105" s="67" t="s">
        <v>311</v>
      </c>
      <c r="D105" s="76"/>
      <c r="F105" s="69"/>
      <c r="M105" s="69"/>
      <c r="Q105" s="69">
        <f t="shared" si="14"/>
        <v>169088.22</v>
      </c>
    </row>
    <row r="106" spans="1:17">
      <c r="A106" s="67" t="s">
        <v>104</v>
      </c>
      <c r="B106" s="67" t="s">
        <v>312</v>
      </c>
      <c r="D106" s="76"/>
      <c r="F106" s="69"/>
      <c r="M106" s="69"/>
      <c r="Q106" s="69">
        <f t="shared" si="14"/>
        <v>221550.83999999997</v>
      </c>
    </row>
    <row r="107" spans="1:17">
      <c r="A107" s="67" t="s">
        <v>104</v>
      </c>
      <c r="B107" s="67" t="s">
        <v>313</v>
      </c>
      <c r="D107" s="76"/>
      <c r="F107" s="69"/>
      <c r="M107" s="69"/>
      <c r="Q107" s="69">
        <f t="shared" si="14"/>
        <v>114385.88</v>
      </c>
    </row>
    <row r="108" spans="1:17" ht="29">
      <c r="A108" s="67" t="s">
        <v>59</v>
      </c>
      <c r="B108" s="67" t="s">
        <v>314</v>
      </c>
      <c r="D108" s="76"/>
      <c r="F108" s="69"/>
      <c r="M108" s="69"/>
      <c r="Q108" s="69">
        <f>T54</f>
        <v>14601052.760000004</v>
      </c>
    </row>
    <row r="109" spans="1:17">
      <c r="A109" s="67" t="s">
        <v>57</v>
      </c>
      <c r="B109" s="67" t="s">
        <v>57</v>
      </c>
      <c r="D109" s="76"/>
      <c r="F109" s="69"/>
      <c r="M109" s="69"/>
      <c r="Q109" s="69">
        <f>T56</f>
        <v>2629309.9099999997</v>
      </c>
    </row>
    <row r="110" spans="1:17" ht="16.5">
      <c r="A110" s="67" t="s">
        <v>56</v>
      </c>
      <c r="B110" s="67" t="s">
        <v>315</v>
      </c>
      <c r="D110" s="76"/>
      <c r="F110" s="69"/>
      <c r="M110" s="69"/>
      <c r="Q110" s="69">
        <f>T58</f>
        <v>28992694</v>
      </c>
    </row>
    <row r="111" spans="1:17" ht="16.5">
      <c r="A111" s="67" t="s">
        <v>56</v>
      </c>
      <c r="B111" s="67" t="s">
        <v>316</v>
      </c>
      <c r="D111" s="76"/>
      <c r="F111" s="69"/>
      <c r="M111" s="69"/>
      <c r="Q111" s="69">
        <f>T59</f>
        <v>14313886.999999998</v>
      </c>
    </row>
    <row r="112" spans="1:17" ht="16.5">
      <c r="A112" s="67" t="s">
        <v>56</v>
      </c>
      <c r="B112" s="67" t="s">
        <v>318</v>
      </c>
      <c r="D112" s="76"/>
      <c r="F112" s="69"/>
      <c r="M112" s="69"/>
      <c r="Q112" s="69">
        <f>T61</f>
        <v>4587072.1499999994</v>
      </c>
    </row>
    <row r="113" spans="1:17">
      <c r="A113" s="67" t="s">
        <v>56</v>
      </c>
      <c r="B113" s="65" t="s">
        <v>319</v>
      </c>
      <c r="D113" s="76"/>
      <c r="F113" s="69"/>
      <c r="M113" s="69"/>
      <c r="Q113" s="69">
        <f>T62</f>
        <v>2420165.6599999997</v>
      </c>
    </row>
    <row r="114" spans="1:17">
      <c r="A114" s="67" t="s">
        <v>56</v>
      </c>
      <c r="B114" s="67" t="s">
        <v>317</v>
      </c>
      <c r="D114" s="76"/>
      <c r="F114" s="69"/>
      <c r="M114" s="69"/>
      <c r="Q114" s="69">
        <f>T60</f>
        <v>1857001.67</v>
      </c>
    </row>
    <row r="115" spans="1:17">
      <c r="A115" s="67"/>
      <c r="D115" s="76"/>
      <c r="F115" s="69"/>
      <c r="M115" s="69"/>
      <c r="Q115" s="69"/>
    </row>
  </sheetData>
  <mergeCells count="7">
    <mergeCell ref="A71:T71"/>
    <mergeCell ref="A73:T73"/>
    <mergeCell ref="A11:B11"/>
    <mergeCell ref="A30:B30"/>
    <mergeCell ref="A52:B52"/>
    <mergeCell ref="A65:B65"/>
    <mergeCell ref="A72:T72"/>
  </mergeCells>
  <pageMargins left="0.25" right="0.25" top="0.75" bottom="0.75" header="0.3" footer="0.3"/>
  <pageSetup scale="48"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Q62"/>
  <sheetViews>
    <sheetView zoomScale="115" zoomScaleNormal="115" workbookViewId="0">
      <pane ySplit="2" topLeftCell="A22" activePane="bottomLeft" state="frozen"/>
      <selection pane="bottomLeft" activeCell="G43" sqref="G43"/>
    </sheetView>
  </sheetViews>
  <sheetFormatPr defaultColWidth="8.81640625" defaultRowHeight="13"/>
  <cols>
    <col min="1" max="1" width="49.453125" style="36" customWidth="1"/>
    <col min="2" max="4" width="11.1796875" style="36" hidden="1" customWidth="1"/>
    <col min="5" max="5" width="12.7265625" style="36" hidden="1" customWidth="1"/>
    <col min="6" max="6" width="14" style="36" customWidth="1"/>
    <col min="7" max="7" width="14.81640625" style="36" customWidth="1"/>
    <col min="8" max="8" width="13.453125" style="36" customWidth="1"/>
    <col min="9" max="15" width="14.81640625" style="36" customWidth="1"/>
    <col min="16" max="16" width="12.26953125" style="36" customWidth="1"/>
    <col min="17" max="17" width="13.7265625" style="36" customWidth="1"/>
    <col min="18" max="16384" width="8.81640625" style="36"/>
  </cols>
  <sheetData>
    <row r="1" spans="1:17" ht="18.5">
      <c r="A1" s="223" t="s">
        <v>392</v>
      </c>
    </row>
    <row r="2" spans="1:17" s="129" customFormat="1" ht="21.75" customHeight="1">
      <c r="A2" s="246" t="s">
        <v>422</v>
      </c>
      <c r="B2" s="234">
        <v>2011</v>
      </c>
      <c r="C2" s="234">
        <v>2012</v>
      </c>
      <c r="D2" s="234">
        <v>2013</v>
      </c>
      <c r="E2" s="234">
        <v>2014</v>
      </c>
      <c r="F2" s="234">
        <v>2015</v>
      </c>
      <c r="G2" s="234">
        <v>2016</v>
      </c>
      <c r="H2" s="234">
        <v>2017</v>
      </c>
      <c r="I2" s="234">
        <v>2018</v>
      </c>
      <c r="J2" s="234">
        <v>2019</v>
      </c>
      <c r="K2" s="234">
        <v>2020</v>
      </c>
      <c r="L2" s="234">
        <v>2021</v>
      </c>
      <c r="M2" s="234">
        <v>2022</v>
      </c>
      <c r="N2" s="234">
        <v>2023</v>
      </c>
      <c r="O2" s="234">
        <v>2024</v>
      </c>
      <c r="P2" s="192" t="s">
        <v>403</v>
      </c>
      <c r="Q2" s="192" t="s">
        <v>404</v>
      </c>
    </row>
    <row r="3" spans="1:17" ht="16">
      <c r="A3" s="278" t="s">
        <v>24</v>
      </c>
      <c r="B3" s="236"/>
      <c r="C3" s="236">
        <v>5306043</v>
      </c>
      <c r="D3" s="236">
        <v>1711234.64</v>
      </c>
      <c r="E3" s="236">
        <v>693095.5</v>
      </c>
      <c r="F3" s="236">
        <v>144278.15999999992</v>
      </c>
      <c r="G3" s="236">
        <v>40307.800000000003</v>
      </c>
      <c r="H3" s="236">
        <v>99543</v>
      </c>
      <c r="I3" s="236">
        <v>170178</v>
      </c>
      <c r="J3" s="236">
        <v>492294</v>
      </c>
      <c r="K3" s="236">
        <v>204337</v>
      </c>
      <c r="L3" s="236">
        <v>84663.38</v>
      </c>
      <c r="M3" s="236">
        <v>1999842.67</v>
      </c>
      <c r="N3" s="236">
        <v>2070923.16</v>
      </c>
      <c r="O3" s="236">
        <v>1085363.58</v>
      </c>
      <c r="P3" s="47">
        <v>1085363.58</v>
      </c>
      <c r="Q3" s="47"/>
    </row>
    <row r="4" spans="1:17" ht="16">
      <c r="A4" s="278" t="s">
        <v>25</v>
      </c>
      <c r="B4" s="236">
        <v>720811</v>
      </c>
      <c r="C4" s="236">
        <v>1743906.48</v>
      </c>
      <c r="D4" s="236">
        <v>1611629.5</v>
      </c>
      <c r="E4" s="236">
        <v>283048.12</v>
      </c>
      <c r="F4" s="236"/>
      <c r="G4" s="236"/>
      <c r="H4" s="236"/>
      <c r="I4" s="236"/>
      <c r="J4" s="236"/>
      <c r="K4" s="236"/>
      <c r="L4" s="236">
        <v>212725</v>
      </c>
      <c r="M4" s="236">
        <v>1047589.7</v>
      </c>
      <c r="N4" s="236">
        <v>18170310.999999996</v>
      </c>
      <c r="O4" s="236"/>
      <c r="P4" s="47"/>
      <c r="Q4" s="47"/>
    </row>
    <row r="5" spans="1:17" ht="16">
      <c r="A5" s="278" t="s">
        <v>123</v>
      </c>
      <c r="B5" s="236"/>
      <c r="C5" s="236"/>
      <c r="D5" s="236"/>
      <c r="E5" s="236"/>
      <c r="F5" s="236"/>
      <c r="G5" s="236"/>
      <c r="H5" s="236"/>
      <c r="I5" s="236"/>
      <c r="J5" s="236">
        <v>1387</v>
      </c>
      <c r="K5" s="236"/>
      <c r="L5" s="236">
        <v>227790</v>
      </c>
      <c r="M5" s="236"/>
      <c r="N5" s="236"/>
      <c r="O5" s="236"/>
      <c r="P5" s="47"/>
      <c r="Q5" s="47"/>
    </row>
    <row r="6" spans="1:17" ht="16">
      <c r="A6" s="278" t="s">
        <v>26</v>
      </c>
      <c r="B6" s="236">
        <v>1750665</v>
      </c>
      <c r="C6" s="236">
        <v>5384783</v>
      </c>
      <c r="D6" s="236"/>
      <c r="E6" s="236">
        <v>14000000</v>
      </c>
      <c r="F6" s="236"/>
      <c r="G6" s="236">
        <v>1877580.5</v>
      </c>
      <c r="H6" s="236"/>
      <c r="I6" s="236">
        <v>7369712</v>
      </c>
      <c r="J6" s="236">
        <v>1580664</v>
      </c>
      <c r="K6" s="236">
        <v>3892087</v>
      </c>
      <c r="L6" s="236">
        <v>8533771.6500000004</v>
      </c>
      <c r="M6" s="236"/>
      <c r="N6" s="236">
        <v>571817</v>
      </c>
      <c r="O6" s="236">
        <v>7865150</v>
      </c>
      <c r="P6" s="47"/>
      <c r="Q6" s="47">
        <v>7865150</v>
      </c>
    </row>
    <row r="7" spans="1:17" ht="16">
      <c r="A7" s="278" t="s">
        <v>27</v>
      </c>
      <c r="B7" s="236"/>
      <c r="C7" s="236"/>
      <c r="D7" s="236"/>
      <c r="E7" s="236"/>
      <c r="F7" s="236">
        <v>7980000</v>
      </c>
      <c r="G7" s="236">
        <v>680000</v>
      </c>
      <c r="H7" s="236">
        <v>2438220</v>
      </c>
      <c r="I7" s="236"/>
      <c r="J7" s="236"/>
      <c r="K7" s="236"/>
      <c r="L7" s="236"/>
      <c r="M7" s="236"/>
      <c r="N7" s="236"/>
      <c r="O7" s="236"/>
      <c r="P7" s="47"/>
      <c r="Q7" s="47"/>
    </row>
    <row r="8" spans="1:17" ht="16">
      <c r="A8" s="278" t="s">
        <v>142</v>
      </c>
      <c r="B8" s="236"/>
      <c r="C8" s="236">
        <v>928718</v>
      </c>
      <c r="D8" s="236">
        <v>348570</v>
      </c>
      <c r="E8" s="236"/>
      <c r="F8" s="236"/>
      <c r="G8" s="236">
        <v>85217</v>
      </c>
      <c r="H8" s="236">
        <v>72676</v>
      </c>
      <c r="I8" s="236">
        <v>203432</v>
      </c>
      <c r="J8" s="236">
        <v>166061</v>
      </c>
      <c r="K8" s="236">
        <v>184205</v>
      </c>
      <c r="L8" s="236">
        <v>669.5</v>
      </c>
      <c r="M8" s="236"/>
      <c r="N8" s="236"/>
      <c r="O8" s="236"/>
      <c r="P8" s="47"/>
      <c r="Q8" s="47"/>
    </row>
    <row r="9" spans="1:17" ht="16">
      <c r="A9" s="278" t="s">
        <v>143</v>
      </c>
      <c r="B9" s="236"/>
      <c r="C9" s="236">
        <v>420929</v>
      </c>
      <c r="D9" s="236"/>
      <c r="E9" s="236"/>
      <c r="F9" s="236"/>
      <c r="G9" s="236"/>
      <c r="H9" s="236"/>
      <c r="I9" s="236"/>
      <c r="J9" s="236"/>
      <c r="K9" s="236"/>
      <c r="L9" s="236"/>
      <c r="M9" s="236"/>
      <c r="N9" s="236"/>
      <c r="O9" s="236"/>
      <c r="P9" s="47"/>
      <c r="Q9" s="47"/>
    </row>
    <row r="10" spans="1:17" ht="16">
      <c r="A10" s="278" t="s">
        <v>259</v>
      </c>
      <c r="B10" s="236"/>
      <c r="C10" s="236">
        <v>946738.51</v>
      </c>
      <c r="D10" s="236"/>
      <c r="E10" s="236"/>
      <c r="F10" s="236"/>
      <c r="G10" s="236"/>
      <c r="H10" s="236">
        <v>500</v>
      </c>
      <c r="I10" s="236">
        <v>500</v>
      </c>
      <c r="J10" s="236"/>
      <c r="K10" s="236">
        <v>627892</v>
      </c>
      <c r="L10" s="236"/>
      <c r="M10" s="236"/>
      <c r="N10" s="236">
        <v>488610</v>
      </c>
      <c r="O10" s="236"/>
      <c r="P10" s="47"/>
      <c r="Q10" s="47"/>
    </row>
    <row r="11" spans="1:17" ht="16">
      <c r="A11" s="278" t="s">
        <v>105</v>
      </c>
      <c r="B11" s="236">
        <v>9750112</v>
      </c>
      <c r="C11" s="236">
        <v>1349403</v>
      </c>
      <c r="D11" s="236">
        <v>642763</v>
      </c>
      <c r="E11" s="236">
        <v>1610425</v>
      </c>
      <c r="F11" s="236">
        <v>154274</v>
      </c>
      <c r="G11" s="236"/>
      <c r="H11" s="236"/>
      <c r="I11" s="236">
        <v>10733065</v>
      </c>
      <c r="J11" s="236"/>
      <c r="K11" s="236"/>
      <c r="L11" s="236"/>
      <c r="M11" s="236"/>
      <c r="N11" s="236"/>
      <c r="O11" s="236"/>
      <c r="P11" s="47"/>
      <c r="Q11" s="47"/>
    </row>
    <row r="12" spans="1:17" ht="16">
      <c r="A12" s="278" t="s">
        <v>28</v>
      </c>
      <c r="B12" s="236">
        <v>20851010</v>
      </c>
      <c r="C12" s="236"/>
      <c r="D12" s="236">
        <v>3412000</v>
      </c>
      <c r="E12" s="236"/>
      <c r="F12" s="236"/>
      <c r="G12" s="236"/>
      <c r="H12" s="236"/>
      <c r="I12" s="236"/>
      <c r="J12" s="236"/>
      <c r="K12" s="236"/>
      <c r="L12" s="236"/>
      <c r="M12" s="236"/>
      <c r="N12" s="236"/>
      <c r="O12" s="236"/>
      <c r="P12" s="47"/>
      <c r="Q12" s="47"/>
    </row>
    <row r="13" spans="1:17" ht="16">
      <c r="A13" s="278" t="s">
        <v>29</v>
      </c>
      <c r="B13" s="236">
        <v>5788</v>
      </c>
      <c r="C13" s="236">
        <v>820.08</v>
      </c>
      <c r="D13" s="236">
        <v>5000</v>
      </c>
      <c r="E13" s="236">
        <v>5000</v>
      </c>
      <c r="F13" s="236">
        <v>5729</v>
      </c>
      <c r="G13" s="236">
        <v>5899.13</v>
      </c>
      <c r="H13" s="236">
        <v>5980</v>
      </c>
      <c r="I13" s="236">
        <v>5980</v>
      </c>
      <c r="J13" s="236">
        <v>5000</v>
      </c>
      <c r="K13" s="236">
        <v>9037</v>
      </c>
      <c r="L13" s="236">
        <v>5000</v>
      </c>
      <c r="M13" s="236">
        <v>5000</v>
      </c>
      <c r="N13" s="236">
        <v>5000</v>
      </c>
      <c r="O13" s="236">
        <v>5000</v>
      </c>
      <c r="P13" s="47">
        <v>5000</v>
      </c>
      <c r="Q13" s="47"/>
    </row>
    <row r="14" spans="1:17" ht="16">
      <c r="A14" s="278" t="s">
        <v>106</v>
      </c>
      <c r="B14" s="236">
        <v>9716071</v>
      </c>
      <c r="C14" s="236">
        <v>1954790.5</v>
      </c>
      <c r="D14" s="236">
        <v>12908339</v>
      </c>
      <c r="E14" s="236">
        <v>1316455</v>
      </c>
      <c r="F14" s="236">
        <v>12003446.75</v>
      </c>
      <c r="G14" s="236">
        <v>10868814</v>
      </c>
      <c r="H14" s="236">
        <v>5038680</v>
      </c>
      <c r="I14" s="236">
        <v>6978254</v>
      </c>
      <c r="J14" s="236">
        <v>9629687</v>
      </c>
      <c r="K14" s="236">
        <v>5592447</v>
      </c>
      <c r="L14" s="236">
        <v>2173554</v>
      </c>
      <c r="M14" s="236">
        <v>8739910.9900000002</v>
      </c>
      <c r="N14" s="236">
        <v>10141031</v>
      </c>
      <c r="O14" s="236">
        <v>4007678.68</v>
      </c>
      <c r="P14" s="47">
        <v>40000</v>
      </c>
      <c r="Q14" s="47">
        <v>3967678.68</v>
      </c>
    </row>
    <row r="15" spans="1:17" ht="16">
      <c r="A15" s="278" t="s">
        <v>30</v>
      </c>
      <c r="B15" s="236"/>
      <c r="C15" s="236"/>
      <c r="D15" s="236">
        <v>600000</v>
      </c>
      <c r="E15" s="236"/>
      <c r="F15" s="236"/>
      <c r="G15" s="236"/>
      <c r="H15" s="236"/>
      <c r="I15" s="236"/>
      <c r="J15" s="236"/>
      <c r="K15" s="236"/>
      <c r="L15" s="236"/>
      <c r="M15" s="236"/>
      <c r="N15" s="236"/>
      <c r="O15" s="236"/>
      <c r="P15" s="47"/>
      <c r="Q15" s="47"/>
    </row>
    <row r="16" spans="1:17" ht="16">
      <c r="A16" s="278" t="s">
        <v>31</v>
      </c>
      <c r="B16" s="236">
        <v>4068146</v>
      </c>
      <c r="C16" s="236">
        <v>6370225.5</v>
      </c>
      <c r="D16" s="236">
        <v>1596594</v>
      </c>
      <c r="E16" s="236">
        <v>2196196.7799999998</v>
      </c>
      <c r="F16" s="236">
        <v>490964.5</v>
      </c>
      <c r="G16" s="236">
        <v>1815933.75</v>
      </c>
      <c r="H16" s="236">
        <v>476466</v>
      </c>
      <c r="I16" s="236">
        <v>524163</v>
      </c>
      <c r="J16" s="236">
        <v>440084</v>
      </c>
      <c r="K16" s="236">
        <v>1698152</v>
      </c>
      <c r="L16" s="236">
        <v>10320000</v>
      </c>
      <c r="M16" s="236">
        <v>1708392.25</v>
      </c>
      <c r="N16" s="236">
        <v>1054313</v>
      </c>
      <c r="O16" s="236">
        <v>1207847.1200000001</v>
      </c>
      <c r="P16" s="47"/>
      <c r="Q16" s="47">
        <v>1207847.1200000001</v>
      </c>
    </row>
    <row r="17" spans="1:17" ht="16">
      <c r="A17" s="278" t="s">
        <v>32</v>
      </c>
      <c r="B17" s="236">
        <v>1996948</v>
      </c>
      <c r="C17" s="236">
        <v>3666163</v>
      </c>
      <c r="D17" s="236"/>
      <c r="E17" s="236"/>
      <c r="F17" s="236"/>
      <c r="G17" s="236">
        <v>786320</v>
      </c>
      <c r="H17" s="236"/>
      <c r="I17" s="236"/>
      <c r="J17" s="236"/>
      <c r="K17" s="236"/>
      <c r="L17" s="236"/>
      <c r="M17" s="236"/>
      <c r="N17" s="236"/>
      <c r="O17" s="236"/>
      <c r="P17" s="47"/>
      <c r="Q17" s="47"/>
    </row>
    <row r="18" spans="1:17" ht="16">
      <c r="A18" s="278" t="s">
        <v>33</v>
      </c>
      <c r="B18" s="236"/>
      <c r="C18" s="236">
        <v>3156008</v>
      </c>
      <c r="D18" s="236"/>
      <c r="E18" s="236"/>
      <c r="F18" s="236"/>
      <c r="G18" s="236"/>
      <c r="H18" s="236"/>
      <c r="I18" s="236"/>
      <c r="J18" s="236"/>
      <c r="K18" s="236"/>
      <c r="L18" s="236"/>
      <c r="M18" s="236"/>
      <c r="N18" s="236"/>
      <c r="O18" s="236"/>
      <c r="P18" s="47"/>
      <c r="Q18" s="47"/>
    </row>
    <row r="19" spans="1:17" ht="16">
      <c r="A19" s="278" t="s">
        <v>34</v>
      </c>
      <c r="B19" s="236"/>
      <c r="C19" s="236">
        <v>15381.84</v>
      </c>
      <c r="D19" s="236"/>
      <c r="E19" s="236"/>
      <c r="F19" s="236">
        <v>1333393</v>
      </c>
      <c r="G19" s="236">
        <v>1783866</v>
      </c>
      <c r="H19" s="236"/>
      <c r="I19" s="236">
        <v>491757</v>
      </c>
      <c r="J19" s="236">
        <v>280574</v>
      </c>
      <c r="K19" s="236"/>
      <c r="L19" s="236"/>
      <c r="M19" s="236">
        <v>259168.9</v>
      </c>
      <c r="N19" s="236">
        <v>40000</v>
      </c>
      <c r="O19" s="236">
        <v>141647.62</v>
      </c>
      <c r="P19" s="47">
        <v>141647.62</v>
      </c>
      <c r="Q19" s="47"/>
    </row>
    <row r="20" spans="1:17" ht="15.75" customHeight="1">
      <c r="A20" s="278" t="s">
        <v>107</v>
      </c>
      <c r="B20" s="236"/>
      <c r="C20" s="236">
        <v>2365285.0499999998</v>
      </c>
      <c r="D20" s="236">
        <v>572468.53</v>
      </c>
      <c r="E20" s="236"/>
      <c r="F20" s="236"/>
      <c r="G20" s="236"/>
      <c r="H20" s="236"/>
      <c r="I20" s="236"/>
      <c r="J20" s="236">
        <v>171567</v>
      </c>
      <c r="K20" s="236"/>
      <c r="L20" s="236"/>
      <c r="M20" s="236"/>
      <c r="N20" s="236"/>
      <c r="O20" s="236"/>
      <c r="P20" s="47"/>
      <c r="Q20" s="47"/>
    </row>
    <row r="21" spans="1:17" ht="16">
      <c r="A21" s="278" t="s">
        <v>35</v>
      </c>
      <c r="B21" s="236">
        <v>3344161</v>
      </c>
      <c r="C21" s="236">
        <v>4437146.2</v>
      </c>
      <c r="D21" s="236">
        <v>333123.40000000002</v>
      </c>
      <c r="E21" s="236"/>
      <c r="F21" s="236"/>
      <c r="G21" s="236">
        <v>260540</v>
      </c>
      <c r="H21" s="236">
        <v>866530</v>
      </c>
      <c r="I21" s="236">
        <v>225545</v>
      </c>
      <c r="J21" s="236">
        <v>1200</v>
      </c>
      <c r="K21" s="236">
        <v>638445</v>
      </c>
      <c r="L21" s="236">
        <v>1200</v>
      </c>
      <c r="M21" s="236">
        <v>1200</v>
      </c>
      <c r="N21" s="236">
        <v>7400</v>
      </c>
      <c r="O21" s="236">
        <v>1200</v>
      </c>
      <c r="P21" s="47">
        <v>1200</v>
      </c>
      <c r="Q21" s="47"/>
    </row>
    <row r="22" spans="1:17" ht="18.5" thickBot="1">
      <c r="A22" s="279" t="s">
        <v>423</v>
      </c>
      <c r="B22" s="207">
        <f t="shared" ref="B22:K22" si="0">SUM(B3:B21)</f>
        <v>52203712</v>
      </c>
      <c r="C22" s="207">
        <f t="shared" si="0"/>
        <v>38046341.160000004</v>
      </c>
      <c r="D22" s="207">
        <f t="shared" si="0"/>
        <v>23741722.07</v>
      </c>
      <c r="E22" s="207">
        <f t="shared" si="0"/>
        <v>20104220.399999999</v>
      </c>
      <c r="F22" s="207">
        <f t="shared" si="0"/>
        <v>22112085.41</v>
      </c>
      <c r="G22" s="207">
        <f t="shared" si="0"/>
        <v>18204478.18</v>
      </c>
      <c r="H22" s="207">
        <f t="shared" si="0"/>
        <v>8998595</v>
      </c>
      <c r="I22" s="207">
        <f t="shared" si="0"/>
        <v>26702586</v>
      </c>
      <c r="J22" s="207">
        <f t="shared" si="0"/>
        <v>12768518</v>
      </c>
      <c r="K22" s="207">
        <f t="shared" si="0"/>
        <v>12846602</v>
      </c>
      <c r="L22" s="207">
        <f>SUM(L3:L21)</f>
        <v>21559373.530000001</v>
      </c>
      <c r="M22" s="207">
        <f>SUM(M3:M21)</f>
        <v>13761104.51</v>
      </c>
      <c r="N22" s="207">
        <f>SUM(N5:N21)</f>
        <v>12308171</v>
      </c>
      <c r="O22" s="207">
        <f>SUM(O3:O21)</f>
        <v>14313886.999999998</v>
      </c>
      <c r="P22" s="191">
        <f t="shared" ref="P22:Q22" si="1">SUM(P3:P21)</f>
        <v>1273211.2000000002</v>
      </c>
      <c r="Q22" s="191">
        <f t="shared" si="1"/>
        <v>13040675.800000001</v>
      </c>
    </row>
    <row r="23" spans="1:17" ht="14.25" customHeight="1" thickTop="1"/>
    <row r="24" spans="1:17" ht="16">
      <c r="A24" s="361" t="s">
        <v>108</v>
      </c>
      <c r="B24" s="235"/>
      <c r="C24" s="235"/>
      <c r="D24" s="235"/>
      <c r="E24" s="235"/>
      <c r="F24" s="235"/>
      <c r="G24" s="235"/>
      <c r="H24" s="235"/>
      <c r="I24" s="235"/>
      <c r="J24" s="235"/>
      <c r="K24" s="235"/>
      <c r="L24" s="235"/>
      <c r="M24" s="235"/>
      <c r="N24" s="235"/>
      <c r="O24" s="235"/>
    </row>
    <row r="25" spans="1:17" ht="16">
      <c r="A25" s="475" t="s">
        <v>370</v>
      </c>
      <c r="B25" s="475"/>
      <c r="C25" s="475"/>
      <c r="D25" s="475"/>
      <c r="E25" s="475"/>
      <c r="F25" s="475"/>
      <c r="G25" s="475"/>
      <c r="H25" s="475"/>
      <c r="I25" s="475"/>
      <c r="J25" s="475"/>
      <c r="K25" s="475"/>
      <c r="L25" s="475"/>
      <c r="M25" s="475"/>
      <c r="N25" s="475"/>
      <c r="O25" s="475"/>
    </row>
    <row r="26" spans="1:17" ht="29.25" customHeight="1">
      <c r="A26" s="461" t="s">
        <v>379</v>
      </c>
      <c r="B26" s="461"/>
      <c r="C26" s="461"/>
      <c r="D26" s="461"/>
      <c r="E26" s="461"/>
      <c r="F26" s="461"/>
      <c r="G26" s="461"/>
      <c r="H26" s="461"/>
      <c r="I26" s="461"/>
      <c r="J26" s="461"/>
      <c r="K26" s="461"/>
      <c r="L26" s="461"/>
      <c r="M26" s="461"/>
      <c r="N26" s="461"/>
      <c r="O26" s="461"/>
      <c r="P26" s="40"/>
    </row>
    <row r="27" spans="1:17" ht="16">
      <c r="A27" s="235"/>
      <c r="B27" s="235"/>
      <c r="C27" s="235"/>
      <c r="D27" s="235"/>
      <c r="E27" s="235"/>
      <c r="F27" s="235"/>
      <c r="G27" s="235"/>
      <c r="H27" s="235"/>
      <c r="I27" s="235"/>
      <c r="J27" s="235"/>
      <c r="K27" s="235"/>
      <c r="L27" s="235"/>
      <c r="M27" s="235"/>
      <c r="N27" s="235"/>
      <c r="O27" s="235"/>
      <c r="P27" s="40"/>
    </row>
    <row r="28" spans="1:17" ht="13.9" customHeight="1">
      <c r="M28" s="37"/>
      <c r="N28" s="37"/>
      <c r="O28" s="37"/>
      <c r="P28" s="37"/>
    </row>
    <row r="30" spans="1:17" ht="14.5">
      <c r="A30" s="39" t="s">
        <v>265</v>
      </c>
    </row>
    <row r="31" spans="1:17">
      <c r="A31" s="173" t="s">
        <v>26</v>
      </c>
      <c r="H31" s="172">
        <v>7865150</v>
      </c>
    </row>
    <row r="32" spans="1:17">
      <c r="A32" s="173" t="s">
        <v>353</v>
      </c>
      <c r="H32" s="172">
        <v>4007678.68</v>
      </c>
    </row>
    <row r="33" spans="1:8">
      <c r="A33" s="173" t="s">
        <v>31</v>
      </c>
      <c r="H33" s="172">
        <v>1207847.1200000001</v>
      </c>
    </row>
    <row r="34" spans="1:8">
      <c r="A34" s="173" t="s">
        <v>24</v>
      </c>
      <c r="H34" s="172">
        <v>1085363.58</v>
      </c>
    </row>
    <row r="35" spans="1:8">
      <c r="A35" s="173" t="s">
        <v>34</v>
      </c>
      <c r="H35" s="172">
        <v>141647.62</v>
      </c>
    </row>
    <row r="36" spans="1:8" ht="14.5">
      <c r="A36" s="173" t="s">
        <v>29</v>
      </c>
      <c r="B36" s="38"/>
      <c r="H36" s="172">
        <v>5000</v>
      </c>
    </row>
    <row r="37" spans="1:8">
      <c r="A37" s="173" t="s">
        <v>35</v>
      </c>
      <c r="H37" s="172">
        <v>1200</v>
      </c>
    </row>
    <row r="38" spans="1:8" ht="14.5">
      <c r="A38" s="37"/>
      <c r="B38" s="38"/>
    </row>
    <row r="39" spans="1:8" ht="14.5">
      <c r="A39" s="37"/>
      <c r="B39" s="38"/>
      <c r="H39" s="182"/>
    </row>
    <row r="40" spans="1:8" ht="14.5">
      <c r="A40" s="37"/>
      <c r="B40" s="38"/>
    </row>
    <row r="41" spans="1:8" ht="14.5">
      <c r="A41" s="39"/>
      <c r="B41" s="38"/>
    </row>
    <row r="42" spans="1:8" ht="14.5">
      <c r="A42" s="37"/>
      <c r="B42" s="38"/>
    </row>
    <row r="43" spans="1:8" ht="14.5">
      <c r="B43" s="38"/>
    </row>
    <row r="44" spans="1:8" ht="14.5">
      <c r="A44" s="41"/>
      <c r="B44" s="38"/>
    </row>
    <row r="45" spans="1:8" ht="14.5">
      <c r="A45" s="37"/>
      <c r="B45" s="38"/>
    </row>
    <row r="46" spans="1:8" ht="14.5">
      <c r="A46" s="37"/>
      <c r="B46" s="38"/>
    </row>
    <row r="47" spans="1:8" ht="14.5">
      <c r="A47" s="37"/>
      <c r="B47" s="38"/>
    </row>
    <row r="48" spans="1:8" ht="14.5">
      <c r="A48" s="37"/>
      <c r="B48" s="38"/>
    </row>
    <row r="49" spans="1:2" ht="14.5">
      <c r="A49" s="40"/>
      <c r="B49" s="38"/>
    </row>
    <row r="50" spans="1:2" ht="14.5">
      <c r="B50" s="38"/>
    </row>
    <row r="51" spans="1:2" ht="14.5">
      <c r="B51" s="38"/>
    </row>
    <row r="52" spans="1:2" ht="14.5">
      <c r="A52" s="37"/>
    </row>
    <row r="53" spans="1:2" ht="14.5">
      <c r="A53" s="37"/>
    </row>
    <row r="54" spans="1:2" ht="14.5">
      <c r="A54" s="37"/>
    </row>
    <row r="55" spans="1:2" ht="14.5">
      <c r="A55" s="37"/>
    </row>
    <row r="56" spans="1:2" ht="14.5">
      <c r="A56" s="37"/>
    </row>
    <row r="57" spans="1:2" ht="14.5">
      <c r="A57" s="37"/>
    </row>
    <row r="58" spans="1:2" ht="14.5">
      <c r="A58" s="37"/>
    </row>
    <row r="59" spans="1:2" ht="14.5">
      <c r="A59" s="37"/>
    </row>
    <row r="60" spans="1:2" ht="14.5">
      <c r="A60" s="37"/>
    </row>
    <row r="61" spans="1:2" ht="14.5">
      <c r="A61" s="37"/>
    </row>
    <row r="62" spans="1:2" ht="14.5">
      <c r="A62" s="37"/>
    </row>
  </sheetData>
  <sortState xmlns:xlrd2="http://schemas.microsoft.com/office/spreadsheetml/2017/richdata2" ref="A32:B36">
    <sortCondition descending="1" ref="B32:B36"/>
  </sortState>
  <mergeCells count="2">
    <mergeCell ref="A25:O25"/>
    <mergeCell ref="A26:O26"/>
  </mergeCells>
  <pageMargins left="0.7" right="0.7" top="0.75" bottom="0.75" header="0.3" footer="0.3"/>
  <pageSetup orientation="portrait" r:id="rId1"/>
  <ignoredErrors>
    <ignoredError sqref="H22"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54"/>
  <sheetViews>
    <sheetView topLeftCell="AD1" workbookViewId="0">
      <selection activeCell="Z19" sqref="Z19"/>
    </sheetView>
  </sheetViews>
  <sheetFormatPr defaultColWidth="9.1796875" defaultRowHeight="12.5"/>
  <cols>
    <col min="1" max="1" width="33.26953125" style="2" customWidth="1"/>
    <col min="2" max="2" width="9.26953125" style="2" customWidth="1"/>
    <col min="3" max="3" width="10.1796875" style="2" customWidth="1"/>
    <col min="4" max="29" width="9.26953125" style="2" customWidth="1"/>
    <col min="30" max="30" width="10.26953125" style="2" customWidth="1"/>
    <col min="31" max="31" width="11.54296875" style="2" customWidth="1"/>
    <col min="32" max="36" width="10.26953125" style="2" bestFit="1" customWidth="1"/>
    <col min="37" max="37" width="10.26953125" style="2" customWidth="1"/>
    <col min="38" max="38" width="9.1796875" style="2"/>
    <col min="39" max="40" width="9.453125" style="2" bestFit="1" customWidth="1"/>
    <col min="41" max="16384" width="9.1796875" style="2"/>
  </cols>
  <sheetData>
    <row r="1" spans="1:42" ht="13">
      <c r="A1" s="20" t="s">
        <v>220</v>
      </c>
      <c r="B1" s="21"/>
      <c r="C1" s="21"/>
      <c r="D1" s="21"/>
    </row>
    <row r="3" spans="1:42" s="4" customFormat="1" ht="15">
      <c r="A3" s="1" t="s">
        <v>264</v>
      </c>
    </row>
    <row r="4" spans="1:42" s="4" customFormat="1"/>
    <row r="5" spans="1:42" s="4" customFormat="1">
      <c r="B5" s="7" t="s">
        <v>41</v>
      </c>
      <c r="C5" s="7">
        <v>1981</v>
      </c>
      <c r="D5" s="7">
        <v>1982</v>
      </c>
      <c r="E5" s="7">
        <v>1983</v>
      </c>
      <c r="F5" s="7">
        <v>1984</v>
      </c>
      <c r="G5" s="7">
        <v>1985</v>
      </c>
      <c r="H5" s="7">
        <v>1986</v>
      </c>
      <c r="I5" s="7">
        <v>1987</v>
      </c>
      <c r="J5" s="7">
        <v>1988</v>
      </c>
      <c r="K5" s="7">
        <v>1989</v>
      </c>
      <c r="L5" s="7">
        <v>1990</v>
      </c>
      <c r="M5" s="7">
        <v>1991</v>
      </c>
      <c r="N5" s="7">
        <v>1992</v>
      </c>
      <c r="O5" s="7">
        <v>1993</v>
      </c>
      <c r="P5" s="7">
        <v>1994</v>
      </c>
      <c r="Q5" s="7">
        <v>1995</v>
      </c>
      <c r="R5" s="7">
        <v>1996</v>
      </c>
      <c r="S5" s="7">
        <v>1997</v>
      </c>
      <c r="T5" s="7">
        <v>1998</v>
      </c>
      <c r="U5" s="7">
        <v>1999</v>
      </c>
      <c r="V5" s="7">
        <v>2000</v>
      </c>
      <c r="W5" s="7">
        <v>2001</v>
      </c>
      <c r="X5" s="7">
        <v>2002</v>
      </c>
      <c r="Y5" s="7">
        <v>2003</v>
      </c>
      <c r="Z5" s="7">
        <v>2004</v>
      </c>
      <c r="AA5" s="7">
        <v>2005</v>
      </c>
      <c r="AB5" s="7">
        <v>2006</v>
      </c>
      <c r="AC5" s="7">
        <v>2007</v>
      </c>
      <c r="AD5" s="7">
        <v>2008</v>
      </c>
      <c r="AE5" s="7">
        <v>2009</v>
      </c>
      <c r="AF5" s="7">
        <v>2010</v>
      </c>
      <c r="AG5" s="7">
        <v>2011</v>
      </c>
      <c r="AH5" s="7">
        <v>2012</v>
      </c>
      <c r="AI5" s="7">
        <v>2013</v>
      </c>
      <c r="AJ5" s="7">
        <v>2014</v>
      </c>
      <c r="AK5" s="7">
        <v>2015</v>
      </c>
      <c r="AL5" s="7">
        <v>2016</v>
      </c>
      <c r="AM5" s="7">
        <v>2017</v>
      </c>
      <c r="AN5" s="6">
        <v>2018</v>
      </c>
      <c r="AO5" s="4" t="s">
        <v>146</v>
      </c>
    </row>
    <row r="6" spans="1:42" s="4" customFormat="1">
      <c r="A6" s="4" t="s">
        <v>40</v>
      </c>
      <c r="B6" s="5">
        <f>B18</f>
        <v>0</v>
      </c>
      <c r="C6" s="5">
        <f t="shared" ref="C6:AN6" si="0">B6+C18</f>
        <v>0</v>
      </c>
      <c r="D6" s="5">
        <f t="shared" si="0"/>
        <v>0</v>
      </c>
      <c r="E6" s="5">
        <f t="shared" si="0"/>
        <v>0</v>
      </c>
      <c r="F6" s="5">
        <f t="shared" si="0"/>
        <v>12</v>
      </c>
      <c r="G6" s="5">
        <f t="shared" si="0"/>
        <v>29</v>
      </c>
      <c r="H6" s="5">
        <f t="shared" si="0"/>
        <v>103</v>
      </c>
      <c r="I6" s="5">
        <f t="shared" si="0"/>
        <v>114</v>
      </c>
      <c r="J6" s="5">
        <f t="shared" si="0"/>
        <v>154</v>
      </c>
      <c r="K6" s="5">
        <f t="shared" si="0"/>
        <v>194</v>
      </c>
      <c r="L6" s="5">
        <f t="shared" si="0"/>
        <v>234</v>
      </c>
      <c r="M6" s="5">
        <f t="shared" si="0"/>
        <v>274</v>
      </c>
      <c r="N6" s="5">
        <f t="shared" si="0"/>
        <v>333</v>
      </c>
      <c r="O6" s="5">
        <f t="shared" si="0"/>
        <v>437</v>
      </c>
      <c r="P6" s="5">
        <f t="shared" si="0"/>
        <v>548.70000000000005</v>
      </c>
      <c r="Q6" s="5">
        <f t="shared" si="0"/>
        <v>612.20000000000005</v>
      </c>
      <c r="R6" s="5">
        <f t="shared" si="0"/>
        <v>612.20000000000005</v>
      </c>
      <c r="S6" s="5">
        <f t="shared" si="0"/>
        <v>612.20000000000005</v>
      </c>
      <c r="T6" s="5">
        <f t="shared" si="0"/>
        <v>617.6</v>
      </c>
      <c r="U6" s="5">
        <f t="shared" si="0"/>
        <v>665.2</v>
      </c>
      <c r="V6" s="5">
        <f t="shared" si="0"/>
        <v>730</v>
      </c>
      <c r="W6" s="5">
        <f t="shared" si="0"/>
        <v>2119.6</v>
      </c>
      <c r="X6" s="5">
        <f t="shared" si="0"/>
        <v>2267.4</v>
      </c>
      <c r="Y6" s="5">
        <f t="shared" si="0"/>
        <v>2438.5</v>
      </c>
      <c r="Z6" s="5">
        <f t="shared" si="0"/>
        <v>2629.5</v>
      </c>
      <c r="AA6" s="5">
        <f t="shared" si="0"/>
        <v>2740.3</v>
      </c>
      <c r="AB6" s="5">
        <f t="shared" si="0"/>
        <v>2908.4776403128003</v>
      </c>
      <c r="AC6" s="5">
        <f t="shared" si="0"/>
        <v>3029.1676403128004</v>
      </c>
      <c r="AD6" s="5">
        <f t="shared" si="0"/>
        <v>3304.1151715013721</v>
      </c>
      <c r="AE6" s="5">
        <f t="shared" si="0"/>
        <v>3544.4265926055655</v>
      </c>
      <c r="AF6" s="5">
        <f t="shared" si="0"/>
        <v>3854.4929987687915</v>
      </c>
      <c r="AG6" s="5">
        <f t="shared" si="0"/>
        <v>3925.1834749287914</v>
      </c>
      <c r="AH6" s="5">
        <f t="shared" si="0"/>
        <v>3963.6334749287912</v>
      </c>
      <c r="AI6" s="5">
        <f t="shared" si="0"/>
        <v>4049.4374749287913</v>
      </c>
      <c r="AJ6" s="5">
        <f t="shared" si="0"/>
        <v>4245.589253548791</v>
      </c>
      <c r="AK6" s="5">
        <f t="shared" si="0"/>
        <v>4313.070576635243</v>
      </c>
      <c r="AL6" s="5">
        <f t="shared" si="0"/>
        <v>4363.3616128404046</v>
      </c>
      <c r="AM6" s="5">
        <f t="shared" si="0"/>
        <v>4342.8256128404046</v>
      </c>
      <c r="AN6" s="5">
        <f t="shared" si="0"/>
        <v>4367.086273836534</v>
      </c>
    </row>
    <row r="7" spans="1:42" s="4" customFormat="1">
      <c r="A7" s="4" t="s">
        <v>39</v>
      </c>
      <c r="B7" s="5">
        <f t="shared" ref="B7:B10" si="1">B19</f>
        <v>0</v>
      </c>
      <c r="C7" s="5">
        <f t="shared" ref="C7:AN7" si="2">B7+C19</f>
        <v>3</v>
      </c>
      <c r="D7" s="5">
        <f t="shared" si="2"/>
        <v>17</v>
      </c>
      <c r="E7" s="5">
        <f t="shared" si="2"/>
        <v>18</v>
      </c>
      <c r="F7" s="5">
        <f t="shared" si="2"/>
        <v>26</v>
      </c>
      <c r="G7" s="5">
        <f t="shared" si="2"/>
        <v>53</v>
      </c>
      <c r="H7" s="5">
        <f t="shared" si="2"/>
        <v>72</v>
      </c>
      <c r="I7" s="5">
        <f t="shared" si="2"/>
        <v>81</v>
      </c>
      <c r="J7" s="5">
        <f t="shared" si="2"/>
        <v>91</v>
      </c>
      <c r="K7" s="5">
        <f t="shared" si="2"/>
        <v>106</v>
      </c>
      <c r="L7" s="5">
        <f t="shared" si="2"/>
        <v>121</v>
      </c>
      <c r="M7" s="5">
        <f t="shared" si="2"/>
        <v>136</v>
      </c>
      <c r="N7" s="5">
        <f t="shared" si="2"/>
        <v>159</v>
      </c>
      <c r="O7" s="5">
        <f t="shared" si="2"/>
        <v>204</v>
      </c>
      <c r="P7" s="5">
        <f t="shared" si="2"/>
        <v>266</v>
      </c>
      <c r="Q7" s="5">
        <f t="shared" si="2"/>
        <v>273.10000000000002</v>
      </c>
      <c r="R7" s="5">
        <f t="shared" si="2"/>
        <v>354.8</v>
      </c>
      <c r="S7" s="5">
        <f t="shared" si="2"/>
        <v>462.6</v>
      </c>
      <c r="T7" s="5">
        <f t="shared" si="2"/>
        <v>579.1</v>
      </c>
      <c r="U7" s="5">
        <f t="shared" si="2"/>
        <v>776.90000000000009</v>
      </c>
      <c r="V7" s="5">
        <f t="shared" si="2"/>
        <v>970.00000000000011</v>
      </c>
      <c r="W7" s="5">
        <f t="shared" si="2"/>
        <v>1085.9000000000001</v>
      </c>
      <c r="X7" s="5">
        <f t="shared" si="2"/>
        <v>1098.5</v>
      </c>
      <c r="Y7" s="5">
        <f t="shared" si="2"/>
        <v>1177.7</v>
      </c>
      <c r="Z7" s="5">
        <f t="shared" si="2"/>
        <v>1199.4000000000001</v>
      </c>
      <c r="AA7" s="5">
        <f t="shared" si="2"/>
        <v>1381.5</v>
      </c>
      <c r="AB7" s="5">
        <f t="shared" si="2"/>
        <v>1778.9380996800001</v>
      </c>
      <c r="AC7" s="5">
        <f t="shared" si="2"/>
        <v>2061.5630996800001</v>
      </c>
      <c r="AD7" s="5">
        <f t="shared" si="2"/>
        <v>2335.0825265371427</v>
      </c>
      <c r="AE7" s="5">
        <f t="shared" si="2"/>
        <v>2477.8965265371426</v>
      </c>
      <c r="AF7" s="5">
        <f t="shared" si="2"/>
        <v>2577.3274901139166</v>
      </c>
      <c r="AG7" s="5">
        <f t="shared" si="2"/>
        <v>2734.0094936139167</v>
      </c>
      <c r="AH7" s="5">
        <f t="shared" si="2"/>
        <v>2886.2094936139165</v>
      </c>
      <c r="AI7" s="5">
        <f t="shared" si="2"/>
        <v>3021.7174936139163</v>
      </c>
      <c r="AJ7" s="5">
        <f t="shared" si="2"/>
        <v>3144.4618380929487</v>
      </c>
      <c r="AK7" s="5">
        <f t="shared" si="2"/>
        <v>3340.2572852013359</v>
      </c>
      <c r="AL7" s="5">
        <f t="shared" si="2"/>
        <v>3416.8991706426264</v>
      </c>
      <c r="AM7" s="5">
        <f t="shared" si="2"/>
        <v>3426.4991706426263</v>
      </c>
      <c r="AN7" s="5">
        <f t="shared" si="2"/>
        <v>3429.3991706426264</v>
      </c>
    </row>
    <row r="8" spans="1:42" s="4" customFormat="1">
      <c r="A8" s="4" t="s">
        <v>38</v>
      </c>
      <c r="B8" s="5">
        <f t="shared" si="1"/>
        <v>15</v>
      </c>
      <c r="C8" s="5">
        <f t="shared" ref="C8:AN8" si="3">B8+C20</f>
        <v>21.1</v>
      </c>
      <c r="D8" s="5">
        <f t="shared" si="3"/>
        <v>32.6</v>
      </c>
      <c r="E8" s="5">
        <f t="shared" si="3"/>
        <v>46.8</v>
      </c>
      <c r="F8" s="5">
        <f t="shared" si="3"/>
        <v>62.8</v>
      </c>
      <c r="G8" s="5">
        <f t="shared" si="3"/>
        <v>82.699999999999989</v>
      </c>
      <c r="H8" s="5">
        <f t="shared" si="3"/>
        <v>106.39999999999999</v>
      </c>
      <c r="I8" s="5">
        <f t="shared" si="3"/>
        <v>136.1</v>
      </c>
      <c r="J8" s="5">
        <f t="shared" si="3"/>
        <v>155.1</v>
      </c>
      <c r="K8" s="5">
        <f t="shared" si="3"/>
        <v>178.7</v>
      </c>
      <c r="L8" s="5">
        <f t="shared" si="3"/>
        <v>202.1</v>
      </c>
      <c r="M8" s="5">
        <f t="shared" si="3"/>
        <v>226.4</v>
      </c>
      <c r="N8" s="5">
        <f t="shared" si="3"/>
        <v>254.8</v>
      </c>
      <c r="O8" s="5">
        <f t="shared" si="3"/>
        <v>285.3</v>
      </c>
      <c r="P8" s="5">
        <f t="shared" si="3"/>
        <v>320.2</v>
      </c>
      <c r="Q8" s="5">
        <f t="shared" si="3"/>
        <v>356.3</v>
      </c>
      <c r="R8" s="5">
        <f t="shared" si="3"/>
        <v>391.7</v>
      </c>
      <c r="S8" s="5">
        <f t="shared" si="3"/>
        <v>427.6</v>
      </c>
      <c r="T8" s="5">
        <f t="shared" si="3"/>
        <v>463.98</v>
      </c>
      <c r="U8" s="5">
        <f t="shared" si="3"/>
        <v>502.88</v>
      </c>
      <c r="V8" s="5">
        <f t="shared" si="3"/>
        <v>540.48</v>
      </c>
      <c r="W8" s="5">
        <f t="shared" si="3"/>
        <v>582.98</v>
      </c>
      <c r="X8" s="5">
        <f t="shared" si="3"/>
        <v>633.89</v>
      </c>
      <c r="Y8" s="5">
        <f t="shared" si="3"/>
        <v>686.44499999999994</v>
      </c>
      <c r="Z8" s="5">
        <f t="shared" si="3"/>
        <v>743.64499999999998</v>
      </c>
      <c r="AA8" s="5">
        <f t="shared" si="3"/>
        <v>801.56499999999994</v>
      </c>
      <c r="AB8" s="5">
        <f t="shared" si="3"/>
        <v>862.21499999999992</v>
      </c>
      <c r="AC8" s="5">
        <f t="shared" si="3"/>
        <v>922.4799999999999</v>
      </c>
      <c r="AD8" s="5">
        <f t="shared" si="3"/>
        <v>984.70249999999987</v>
      </c>
      <c r="AE8" s="5">
        <f t="shared" si="3"/>
        <v>1048.9724999999999</v>
      </c>
      <c r="AF8" s="5">
        <f t="shared" si="3"/>
        <v>1118.6734873599999</v>
      </c>
      <c r="AG8" s="5">
        <f t="shared" si="3"/>
        <v>1192.9385881399999</v>
      </c>
      <c r="AH8" s="5">
        <f t="shared" si="3"/>
        <v>1265.9485881399999</v>
      </c>
      <c r="AI8" s="5">
        <f t="shared" si="3"/>
        <v>1344.4485881399999</v>
      </c>
      <c r="AJ8" s="5">
        <f t="shared" si="3"/>
        <v>1434.7485881399998</v>
      </c>
      <c r="AK8" s="5">
        <f t="shared" si="3"/>
        <v>1519.6140736399998</v>
      </c>
      <c r="AL8" s="5">
        <f t="shared" si="3"/>
        <v>1607.7994219599998</v>
      </c>
      <c r="AM8" s="5">
        <f t="shared" si="3"/>
        <v>1693.0222221549998</v>
      </c>
      <c r="AN8" s="5">
        <f t="shared" si="3"/>
        <v>1782.8988112399998</v>
      </c>
    </row>
    <row r="9" spans="1:42" s="4" customFormat="1">
      <c r="A9" s="4" t="s">
        <v>37</v>
      </c>
      <c r="B9" s="5">
        <f t="shared" si="1"/>
        <v>2.2999999999999998</v>
      </c>
      <c r="C9" s="5">
        <f t="shared" ref="C9:AN9" si="4">B9+C21</f>
        <v>4.5999999999999996</v>
      </c>
      <c r="D9" s="5">
        <f t="shared" si="4"/>
        <v>9.1999999999999993</v>
      </c>
      <c r="E9" s="5">
        <f t="shared" si="4"/>
        <v>18.299999999999997</v>
      </c>
      <c r="F9" s="5">
        <f t="shared" si="4"/>
        <v>37.9</v>
      </c>
      <c r="G9" s="5">
        <f t="shared" si="4"/>
        <v>53.8</v>
      </c>
      <c r="H9" s="5">
        <f t="shared" si="4"/>
        <v>73.400000000000006</v>
      </c>
      <c r="I9" s="5">
        <f t="shared" si="4"/>
        <v>95.600000000000009</v>
      </c>
      <c r="J9" s="5">
        <f t="shared" si="4"/>
        <v>114.4</v>
      </c>
      <c r="K9" s="5">
        <f t="shared" si="4"/>
        <v>137.4</v>
      </c>
      <c r="L9" s="5">
        <f t="shared" si="4"/>
        <v>170.2</v>
      </c>
      <c r="M9" s="5">
        <f t="shared" si="4"/>
        <v>203.2</v>
      </c>
      <c r="N9" s="5">
        <f t="shared" si="4"/>
        <v>270.2</v>
      </c>
      <c r="O9" s="5">
        <f t="shared" si="4"/>
        <v>319.8</v>
      </c>
      <c r="P9" s="5">
        <f t="shared" si="4"/>
        <v>375.7</v>
      </c>
      <c r="Q9" s="5">
        <f t="shared" si="4"/>
        <v>447.1</v>
      </c>
      <c r="R9" s="5">
        <f t="shared" si="4"/>
        <v>515.6</v>
      </c>
      <c r="S9" s="5">
        <f t="shared" si="4"/>
        <v>597.80000000000007</v>
      </c>
      <c r="T9" s="5">
        <f t="shared" si="4"/>
        <v>702.7</v>
      </c>
      <c r="U9" s="5">
        <f t="shared" si="4"/>
        <v>810.90000000000009</v>
      </c>
      <c r="V9" s="5">
        <f t="shared" si="4"/>
        <v>919.10000000000014</v>
      </c>
      <c r="W9" s="5">
        <f t="shared" si="4"/>
        <v>1020.2000000000002</v>
      </c>
      <c r="X9" s="5">
        <f t="shared" si="4"/>
        <v>1157.3000000000002</v>
      </c>
      <c r="Y9" s="5">
        <f t="shared" si="4"/>
        <v>1298.0000000000002</v>
      </c>
      <c r="Z9" s="5">
        <f t="shared" si="4"/>
        <v>1435.9000000000003</v>
      </c>
      <c r="AA9" s="5">
        <f t="shared" si="4"/>
        <v>1571.7000000000003</v>
      </c>
      <c r="AB9" s="5">
        <f t="shared" si="4"/>
        <v>1709.6000000000004</v>
      </c>
      <c r="AC9" s="5">
        <f t="shared" si="4"/>
        <v>1849.0820000000003</v>
      </c>
      <c r="AD9" s="5">
        <f t="shared" si="4"/>
        <v>1997.9794339400003</v>
      </c>
      <c r="AE9" s="5">
        <f t="shared" si="4"/>
        <v>2175.8388767700003</v>
      </c>
      <c r="AF9" s="5">
        <f t="shared" si="4"/>
        <v>2375.4210898000001</v>
      </c>
      <c r="AG9" s="5">
        <f t="shared" si="4"/>
        <v>2596.47471404</v>
      </c>
      <c r="AH9" s="5">
        <f t="shared" si="4"/>
        <v>2845.4047140399998</v>
      </c>
      <c r="AI9" s="5">
        <f t="shared" si="4"/>
        <v>3084.4047140399998</v>
      </c>
      <c r="AJ9" s="5">
        <f t="shared" si="4"/>
        <v>3316.2061960399997</v>
      </c>
      <c r="AK9" s="5">
        <f t="shared" si="4"/>
        <v>3574.3834078699997</v>
      </c>
      <c r="AL9" s="5">
        <f t="shared" si="4"/>
        <v>3832.5255977999996</v>
      </c>
      <c r="AM9" s="5">
        <f t="shared" si="4"/>
        <v>4087.2298052899996</v>
      </c>
      <c r="AN9" s="5">
        <f t="shared" si="4"/>
        <v>4345.9344566299997</v>
      </c>
    </row>
    <row r="10" spans="1:42" s="4" customFormat="1">
      <c r="A10" s="4" t="s">
        <v>36</v>
      </c>
      <c r="B10" s="5">
        <f t="shared" si="1"/>
        <v>24</v>
      </c>
      <c r="C10" s="5">
        <f t="shared" ref="C10:AN10" si="5">B10+C22</f>
        <v>32.799999999999997</v>
      </c>
      <c r="D10" s="5">
        <f t="shared" si="5"/>
        <v>45.199999999999996</v>
      </c>
      <c r="E10" s="5">
        <f t="shared" si="5"/>
        <v>61.099999999999994</v>
      </c>
      <c r="F10" s="5">
        <f t="shared" si="5"/>
        <v>77.699999999999989</v>
      </c>
      <c r="G10" s="5">
        <f t="shared" si="5"/>
        <v>97.399999999999991</v>
      </c>
      <c r="H10" s="5">
        <f t="shared" si="5"/>
        <v>119.5</v>
      </c>
      <c r="I10" s="5">
        <f t="shared" si="5"/>
        <v>148</v>
      </c>
      <c r="J10" s="5">
        <f t="shared" si="5"/>
        <v>179</v>
      </c>
      <c r="K10" s="5">
        <f t="shared" si="5"/>
        <v>210.9</v>
      </c>
      <c r="L10" s="5">
        <f t="shared" si="5"/>
        <v>245.2</v>
      </c>
      <c r="M10" s="5">
        <f t="shared" si="5"/>
        <v>283.39999999999998</v>
      </c>
      <c r="N10" s="5">
        <f t="shared" si="5"/>
        <v>325.29999999999995</v>
      </c>
      <c r="O10" s="5">
        <f t="shared" si="5"/>
        <v>378.9</v>
      </c>
      <c r="P10" s="5">
        <f t="shared" si="5"/>
        <v>440.2</v>
      </c>
      <c r="Q10" s="5">
        <f t="shared" si="5"/>
        <v>503.79999999999995</v>
      </c>
      <c r="R10" s="5">
        <f t="shared" si="5"/>
        <v>576.9</v>
      </c>
      <c r="S10" s="5">
        <f t="shared" si="5"/>
        <v>653.19999999999993</v>
      </c>
      <c r="T10" s="5">
        <f t="shared" si="5"/>
        <v>727.3</v>
      </c>
      <c r="U10" s="5">
        <f t="shared" si="5"/>
        <v>803.4</v>
      </c>
      <c r="V10" s="5">
        <f t="shared" si="5"/>
        <v>879.69999999999993</v>
      </c>
      <c r="W10" s="5">
        <f t="shared" si="5"/>
        <v>957.9</v>
      </c>
      <c r="X10" s="5">
        <f t="shared" si="5"/>
        <v>1036.0999999999999</v>
      </c>
      <c r="Y10" s="5">
        <f t="shared" si="5"/>
        <v>1116.5999999999999</v>
      </c>
      <c r="Z10" s="5">
        <f t="shared" si="5"/>
        <v>1202</v>
      </c>
      <c r="AA10" s="5">
        <f t="shared" si="5"/>
        <v>1291.7</v>
      </c>
      <c r="AB10" s="5">
        <f t="shared" si="5"/>
        <v>1379.2</v>
      </c>
      <c r="AC10" s="5">
        <f t="shared" si="5"/>
        <v>1492.1100000000001</v>
      </c>
      <c r="AD10" s="5">
        <f t="shared" si="5"/>
        <v>1608.3100000000002</v>
      </c>
      <c r="AE10" s="5">
        <f t="shared" si="5"/>
        <v>1728.3100000000002</v>
      </c>
      <c r="AF10" s="5">
        <f t="shared" si="5"/>
        <v>1851.8261102145098</v>
      </c>
      <c r="AG10" s="5">
        <f t="shared" si="5"/>
        <v>1978.9986920591759</v>
      </c>
      <c r="AH10" s="5">
        <f t="shared" si="5"/>
        <v>2110.4986920591759</v>
      </c>
      <c r="AI10" s="5">
        <f t="shared" si="5"/>
        <v>2253.898692059176</v>
      </c>
      <c r="AJ10" s="5">
        <f t="shared" si="5"/>
        <v>2395.1986920591762</v>
      </c>
      <c r="AK10" s="5">
        <f t="shared" si="5"/>
        <v>2545.7774713522472</v>
      </c>
      <c r="AL10" s="5">
        <f t="shared" si="5"/>
        <v>2693.99445848705</v>
      </c>
      <c r="AM10" s="5">
        <f t="shared" si="5"/>
        <v>2815.371941085838</v>
      </c>
      <c r="AN10" s="5">
        <f t="shared" si="5"/>
        <v>2920.4450397831351</v>
      </c>
    </row>
    <row r="11" spans="1:42" s="4" customFormat="1">
      <c r="A11" s="6" t="s">
        <v>124</v>
      </c>
      <c r="B11" s="5">
        <f>SUM(B6:B10)</f>
        <v>41.3</v>
      </c>
      <c r="C11" s="5">
        <v>76.599999999999994</v>
      </c>
      <c r="D11" s="5">
        <v>168.4</v>
      </c>
      <c r="E11" s="5">
        <v>247.8</v>
      </c>
      <c r="F11" s="5">
        <v>312.39999999999998</v>
      </c>
      <c r="G11" s="5">
        <v>448.8</v>
      </c>
      <c r="H11" s="5">
        <v>602.20000000000005</v>
      </c>
      <c r="I11" s="5">
        <v>757.4</v>
      </c>
      <c r="J11" s="5">
        <v>860.5</v>
      </c>
      <c r="K11" s="5">
        <v>975.7</v>
      </c>
      <c r="L11" s="5">
        <v>1107.5999999999999</v>
      </c>
      <c r="M11" s="5">
        <v>1241.5999999999999</v>
      </c>
      <c r="N11" s="5">
        <v>1431.1</v>
      </c>
      <c r="O11" s="5">
        <v>1763.3</v>
      </c>
      <c r="P11" s="5">
        <v>2087.6999999999998</v>
      </c>
      <c r="Q11" s="5">
        <v>2337.4</v>
      </c>
      <c r="R11" s="5">
        <v>2594.1</v>
      </c>
      <c r="S11" s="5">
        <v>2805.5</v>
      </c>
      <c r="T11" s="5">
        <v>3090.7</v>
      </c>
      <c r="U11" s="5">
        <v>3512</v>
      </c>
      <c r="V11" s="5">
        <v>3992</v>
      </c>
      <c r="W11" s="5">
        <v>5719.3</v>
      </c>
      <c r="X11" s="5">
        <v>6146.1</v>
      </c>
      <c r="Y11" s="5">
        <v>6670.2</v>
      </c>
      <c r="Z11" s="5">
        <v>7163.4</v>
      </c>
      <c r="AA11" s="5">
        <v>7738.7</v>
      </c>
      <c r="AB11" s="5">
        <v>8590.4</v>
      </c>
      <c r="AC11" s="5">
        <v>9306.4</v>
      </c>
      <c r="AD11" s="5">
        <v>10182.1</v>
      </c>
      <c r="AE11" s="5">
        <v>10927.4</v>
      </c>
      <c r="AF11" s="5">
        <v>11729.7</v>
      </c>
      <c r="AG11" s="5">
        <v>12435.3</v>
      </c>
      <c r="AH11" s="5">
        <f t="shared" ref="AH11:AN11" si="6">SUM(AH6:AH10)</f>
        <v>13071.694962781883</v>
      </c>
      <c r="AI11" s="5">
        <f t="shared" si="6"/>
        <v>13753.906962781883</v>
      </c>
      <c r="AJ11" s="5">
        <f t="shared" si="6"/>
        <v>14536.204567880915</v>
      </c>
      <c r="AK11" s="5">
        <f t="shared" si="6"/>
        <v>15293.102814698825</v>
      </c>
      <c r="AL11" s="5">
        <f t="shared" si="6"/>
        <v>15914.58026173008</v>
      </c>
      <c r="AM11" s="5">
        <f t="shared" si="6"/>
        <v>16364.948752013866</v>
      </c>
      <c r="AN11" s="5">
        <f t="shared" si="6"/>
        <v>16845.763752132294</v>
      </c>
      <c r="AP11" s="4">
        <v>16845.763752132294</v>
      </c>
    </row>
    <row r="12" spans="1:42" s="4" customFormat="1">
      <c r="A12" s="6"/>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row>
    <row r="13" spans="1:42" s="4" customFormat="1">
      <c r="A13" s="4" t="s">
        <v>147</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row>
    <row r="14" spans="1:42" s="4" customFormat="1">
      <c r="A14" s="19" t="s">
        <v>148</v>
      </c>
      <c r="B14" s="5">
        <f>B24</f>
        <v>30</v>
      </c>
      <c r="C14" s="5">
        <f>B14+C24</f>
        <v>47.9</v>
      </c>
      <c r="D14" s="5">
        <f t="shared" ref="D14:AN14" si="7">C14+D24</f>
        <v>109.6</v>
      </c>
      <c r="E14" s="5">
        <f t="shared" si="7"/>
        <v>164.7</v>
      </c>
      <c r="F14" s="5">
        <f t="shared" si="7"/>
        <v>173.7</v>
      </c>
      <c r="G14" s="5">
        <f t="shared" si="7"/>
        <v>230.29999999999998</v>
      </c>
      <c r="H14" s="5">
        <f t="shared" si="7"/>
        <v>247.39999999999998</v>
      </c>
      <c r="I14" s="5">
        <f t="shared" si="7"/>
        <v>330.7</v>
      </c>
      <c r="J14" s="5">
        <f t="shared" si="7"/>
        <v>346</v>
      </c>
      <c r="K14" s="5">
        <f t="shared" si="7"/>
        <v>359.6</v>
      </c>
      <c r="L14" s="5">
        <f t="shared" si="7"/>
        <v>380.3</v>
      </c>
      <c r="M14" s="5">
        <f t="shared" si="7"/>
        <v>402</v>
      </c>
      <c r="N14" s="5">
        <f t="shared" si="7"/>
        <v>414.1</v>
      </c>
      <c r="O14" s="5">
        <f t="shared" si="7"/>
        <v>517.20000000000005</v>
      </c>
      <c r="P14" s="5">
        <f t="shared" si="7"/>
        <v>577.1</v>
      </c>
      <c r="Q14" s="5">
        <f t="shared" si="7"/>
        <v>648.9</v>
      </c>
      <c r="R14" s="5">
        <f t="shared" si="7"/>
        <v>720</v>
      </c>
      <c r="S14" s="5">
        <f t="shared" si="7"/>
        <v>705.5</v>
      </c>
      <c r="T14" s="5">
        <f t="shared" si="7"/>
        <v>727.5</v>
      </c>
      <c r="U14" s="5">
        <f t="shared" si="7"/>
        <v>756.3</v>
      </c>
      <c r="V14" s="5">
        <f t="shared" si="7"/>
        <v>817.19999999999993</v>
      </c>
      <c r="W14" s="5">
        <f t="shared" si="7"/>
        <v>839.9</v>
      </c>
      <c r="X14" s="5">
        <f t="shared" si="7"/>
        <v>854.8</v>
      </c>
      <c r="Y14" s="5">
        <f t="shared" si="7"/>
        <v>934.8</v>
      </c>
      <c r="Z14" s="5">
        <f t="shared" si="7"/>
        <v>1019.1999999999999</v>
      </c>
      <c r="AA14" s="5">
        <f t="shared" si="7"/>
        <v>1085.1999999999998</v>
      </c>
      <c r="AB14" s="5">
        <f t="shared" si="7"/>
        <v>1481.4999999999998</v>
      </c>
      <c r="AC14" s="5">
        <f t="shared" si="7"/>
        <v>1578.1059999999998</v>
      </c>
      <c r="AD14" s="5">
        <f t="shared" si="7"/>
        <v>1642.2773130699998</v>
      </c>
      <c r="AE14" s="5">
        <f t="shared" si="7"/>
        <v>1805.9887742999997</v>
      </c>
      <c r="AF14" s="5">
        <f t="shared" si="7"/>
        <v>1903.6048668099997</v>
      </c>
      <c r="AG14" s="5">
        <f t="shared" si="7"/>
        <v>2097.5427319999999</v>
      </c>
      <c r="AH14" s="5">
        <f t="shared" si="7"/>
        <v>2269.8730289999999</v>
      </c>
      <c r="AI14" s="5">
        <f t="shared" si="7"/>
        <v>2425.5630289999999</v>
      </c>
      <c r="AJ14" s="5">
        <f t="shared" si="7"/>
        <v>2564.71637732</v>
      </c>
      <c r="AK14" s="5">
        <f t="shared" si="7"/>
        <v>2668.8422863199999</v>
      </c>
      <c r="AL14" s="5">
        <f t="shared" si="7"/>
        <v>2720.2148798200001</v>
      </c>
      <c r="AM14" s="5">
        <f t="shared" si="7"/>
        <v>2785.8487883600001</v>
      </c>
      <c r="AN14" s="5">
        <f t="shared" si="7"/>
        <v>2869.0654863600002</v>
      </c>
    </row>
    <row r="15" spans="1:42" s="4" customFormat="1">
      <c r="A15" s="4" t="s">
        <v>149</v>
      </c>
      <c r="B15" s="5">
        <f>B25</f>
        <v>0</v>
      </c>
      <c r="C15" s="5">
        <f>B15+C25</f>
        <v>0</v>
      </c>
      <c r="D15" s="5">
        <f t="shared" ref="D15:AN15" si="8">C15+D25</f>
        <v>0</v>
      </c>
      <c r="E15" s="5">
        <f t="shared" si="8"/>
        <v>0</v>
      </c>
      <c r="F15" s="5">
        <f t="shared" si="8"/>
        <v>0</v>
      </c>
      <c r="G15" s="5">
        <f t="shared" si="8"/>
        <v>0</v>
      </c>
      <c r="H15" s="5">
        <f t="shared" si="8"/>
        <v>0</v>
      </c>
      <c r="I15" s="5">
        <f t="shared" si="8"/>
        <v>0</v>
      </c>
      <c r="J15" s="5">
        <f t="shared" si="8"/>
        <v>0</v>
      </c>
      <c r="K15" s="5">
        <f t="shared" si="8"/>
        <v>0</v>
      </c>
      <c r="L15" s="5">
        <f t="shared" si="8"/>
        <v>0</v>
      </c>
      <c r="M15" s="5">
        <f t="shared" si="8"/>
        <v>0</v>
      </c>
      <c r="N15" s="5">
        <f t="shared" si="8"/>
        <v>0</v>
      </c>
      <c r="O15" s="5">
        <f t="shared" si="8"/>
        <v>0</v>
      </c>
      <c r="P15" s="5">
        <f t="shared" si="8"/>
        <v>0</v>
      </c>
      <c r="Q15" s="5">
        <f t="shared" si="8"/>
        <v>-45.2</v>
      </c>
      <c r="R15" s="5">
        <f t="shared" si="8"/>
        <v>-70.7</v>
      </c>
      <c r="S15" s="5">
        <f t="shared" si="8"/>
        <v>-100.4</v>
      </c>
      <c r="T15" s="5">
        <f t="shared" si="8"/>
        <v>-136.10000000000002</v>
      </c>
      <c r="U15" s="5">
        <f t="shared" si="8"/>
        <v>-182.10000000000002</v>
      </c>
      <c r="V15" s="5">
        <f t="shared" si="8"/>
        <v>-232.50000000000003</v>
      </c>
      <c r="W15" s="5">
        <f t="shared" si="8"/>
        <v>-815.6</v>
      </c>
      <c r="X15" s="5">
        <f t="shared" si="8"/>
        <v>-882</v>
      </c>
      <c r="Y15" s="5">
        <f t="shared" si="8"/>
        <v>-1034.3</v>
      </c>
      <c r="Z15" s="5">
        <f t="shared" si="8"/>
        <v>-1111.3</v>
      </c>
      <c r="AA15" s="5">
        <f t="shared" si="8"/>
        <v>-1169</v>
      </c>
      <c r="AB15" s="5">
        <f t="shared" si="8"/>
        <v>-1245.3528333016243</v>
      </c>
      <c r="AC15" s="5">
        <f t="shared" si="8"/>
        <v>-1311.4528333016242</v>
      </c>
      <c r="AD15" s="5">
        <f t="shared" si="8"/>
        <v>-1411.9625633399057</v>
      </c>
      <c r="AE15" s="5">
        <f t="shared" si="8"/>
        <v>-1511.461221851521</v>
      </c>
      <c r="AF15" s="5">
        <f t="shared" si="8"/>
        <v>-1634.3040526929101</v>
      </c>
      <c r="AG15" s="5">
        <f t="shared" si="8"/>
        <v>-1719.6532810194801</v>
      </c>
      <c r="AH15" s="5">
        <f t="shared" si="8"/>
        <v>-1796.6351772504802</v>
      </c>
      <c r="AI15" s="5">
        <f t="shared" si="8"/>
        <v>-1880.7293692504802</v>
      </c>
      <c r="AJ15" s="5">
        <f t="shared" si="8"/>
        <v>-1984.5819430441002</v>
      </c>
      <c r="AK15" s="5">
        <f t="shared" si="8"/>
        <v>-2062.300201343689</v>
      </c>
      <c r="AL15" s="5">
        <f t="shared" si="8"/>
        <v>-2134.9278487874799</v>
      </c>
      <c r="AM15" s="5">
        <f t="shared" si="8"/>
        <v>-2188.65618192584</v>
      </c>
      <c r="AN15" s="5">
        <f t="shared" si="8"/>
        <v>-2258.7561819258399</v>
      </c>
    </row>
    <row r="16" spans="1:42" s="4" customForma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45" s="4" customFormat="1">
      <c r="A17" s="13"/>
      <c r="B17" s="14"/>
      <c r="C17" s="14"/>
      <c r="D17" s="14"/>
      <c r="E17" s="14"/>
      <c r="F17" s="14"/>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45" s="4" customFormat="1">
      <c r="A18" s="4" t="s">
        <v>130</v>
      </c>
      <c r="B18" s="5">
        <v>0</v>
      </c>
      <c r="C18" s="5">
        <v>0</v>
      </c>
      <c r="D18" s="5">
        <v>0</v>
      </c>
      <c r="E18" s="5">
        <v>0</v>
      </c>
      <c r="F18" s="5">
        <v>12</v>
      </c>
      <c r="G18" s="5">
        <v>17</v>
      </c>
      <c r="H18" s="5">
        <v>74</v>
      </c>
      <c r="I18" s="5">
        <v>11</v>
      </c>
      <c r="J18" s="5">
        <v>40</v>
      </c>
      <c r="K18" s="5">
        <v>40</v>
      </c>
      <c r="L18" s="5">
        <v>40</v>
      </c>
      <c r="M18" s="5">
        <v>40</v>
      </c>
      <c r="N18" s="5">
        <v>59</v>
      </c>
      <c r="O18" s="5">
        <v>104</v>
      </c>
      <c r="P18" s="5">
        <v>111.7</v>
      </c>
      <c r="Q18" s="5">
        <v>63.5</v>
      </c>
      <c r="R18" s="5">
        <v>0</v>
      </c>
      <c r="S18" s="5">
        <v>0</v>
      </c>
      <c r="T18" s="5">
        <v>5.4</v>
      </c>
      <c r="U18" s="5">
        <v>47.6</v>
      </c>
      <c r="V18" s="5">
        <v>64.8</v>
      </c>
      <c r="W18" s="5">
        <v>1389.6</v>
      </c>
      <c r="X18" s="5">
        <v>147.80000000000001</v>
      </c>
      <c r="Y18" s="5">
        <v>171.1</v>
      </c>
      <c r="Z18" s="5">
        <v>191</v>
      </c>
      <c r="AA18" s="5">
        <v>110.8</v>
      </c>
      <c r="AB18" s="5">
        <v>168.17764031279995</v>
      </c>
      <c r="AC18" s="5">
        <v>120.69</v>
      </c>
      <c r="AD18" s="5">
        <v>274.94753118857147</v>
      </c>
      <c r="AE18" s="5">
        <v>240.31142110419358</v>
      </c>
      <c r="AF18" s="5">
        <v>310.06640616322585</v>
      </c>
      <c r="AG18" s="5">
        <v>70.690476160000003</v>
      </c>
      <c r="AH18" s="5">
        <v>38.450000000000003</v>
      </c>
      <c r="AI18" s="5">
        <v>85.804000000000002</v>
      </c>
      <c r="AJ18" s="5">
        <v>196.15177862000002</v>
      </c>
      <c r="AK18" s="5">
        <v>67.48132308645161</v>
      </c>
      <c r="AL18" s="5">
        <v>50.291036205161291</v>
      </c>
      <c r="AM18" s="5">
        <v>-20.536000000000001</v>
      </c>
      <c r="AN18" s="9">
        <v>24.260660996129033</v>
      </c>
      <c r="AO18" s="4" t="s">
        <v>145</v>
      </c>
    </row>
    <row r="19" spans="1:45" s="4" customFormat="1">
      <c r="A19" s="4" t="s">
        <v>131</v>
      </c>
      <c r="B19" s="5">
        <v>0</v>
      </c>
      <c r="C19" s="5">
        <v>3</v>
      </c>
      <c r="D19" s="5">
        <v>14</v>
      </c>
      <c r="E19" s="5">
        <v>1</v>
      </c>
      <c r="F19" s="5">
        <v>8</v>
      </c>
      <c r="G19" s="5">
        <v>27</v>
      </c>
      <c r="H19" s="5">
        <v>19</v>
      </c>
      <c r="I19" s="5">
        <v>9</v>
      </c>
      <c r="J19" s="5">
        <v>10</v>
      </c>
      <c r="K19" s="5">
        <v>15</v>
      </c>
      <c r="L19" s="5">
        <v>15</v>
      </c>
      <c r="M19" s="5">
        <v>15</v>
      </c>
      <c r="N19" s="5">
        <v>23</v>
      </c>
      <c r="O19" s="5">
        <v>45</v>
      </c>
      <c r="P19" s="5">
        <v>62</v>
      </c>
      <c r="Q19" s="5">
        <v>7.1</v>
      </c>
      <c r="R19" s="5">
        <v>81.7</v>
      </c>
      <c r="S19" s="5">
        <v>107.8</v>
      </c>
      <c r="T19" s="5">
        <v>116.5</v>
      </c>
      <c r="U19" s="5">
        <v>197.8</v>
      </c>
      <c r="V19" s="5">
        <v>193.1</v>
      </c>
      <c r="W19" s="5">
        <v>115.9</v>
      </c>
      <c r="X19" s="5">
        <v>12.6</v>
      </c>
      <c r="Y19" s="5">
        <v>79.2</v>
      </c>
      <c r="Z19" s="5">
        <v>21.7</v>
      </c>
      <c r="AA19" s="5">
        <v>182.1</v>
      </c>
      <c r="AB19" s="5">
        <v>397.43809968000011</v>
      </c>
      <c r="AC19" s="5">
        <v>282.625</v>
      </c>
      <c r="AD19" s="5">
        <v>273.51942685714278</v>
      </c>
      <c r="AE19" s="5">
        <v>142.81399999999999</v>
      </c>
      <c r="AF19" s="5">
        <v>99.430963576774104</v>
      </c>
      <c r="AG19" s="5">
        <v>156.68200350000001</v>
      </c>
      <c r="AH19" s="5">
        <v>152.19999999999999</v>
      </c>
      <c r="AI19" s="5">
        <v>135.50800000000001</v>
      </c>
      <c r="AJ19" s="5">
        <v>122.74434447903229</v>
      </c>
      <c r="AK19" s="5">
        <v>195.79544710838707</v>
      </c>
      <c r="AL19" s="5">
        <v>76.641885441290313</v>
      </c>
      <c r="AM19" s="5">
        <v>9.6</v>
      </c>
      <c r="AN19" s="9">
        <v>2.9</v>
      </c>
      <c r="AO19" s="4" t="s">
        <v>145</v>
      </c>
    </row>
    <row r="20" spans="1:45" s="4" customFormat="1">
      <c r="A20" s="4" t="s">
        <v>132</v>
      </c>
      <c r="B20" s="5">
        <v>15</v>
      </c>
      <c r="C20" s="5">
        <v>6.1</v>
      </c>
      <c r="D20" s="5">
        <v>11.5</v>
      </c>
      <c r="E20" s="5">
        <v>14.2</v>
      </c>
      <c r="F20" s="5">
        <v>16</v>
      </c>
      <c r="G20" s="5">
        <v>19.899999999999999</v>
      </c>
      <c r="H20" s="5">
        <v>23.7</v>
      </c>
      <c r="I20" s="5">
        <v>29.7</v>
      </c>
      <c r="J20" s="5">
        <v>19</v>
      </c>
      <c r="K20" s="5">
        <v>23.6</v>
      </c>
      <c r="L20" s="5">
        <v>23.4</v>
      </c>
      <c r="M20" s="5">
        <v>24.3</v>
      </c>
      <c r="N20" s="5">
        <v>28.4</v>
      </c>
      <c r="O20" s="5">
        <v>30.5</v>
      </c>
      <c r="P20" s="5">
        <v>34.9</v>
      </c>
      <c r="Q20" s="5">
        <v>36.1</v>
      </c>
      <c r="R20" s="5">
        <v>35.4</v>
      </c>
      <c r="S20" s="5">
        <v>35.900000000000006</v>
      </c>
      <c r="T20" s="5">
        <v>36.380000000000003</v>
      </c>
      <c r="U20" s="5">
        <v>38.9</v>
      </c>
      <c r="V20" s="5">
        <v>37.6</v>
      </c>
      <c r="W20" s="5">
        <v>42.5</v>
      </c>
      <c r="X20" s="5">
        <v>50.910000000000004</v>
      </c>
      <c r="Y20" s="5">
        <v>52.555</v>
      </c>
      <c r="Z20" s="5">
        <v>57.199999999999996</v>
      </c>
      <c r="AA20" s="5">
        <v>57.92</v>
      </c>
      <c r="AB20" s="5">
        <v>60.650000000000006</v>
      </c>
      <c r="AC20" s="5">
        <v>60.265000000000001</v>
      </c>
      <c r="AD20" s="5">
        <v>62.222499999999997</v>
      </c>
      <c r="AE20" s="5">
        <v>64.27</v>
      </c>
      <c r="AF20" s="5">
        <v>69.700987359999999</v>
      </c>
      <c r="AG20" s="5">
        <v>74.265100779999997</v>
      </c>
      <c r="AH20" s="5">
        <v>73.010000000000005</v>
      </c>
      <c r="AI20" s="5">
        <v>78.5</v>
      </c>
      <c r="AJ20" s="5">
        <v>90.3</v>
      </c>
      <c r="AK20" s="5">
        <v>84.865485499999991</v>
      </c>
      <c r="AL20" s="5">
        <v>88.185348320000003</v>
      </c>
      <c r="AM20" s="5">
        <v>85.222800195000005</v>
      </c>
      <c r="AN20" s="9">
        <v>89.876589085000006</v>
      </c>
      <c r="AO20" s="4" t="s">
        <v>145</v>
      </c>
    </row>
    <row r="21" spans="1:45" s="4" customFormat="1">
      <c r="A21" s="4" t="s">
        <v>133</v>
      </c>
      <c r="B21" s="5">
        <v>2.2999999999999998</v>
      </c>
      <c r="C21" s="9">
        <v>2.2999999999999998</v>
      </c>
      <c r="D21" s="9">
        <v>4.5999999999999996</v>
      </c>
      <c r="E21" s="9">
        <v>9.1</v>
      </c>
      <c r="F21" s="9">
        <v>19.600000000000001</v>
      </c>
      <c r="G21" s="9">
        <v>15.9</v>
      </c>
      <c r="H21" s="9">
        <v>19.600000000000001</v>
      </c>
      <c r="I21" s="9">
        <v>22.2</v>
      </c>
      <c r="J21" s="9">
        <v>18.8</v>
      </c>
      <c r="K21" s="9">
        <v>23</v>
      </c>
      <c r="L21" s="9">
        <v>32.799999999999997</v>
      </c>
      <c r="M21" s="9">
        <v>33</v>
      </c>
      <c r="N21" s="9">
        <v>67</v>
      </c>
      <c r="O21" s="9">
        <v>49.6</v>
      </c>
      <c r="P21" s="9">
        <v>55.9</v>
      </c>
      <c r="Q21" s="9">
        <v>71.400000000000006</v>
      </c>
      <c r="R21" s="9">
        <v>68.5</v>
      </c>
      <c r="S21" s="9">
        <v>82.2</v>
      </c>
      <c r="T21" s="9">
        <v>104.9</v>
      </c>
      <c r="U21" s="9">
        <v>108.2</v>
      </c>
      <c r="V21" s="9">
        <v>108.2</v>
      </c>
      <c r="W21" s="9">
        <v>101.1</v>
      </c>
      <c r="X21" s="9">
        <v>137.1</v>
      </c>
      <c r="Y21" s="9">
        <v>140.69999999999999</v>
      </c>
      <c r="Z21" s="9">
        <v>137.9</v>
      </c>
      <c r="AA21" s="9">
        <v>135.80000000000001</v>
      </c>
      <c r="AB21" s="9">
        <v>137.9</v>
      </c>
      <c r="AC21" s="9">
        <v>139.482</v>
      </c>
      <c r="AD21" s="9">
        <v>148.89743393999996</v>
      </c>
      <c r="AE21" s="9">
        <v>177.85944282999998</v>
      </c>
      <c r="AF21" s="9">
        <v>199.58221303000002</v>
      </c>
      <c r="AG21" s="9">
        <v>221.05362423999992</v>
      </c>
      <c r="AH21" s="9">
        <v>248.93</v>
      </c>
      <c r="AI21" s="9">
        <v>239</v>
      </c>
      <c r="AJ21" s="9">
        <v>231.80148199999996</v>
      </c>
      <c r="AK21" s="9">
        <v>258.17721182999998</v>
      </c>
      <c r="AL21" s="9">
        <v>258.14218992999997</v>
      </c>
      <c r="AM21" s="9">
        <v>254.70420748999999</v>
      </c>
      <c r="AN21" s="9">
        <v>258.70465134000005</v>
      </c>
      <c r="AO21" s="4" t="s">
        <v>145</v>
      </c>
    </row>
    <row r="22" spans="1:45" s="4" customFormat="1">
      <c r="A22" s="4" t="s">
        <v>134</v>
      </c>
      <c r="B22" s="9">
        <v>24</v>
      </c>
      <c r="C22" s="9">
        <v>8.8000000000000007</v>
      </c>
      <c r="D22" s="9">
        <v>12.399999999999999</v>
      </c>
      <c r="E22" s="9">
        <v>15.899999999999999</v>
      </c>
      <c r="F22" s="9">
        <v>16.599999999999998</v>
      </c>
      <c r="G22" s="9">
        <v>19.7</v>
      </c>
      <c r="H22" s="9">
        <v>22.1</v>
      </c>
      <c r="I22" s="9">
        <v>28.5</v>
      </c>
      <c r="J22" s="9">
        <v>31</v>
      </c>
      <c r="K22" s="9">
        <v>31.9</v>
      </c>
      <c r="L22" s="9">
        <v>34.299999999999997</v>
      </c>
      <c r="M22" s="9">
        <v>38.199999999999996</v>
      </c>
      <c r="N22" s="9">
        <v>41.9</v>
      </c>
      <c r="O22" s="9">
        <v>53.6</v>
      </c>
      <c r="P22" s="9">
        <v>61.3</v>
      </c>
      <c r="Q22" s="9">
        <v>63.599999999999994</v>
      </c>
      <c r="R22" s="9">
        <v>73.100000000000009</v>
      </c>
      <c r="S22" s="9">
        <v>76.3</v>
      </c>
      <c r="T22" s="9">
        <v>74.099999999999994</v>
      </c>
      <c r="U22" s="9">
        <v>76.100000000000009</v>
      </c>
      <c r="V22" s="9">
        <v>76.3</v>
      </c>
      <c r="W22" s="9">
        <v>78.2</v>
      </c>
      <c r="X22" s="9">
        <v>78.2</v>
      </c>
      <c r="Y22" s="9">
        <v>80.5</v>
      </c>
      <c r="Z22" s="9">
        <v>85.399999999999991</v>
      </c>
      <c r="AA22" s="9">
        <v>89.7</v>
      </c>
      <c r="AB22" s="9">
        <v>87.5</v>
      </c>
      <c r="AC22" s="9">
        <v>112.91000000000001</v>
      </c>
      <c r="AD22" s="9">
        <v>116.20000000000002</v>
      </c>
      <c r="AE22" s="9">
        <v>120.00000000000001</v>
      </c>
      <c r="AF22" s="9">
        <v>123.51611021450958</v>
      </c>
      <c r="AG22" s="9">
        <v>127.17258184466625</v>
      </c>
      <c r="AH22" s="9">
        <v>131.5</v>
      </c>
      <c r="AI22" s="9">
        <v>143.4</v>
      </c>
      <c r="AJ22" s="9">
        <v>141.30000000000001</v>
      </c>
      <c r="AK22" s="9">
        <v>150.57877929307099</v>
      </c>
      <c r="AL22" s="9">
        <v>148.21698713480282</v>
      </c>
      <c r="AM22" s="9">
        <v>121.37748259878786</v>
      </c>
      <c r="AN22" s="9">
        <v>105.07309869729694</v>
      </c>
      <c r="AO22" s="4" t="s">
        <v>145</v>
      </c>
    </row>
    <row r="23" spans="1:45" s="4" customFormat="1">
      <c r="A23" s="4" t="s">
        <v>147</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row>
    <row r="24" spans="1:45" s="4" customFormat="1">
      <c r="A24" s="19" t="s">
        <v>148</v>
      </c>
      <c r="B24" s="5">
        <v>30</v>
      </c>
      <c r="C24" s="5">
        <v>17.899999999999999</v>
      </c>
      <c r="D24" s="5">
        <v>61.7</v>
      </c>
      <c r="E24" s="5">
        <v>55.1</v>
      </c>
      <c r="F24" s="5">
        <v>9</v>
      </c>
      <c r="G24" s="5">
        <v>56.599999999999994</v>
      </c>
      <c r="H24" s="5">
        <v>17.100000000000001</v>
      </c>
      <c r="I24" s="5">
        <v>83.3</v>
      </c>
      <c r="J24" s="5">
        <v>15.3</v>
      </c>
      <c r="K24" s="5">
        <v>13.600000000000001</v>
      </c>
      <c r="L24" s="5">
        <v>20.7</v>
      </c>
      <c r="M24" s="5">
        <v>21.7</v>
      </c>
      <c r="N24" s="5">
        <v>12.1</v>
      </c>
      <c r="O24" s="5">
        <v>103.1</v>
      </c>
      <c r="P24" s="5">
        <v>59.9</v>
      </c>
      <c r="Q24" s="5">
        <v>71.8</v>
      </c>
      <c r="R24" s="5">
        <v>71.099999999999994</v>
      </c>
      <c r="S24" s="5">
        <v>-14.5</v>
      </c>
      <c r="T24" s="5">
        <v>22</v>
      </c>
      <c r="U24" s="5">
        <v>28.799999999999997</v>
      </c>
      <c r="V24" s="5">
        <v>60.9</v>
      </c>
      <c r="W24" s="5">
        <v>22.7</v>
      </c>
      <c r="X24" s="5">
        <v>14.9</v>
      </c>
      <c r="Y24" s="5">
        <v>80</v>
      </c>
      <c r="Z24" s="5">
        <v>84.4</v>
      </c>
      <c r="AA24" s="5">
        <v>66</v>
      </c>
      <c r="AB24" s="5">
        <v>396.3</v>
      </c>
      <c r="AC24" s="5">
        <v>96.605999999999995</v>
      </c>
      <c r="AD24" s="5">
        <v>64.171313069999997</v>
      </c>
      <c r="AE24" s="5">
        <v>163.71146123</v>
      </c>
      <c r="AF24" s="5">
        <v>97.616092509999987</v>
      </c>
      <c r="AG24" s="5">
        <v>193.93786518999997</v>
      </c>
      <c r="AH24" s="5">
        <v>172.330297</v>
      </c>
      <c r="AI24" s="5">
        <v>155.69</v>
      </c>
      <c r="AJ24" s="5">
        <v>139.15334831999999</v>
      </c>
      <c r="AK24" s="5">
        <v>104.12590900000001</v>
      </c>
      <c r="AL24" s="5">
        <v>51.372593500000008</v>
      </c>
      <c r="AM24" s="5">
        <v>65.633908539999993</v>
      </c>
      <c r="AN24" s="5">
        <v>83.216698000000008</v>
      </c>
    </row>
    <row r="25" spans="1:45" s="4" customFormat="1">
      <c r="A25" s="4" t="s">
        <v>149</v>
      </c>
      <c r="B25" s="9">
        <v>0</v>
      </c>
      <c r="C25" s="9">
        <v>0</v>
      </c>
      <c r="D25" s="9">
        <v>0</v>
      </c>
      <c r="E25" s="9">
        <v>0</v>
      </c>
      <c r="F25" s="9">
        <v>0</v>
      </c>
      <c r="G25" s="9">
        <v>0</v>
      </c>
      <c r="H25" s="9">
        <v>0</v>
      </c>
      <c r="I25" s="9">
        <v>0</v>
      </c>
      <c r="J25" s="9">
        <v>0</v>
      </c>
      <c r="K25" s="9">
        <v>0</v>
      </c>
      <c r="L25" s="9">
        <v>0</v>
      </c>
      <c r="M25" s="9">
        <v>0</v>
      </c>
      <c r="N25" s="9">
        <v>0</v>
      </c>
      <c r="O25" s="9">
        <v>0</v>
      </c>
      <c r="P25" s="9">
        <v>0</v>
      </c>
      <c r="Q25" s="9">
        <v>-45.2</v>
      </c>
      <c r="R25" s="9">
        <v>-25.5</v>
      </c>
      <c r="S25" s="9">
        <v>-29.7</v>
      </c>
      <c r="T25" s="9">
        <v>-35.700000000000003</v>
      </c>
      <c r="U25" s="9">
        <v>-46</v>
      </c>
      <c r="V25" s="9">
        <v>-50.4</v>
      </c>
      <c r="W25" s="9">
        <v>-583.1</v>
      </c>
      <c r="X25" s="9">
        <v>-66.400000000000006</v>
      </c>
      <c r="Y25" s="9">
        <v>-152.30000000000001</v>
      </c>
      <c r="Z25" s="9">
        <v>-77</v>
      </c>
      <c r="AA25" s="9">
        <v>-57.7</v>
      </c>
      <c r="AB25" s="9">
        <v>-76.352833301624401</v>
      </c>
      <c r="AC25" s="9">
        <v>-66.099999999999994</v>
      </c>
      <c r="AD25" s="9">
        <v>-100.50973003828143</v>
      </c>
      <c r="AE25" s="9">
        <v>-99.498658511615204</v>
      </c>
      <c r="AF25" s="9">
        <v>-122.842830841389</v>
      </c>
      <c r="AG25" s="9">
        <v>-85.34922832657</v>
      </c>
      <c r="AH25" s="9">
        <v>-76.981896231000007</v>
      </c>
      <c r="AI25" s="9">
        <v>-84.094192000000007</v>
      </c>
      <c r="AJ25" s="9">
        <v>-103.85257379362</v>
      </c>
      <c r="AK25" s="9">
        <v>-77.718258299588697</v>
      </c>
      <c r="AL25" s="9">
        <v>-72.627647443790963</v>
      </c>
      <c r="AM25" s="9">
        <v>-53.72833313836</v>
      </c>
      <c r="AN25" s="9">
        <v>-70.099999999999994</v>
      </c>
    </row>
    <row r="26" spans="1:45" s="4" customFormat="1">
      <c r="AJ26" s="8"/>
      <c r="AK26" s="8"/>
    </row>
    <row r="27" spans="1:45">
      <c r="AG27" s="13" t="s">
        <v>136</v>
      </c>
    </row>
    <row r="28" spans="1:45">
      <c r="AG28" s="6" t="str">
        <f>"Total: "&amp;TEXT(AN11,"$#,0.0,")&amp;" billion does not reflect $"&amp;TEXT(AN14,"#0.00,")&amp;" billion in obligations to capital projects or $"&amp;TEXT(ABS(AN15),"#0.00,")&amp;" billion in credits"</f>
        <v>Total: $16.8 billion does not reflect $2.87 billion in obligations to capital projects or $2.26 billion in credits</v>
      </c>
      <c r="AS28" s="6" t="s">
        <v>135</v>
      </c>
    </row>
    <row r="29" spans="1:45">
      <c r="C29" s="5"/>
    </row>
    <row r="30" spans="1:45">
      <c r="C30" s="5"/>
    </row>
    <row r="31" spans="1:45">
      <c r="C31" s="5"/>
    </row>
    <row r="32" spans="1:45">
      <c r="C32" s="5"/>
    </row>
    <row r="33" spans="3:43">
      <c r="C33" s="5"/>
    </row>
    <row r="34" spans="3:43" ht="14.5">
      <c r="C34" s="5"/>
      <c r="AQ34" s="17" t="s">
        <v>139</v>
      </c>
    </row>
    <row r="35" spans="3:43" ht="14.5">
      <c r="C35" s="5"/>
      <c r="AQ35" s="17" t="s">
        <v>137</v>
      </c>
    </row>
    <row r="36" spans="3:43" ht="14.5">
      <c r="C36" s="22"/>
      <c r="AQ36" s="17" t="s">
        <v>138</v>
      </c>
    </row>
    <row r="54" spans="33:33" ht="14.5">
      <c r="AG54" s="18" t="s">
        <v>129</v>
      </c>
    </row>
  </sheetData>
  <pageMargins left="0.75" right="0.75" top="1" bottom="1" header="0.5" footer="0.5"/>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W107"/>
  <sheetViews>
    <sheetView zoomScaleNormal="100" workbookViewId="0">
      <pane xSplit="1" ySplit="2" topLeftCell="AP30" activePane="bottomRight" state="frozen"/>
      <selection pane="topRight" activeCell="B1" sqref="B1"/>
      <selection pane="bottomLeft" activeCell="A3" sqref="A3"/>
      <selection pane="bottomRight" activeCell="A35" sqref="A35"/>
    </sheetView>
  </sheetViews>
  <sheetFormatPr defaultColWidth="8.81640625" defaultRowHeight="18.649999999999999" customHeight="1"/>
  <cols>
    <col min="1" max="1" width="90.453125" style="28" customWidth="1"/>
    <col min="2" max="22" width="11.54296875" style="28" hidden="1" customWidth="1"/>
    <col min="23" max="23" width="13.54296875" style="28" hidden="1" customWidth="1"/>
    <col min="24" max="24" width="11.54296875" style="28" hidden="1" customWidth="1"/>
    <col min="25" max="25" width="12.1796875" style="28" hidden="1" customWidth="1"/>
    <col min="26" max="28" width="11.54296875" style="28" hidden="1" customWidth="1"/>
    <col min="29" max="29" width="12.26953125" style="24" hidden="1" customWidth="1"/>
    <col min="30" max="30" width="13.26953125" style="25" hidden="1" customWidth="1"/>
    <col min="31" max="31" width="16.54296875" style="26" hidden="1" customWidth="1"/>
    <col min="32" max="32" width="17.453125" style="26" hidden="1" customWidth="1"/>
    <col min="33" max="33" width="14.7265625" style="26" hidden="1" customWidth="1"/>
    <col min="34" max="36" width="14.54296875" style="26" hidden="1" customWidth="1"/>
    <col min="37" max="46" width="14.54296875" style="26" customWidth="1"/>
    <col min="47" max="47" width="8.81640625" style="26"/>
    <col min="48" max="48" width="10.453125" style="26" customWidth="1"/>
    <col min="49" max="260" width="8.81640625" style="26"/>
    <col min="261" max="261" width="90.453125" style="26" customWidth="1"/>
    <col min="262" max="282" width="11.54296875" style="26" customWidth="1"/>
    <col min="283" max="283" width="13.54296875" style="26" customWidth="1"/>
    <col min="284" max="284" width="11.54296875" style="26" customWidth="1"/>
    <col min="285" max="285" width="12.1796875" style="26" customWidth="1"/>
    <col min="286" max="288" width="11.54296875" style="26" customWidth="1"/>
    <col min="289" max="289" width="12.26953125" style="26" customWidth="1"/>
    <col min="290" max="290" width="13.26953125" style="26" customWidth="1"/>
    <col min="291" max="291" width="16.54296875" style="26" customWidth="1"/>
    <col min="292" max="292" width="17.453125" style="26" customWidth="1"/>
    <col min="293" max="293" width="14.7265625" style="26" customWidth="1"/>
    <col min="294" max="296" width="14.54296875" style="26" customWidth="1"/>
    <col min="297" max="297" width="20" style="26" bestFit="1" customWidth="1"/>
    <col min="298" max="298" width="20.81640625" style="26" customWidth="1"/>
    <col min="299" max="299" width="99" style="26" bestFit="1" customWidth="1"/>
    <col min="300" max="300" width="25.81640625" style="26" bestFit="1" customWidth="1"/>
    <col min="301" max="516" width="8.81640625" style="26"/>
    <col min="517" max="517" width="90.453125" style="26" customWidth="1"/>
    <col min="518" max="538" width="11.54296875" style="26" customWidth="1"/>
    <col min="539" max="539" width="13.54296875" style="26" customWidth="1"/>
    <col min="540" max="540" width="11.54296875" style="26" customWidth="1"/>
    <col min="541" max="541" width="12.1796875" style="26" customWidth="1"/>
    <col min="542" max="544" width="11.54296875" style="26" customWidth="1"/>
    <col min="545" max="545" width="12.26953125" style="26" customWidth="1"/>
    <col min="546" max="546" width="13.26953125" style="26" customWidth="1"/>
    <col min="547" max="547" width="16.54296875" style="26" customWidth="1"/>
    <col min="548" max="548" width="17.453125" style="26" customWidth="1"/>
    <col min="549" max="549" width="14.7265625" style="26" customWidth="1"/>
    <col min="550" max="552" width="14.54296875" style="26" customWidth="1"/>
    <col min="553" max="553" width="20" style="26" bestFit="1" customWidth="1"/>
    <col min="554" max="554" width="20.81640625" style="26" customWidth="1"/>
    <col min="555" max="555" width="99" style="26" bestFit="1" customWidth="1"/>
    <col min="556" max="556" width="25.81640625" style="26" bestFit="1" customWidth="1"/>
    <col min="557" max="772" width="8.81640625" style="26"/>
    <col min="773" max="773" width="90.453125" style="26" customWidth="1"/>
    <col min="774" max="794" width="11.54296875" style="26" customWidth="1"/>
    <col min="795" max="795" width="13.54296875" style="26" customWidth="1"/>
    <col min="796" max="796" width="11.54296875" style="26" customWidth="1"/>
    <col min="797" max="797" width="12.1796875" style="26" customWidth="1"/>
    <col min="798" max="800" width="11.54296875" style="26" customWidth="1"/>
    <col min="801" max="801" width="12.26953125" style="26" customWidth="1"/>
    <col min="802" max="802" width="13.26953125" style="26" customWidth="1"/>
    <col min="803" max="803" width="16.54296875" style="26" customWidth="1"/>
    <col min="804" max="804" width="17.453125" style="26" customWidth="1"/>
    <col min="805" max="805" width="14.7265625" style="26" customWidth="1"/>
    <col min="806" max="808" width="14.54296875" style="26" customWidth="1"/>
    <col min="809" max="809" width="20" style="26" bestFit="1" customWidth="1"/>
    <col min="810" max="810" width="20.81640625" style="26" customWidth="1"/>
    <col min="811" max="811" width="99" style="26" bestFit="1" customWidth="1"/>
    <col min="812" max="812" width="25.81640625" style="26" bestFit="1" customWidth="1"/>
    <col min="813" max="1028" width="8.81640625" style="26"/>
    <col min="1029" max="1029" width="90.453125" style="26" customWidth="1"/>
    <col min="1030" max="1050" width="11.54296875" style="26" customWidth="1"/>
    <col min="1051" max="1051" width="13.54296875" style="26" customWidth="1"/>
    <col min="1052" max="1052" width="11.54296875" style="26" customWidth="1"/>
    <col min="1053" max="1053" width="12.1796875" style="26" customWidth="1"/>
    <col min="1054" max="1056" width="11.54296875" style="26" customWidth="1"/>
    <col min="1057" max="1057" width="12.26953125" style="26" customWidth="1"/>
    <col min="1058" max="1058" width="13.26953125" style="26" customWidth="1"/>
    <col min="1059" max="1059" width="16.54296875" style="26" customWidth="1"/>
    <col min="1060" max="1060" width="17.453125" style="26" customWidth="1"/>
    <col min="1061" max="1061" width="14.7265625" style="26" customWidth="1"/>
    <col min="1062" max="1064" width="14.54296875" style="26" customWidth="1"/>
    <col min="1065" max="1065" width="20" style="26" bestFit="1" customWidth="1"/>
    <col min="1066" max="1066" width="20.81640625" style="26" customWidth="1"/>
    <col min="1067" max="1067" width="99" style="26" bestFit="1" customWidth="1"/>
    <col min="1068" max="1068" width="25.81640625" style="26" bestFit="1" customWidth="1"/>
    <col min="1069" max="1284" width="8.81640625" style="26"/>
    <col min="1285" max="1285" width="90.453125" style="26" customWidth="1"/>
    <col min="1286" max="1306" width="11.54296875" style="26" customWidth="1"/>
    <col min="1307" max="1307" width="13.54296875" style="26" customWidth="1"/>
    <col min="1308" max="1308" width="11.54296875" style="26" customWidth="1"/>
    <col min="1309" max="1309" width="12.1796875" style="26" customWidth="1"/>
    <col min="1310" max="1312" width="11.54296875" style="26" customWidth="1"/>
    <col min="1313" max="1313" width="12.26953125" style="26" customWidth="1"/>
    <col min="1314" max="1314" width="13.26953125" style="26" customWidth="1"/>
    <col min="1315" max="1315" width="16.54296875" style="26" customWidth="1"/>
    <col min="1316" max="1316" width="17.453125" style="26" customWidth="1"/>
    <col min="1317" max="1317" width="14.7265625" style="26" customWidth="1"/>
    <col min="1318" max="1320" width="14.54296875" style="26" customWidth="1"/>
    <col min="1321" max="1321" width="20" style="26" bestFit="1" customWidth="1"/>
    <col min="1322" max="1322" width="20.81640625" style="26" customWidth="1"/>
    <col min="1323" max="1323" width="99" style="26" bestFit="1" customWidth="1"/>
    <col min="1324" max="1324" width="25.81640625" style="26" bestFit="1" customWidth="1"/>
    <col min="1325" max="1540" width="8.81640625" style="26"/>
    <col min="1541" max="1541" width="90.453125" style="26" customWidth="1"/>
    <col min="1542" max="1562" width="11.54296875" style="26" customWidth="1"/>
    <col min="1563" max="1563" width="13.54296875" style="26" customWidth="1"/>
    <col min="1564" max="1564" width="11.54296875" style="26" customWidth="1"/>
    <col min="1565" max="1565" width="12.1796875" style="26" customWidth="1"/>
    <col min="1566" max="1568" width="11.54296875" style="26" customWidth="1"/>
    <col min="1569" max="1569" width="12.26953125" style="26" customWidth="1"/>
    <col min="1570" max="1570" width="13.26953125" style="26" customWidth="1"/>
    <col min="1571" max="1571" width="16.54296875" style="26" customWidth="1"/>
    <col min="1572" max="1572" width="17.453125" style="26" customWidth="1"/>
    <col min="1573" max="1573" width="14.7265625" style="26" customWidth="1"/>
    <col min="1574" max="1576" width="14.54296875" style="26" customWidth="1"/>
    <col min="1577" max="1577" width="20" style="26" bestFit="1" customWidth="1"/>
    <col min="1578" max="1578" width="20.81640625" style="26" customWidth="1"/>
    <col min="1579" max="1579" width="99" style="26" bestFit="1" customWidth="1"/>
    <col min="1580" max="1580" width="25.81640625" style="26" bestFit="1" customWidth="1"/>
    <col min="1581" max="1796" width="8.81640625" style="26"/>
    <col min="1797" max="1797" width="90.453125" style="26" customWidth="1"/>
    <col min="1798" max="1818" width="11.54296875" style="26" customWidth="1"/>
    <col min="1819" max="1819" width="13.54296875" style="26" customWidth="1"/>
    <col min="1820" max="1820" width="11.54296875" style="26" customWidth="1"/>
    <col min="1821" max="1821" width="12.1796875" style="26" customWidth="1"/>
    <col min="1822" max="1824" width="11.54296875" style="26" customWidth="1"/>
    <col min="1825" max="1825" width="12.26953125" style="26" customWidth="1"/>
    <col min="1826" max="1826" width="13.26953125" style="26" customWidth="1"/>
    <col min="1827" max="1827" width="16.54296875" style="26" customWidth="1"/>
    <col min="1828" max="1828" width="17.453125" style="26" customWidth="1"/>
    <col min="1829" max="1829" width="14.7265625" style="26" customWidth="1"/>
    <col min="1830" max="1832" width="14.54296875" style="26" customWidth="1"/>
    <col min="1833" max="1833" width="20" style="26" bestFit="1" customWidth="1"/>
    <col min="1834" max="1834" width="20.81640625" style="26" customWidth="1"/>
    <col min="1835" max="1835" width="99" style="26" bestFit="1" customWidth="1"/>
    <col min="1836" max="1836" width="25.81640625" style="26" bestFit="1" customWidth="1"/>
    <col min="1837" max="2052" width="8.81640625" style="26"/>
    <col min="2053" max="2053" width="90.453125" style="26" customWidth="1"/>
    <col min="2054" max="2074" width="11.54296875" style="26" customWidth="1"/>
    <col min="2075" max="2075" width="13.54296875" style="26" customWidth="1"/>
    <col min="2076" max="2076" width="11.54296875" style="26" customWidth="1"/>
    <col min="2077" max="2077" width="12.1796875" style="26" customWidth="1"/>
    <col min="2078" max="2080" width="11.54296875" style="26" customWidth="1"/>
    <col min="2081" max="2081" width="12.26953125" style="26" customWidth="1"/>
    <col min="2082" max="2082" width="13.26953125" style="26" customWidth="1"/>
    <col min="2083" max="2083" width="16.54296875" style="26" customWidth="1"/>
    <col min="2084" max="2084" width="17.453125" style="26" customWidth="1"/>
    <col min="2085" max="2085" width="14.7265625" style="26" customWidth="1"/>
    <col min="2086" max="2088" width="14.54296875" style="26" customWidth="1"/>
    <col min="2089" max="2089" width="20" style="26" bestFit="1" customWidth="1"/>
    <col min="2090" max="2090" width="20.81640625" style="26" customWidth="1"/>
    <col min="2091" max="2091" width="99" style="26" bestFit="1" customWidth="1"/>
    <col min="2092" max="2092" width="25.81640625" style="26" bestFit="1" customWidth="1"/>
    <col min="2093" max="2308" width="8.81640625" style="26"/>
    <col min="2309" max="2309" width="90.453125" style="26" customWidth="1"/>
    <col min="2310" max="2330" width="11.54296875" style="26" customWidth="1"/>
    <col min="2331" max="2331" width="13.54296875" style="26" customWidth="1"/>
    <col min="2332" max="2332" width="11.54296875" style="26" customWidth="1"/>
    <col min="2333" max="2333" width="12.1796875" style="26" customWidth="1"/>
    <col min="2334" max="2336" width="11.54296875" style="26" customWidth="1"/>
    <col min="2337" max="2337" width="12.26953125" style="26" customWidth="1"/>
    <col min="2338" max="2338" width="13.26953125" style="26" customWidth="1"/>
    <col min="2339" max="2339" width="16.54296875" style="26" customWidth="1"/>
    <col min="2340" max="2340" width="17.453125" style="26" customWidth="1"/>
    <col min="2341" max="2341" width="14.7265625" style="26" customWidth="1"/>
    <col min="2342" max="2344" width="14.54296875" style="26" customWidth="1"/>
    <col min="2345" max="2345" width="20" style="26" bestFit="1" customWidth="1"/>
    <col min="2346" max="2346" width="20.81640625" style="26" customWidth="1"/>
    <col min="2347" max="2347" width="99" style="26" bestFit="1" customWidth="1"/>
    <col min="2348" max="2348" width="25.81640625" style="26" bestFit="1" customWidth="1"/>
    <col min="2349" max="2564" width="8.81640625" style="26"/>
    <col min="2565" max="2565" width="90.453125" style="26" customWidth="1"/>
    <col min="2566" max="2586" width="11.54296875" style="26" customWidth="1"/>
    <col min="2587" max="2587" width="13.54296875" style="26" customWidth="1"/>
    <col min="2588" max="2588" width="11.54296875" style="26" customWidth="1"/>
    <col min="2589" max="2589" width="12.1796875" style="26" customWidth="1"/>
    <col min="2590" max="2592" width="11.54296875" style="26" customWidth="1"/>
    <col min="2593" max="2593" width="12.26953125" style="26" customWidth="1"/>
    <col min="2594" max="2594" width="13.26953125" style="26" customWidth="1"/>
    <col min="2595" max="2595" width="16.54296875" style="26" customWidth="1"/>
    <col min="2596" max="2596" width="17.453125" style="26" customWidth="1"/>
    <col min="2597" max="2597" width="14.7265625" style="26" customWidth="1"/>
    <col min="2598" max="2600" width="14.54296875" style="26" customWidth="1"/>
    <col min="2601" max="2601" width="20" style="26" bestFit="1" customWidth="1"/>
    <col min="2602" max="2602" width="20.81640625" style="26" customWidth="1"/>
    <col min="2603" max="2603" width="99" style="26" bestFit="1" customWidth="1"/>
    <col min="2604" max="2604" width="25.81640625" style="26" bestFit="1" customWidth="1"/>
    <col min="2605" max="2820" width="8.81640625" style="26"/>
    <col min="2821" max="2821" width="90.453125" style="26" customWidth="1"/>
    <col min="2822" max="2842" width="11.54296875" style="26" customWidth="1"/>
    <col min="2843" max="2843" width="13.54296875" style="26" customWidth="1"/>
    <col min="2844" max="2844" width="11.54296875" style="26" customWidth="1"/>
    <col min="2845" max="2845" width="12.1796875" style="26" customWidth="1"/>
    <col min="2846" max="2848" width="11.54296875" style="26" customWidth="1"/>
    <col min="2849" max="2849" width="12.26953125" style="26" customWidth="1"/>
    <col min="2850" max="2850" width="13.26953125" style="26" customWidth="1"/>
    <col min="2851" max="2851" width="16.54296875" style="26" customWidth="1"/>
    <col min="2852" max="2852" width="17.453125" style="26" customWidth="1"/>
    <col min="2853" max="2853" width="14.7265625" style="26" customWidth="1"/>
    <col min="2854" max="2856" width="14.54296875" style="26" customWidth="1"/>
    <col min="2857" max="2857" width="20" style="26" bestFit="1" customWidth="1"/>
    <col min="2858" max="2858" width="20.81640625" style="26" customWidth="1"/>
    <col min="2859" max="2859" width="99" style="26" bestFit="1" customWidth="1"/>
    <col min="2860" max="2860" width="25.81640625" style="26" bestFit="1" customWidth="1"/>
    <col min="2861" max="3076" width="8.81640625" style="26"/>
    <col min="3077" max="3077" width="90.453125" style="26" customWidth="1"/>
    <col min="3078" max="3098" width="11.54296875" style="26" customWidth="1"/>
    <col min="3099" max="3099" width="13.54296875" style="26" customWidth="1"/>
    <col min="3100" max="3100" width="11.54296875" style="26" customWidth="1"/>
    <col min="3101" max="3101" width="12.1796875" style="26" customWidth="1"/>
    <col min="3102" max="3104" width="11.54296875" style="26" customWidth="1"/>
    <col min="3105" max="3105" width="12.26953125" style="26" customWidth="1"/>
    <col min="3106" max="3106" width="13.26953125" style="26" customWidth="1"/>
    <col min="3107" max="3107" width="16.54296875" style="26" customWidth="1"/>
    <col min="3108" max="3108" width="17.453125" style="26" customWidth="1"/>
    <col min="3109" max="3109" width="14.7265625" style="26" customWidth="1"/>
    <col min="3110" max="3112" width="14.54296875" style="26" customWidth="1"/>
    <col min="3113" max="3113" width="20" style="26" bestFit="1" customWidth="1"/>
    <col min="3114" max="3114" width="20.81640625" style="26" customWidth="1"/>
    <col min="3115" max="3115" width="99" style="26" bestFit="1" customWidth="1"/>
    <col min="3116" max="3116" width="25.81640625" style="26" bestFit="1" customWidth="1"/>
    <col min="3117" max="3332" width="8.81640625" style="26"/>
    <col min="3333" max="3333" width="90.453125" style="26" customWidth="1"/>
    <col min="3334" max="3354" width="11.54296875" style="26" customWidth="1"/>
    <col min="3355" max="3355" width="13.54296875" style="26" customWidth="1"/>
    <col min="3356" max="3356" width="11.54296875" style="26" customWidth="1"/>
    <col min="3357" max="3357" width="12.1796875" style="26" customWidth="1"/>
    <col min="3358" max="3360" width="11.54296875" style="26" customWidth="1"/>
    <col min="3361" max="3361" width="12.26953125" style="26" customWidth="1"/>
    <col min="3362" max="3362" width="13.26953125" style="26" customWidth="1"/>
    <col min="3363" max="3363" width="16.54296875" style="26" customWidth="1"/>
    <col min="3364" max="3364" width="17.453125" style="26" customWidth="1"/>
    <col min="3365" max="3365" width="14.7265625" style="26" customWidth="1"/>
    <col min="3366" max="3368" width="14.54296875" style="26" customWidth="1"/>
    <col min="3369" max="3369" width="20" style="26" bestFit="1" customWidth="1"/>
    <col min="3370" max="3370" width="20.81640625" style="26" customWidth="1"/>
    <col min="3371" max="3371" width="99" style="26" bestFit="1" customWidth="1"/>
    <col min="3372" max="3372" width="25.81640625" style="26" bestFit="1" customWidth="1"/>
    <col min="3373" max="3588" width="8.81640625" style="26"/>
    <col min="3589" max="3589" width="90.453125" style="26" customWidth="1"/>
    <col min="3590" max="3610" width="11.54296875" style="26" customWidth="1"/>
    <col min="3611" max="3611" width="13.54296875" style="26" customWidth="1"/>
    <col min="3612" max="3612" width="11.54296875" style="26" customWidth="1"/>
    <col min="3613" max="3613" width="12.1796875" style="26" customWidth="1"/>
    <col min="3614" max="3616" width="11.54296875" style="26" customWidth="1"/>
    <col min="3617" max="3617" width="12.26953125" style="26" customWidth="1"/>
    <col min="3618" max="3618" width="13.26953125" style="26" customWidth="1"/>
    <col min="3619" max="3619" width="16.54296875" style="26" customWidth="1"/>
    <col min="3620" max="3620" width="17.453125" style="26" customWidth="1"/>
    <col min="3621" max="3621" width="14.7265625" style="26" customWidth="1"/>
    <col min="3622" max="3624" width="14.54296875" style="26" customWidth="1"/>
    <col min="3625" max="3625" width="20" style="26" bestFit="1" customWidth="1"/>
    <col min="3626" max="3626" width="20.81640625" style="26" customWidth="1"/>
    <col min="3627" max="3627" width="99" style="26" bestFit="1" customWidth="1"/>
    <col min="3628" max="3628" width="25.81640625" style="26" bestFit="1" customWidth="1"/>
    <col min="3629" max="3844" width="8.81640625" style="26"/>
    <col min="3845" max="3845" width="90.453125" style="26" customWidth="1"/>
    <col min="3846" max="3866" width="11.54296875" style="26" customWidth="1"/>
    <col min="3867" max="3867" width="13.54296875" style="26" customWidth="1"/>
    <col min="3868" max="3868" width="11.54296875" style="26" customWidth="1"/>
    <col min="3869" max="3869" width="12.1796875" style="26" customWidth="1"/>
    <col min="3870" max="3872" width="11.54296875" style="26" customWidth="1"/>
    <col min="3873" max="3873" width="12.26953125" style="26" customWidth="1"/>
    <col min="3874" max="3874" width="13.26953125" style="26" customWidth="1"/>
    <col min="3875" max="3875" width="16.54296875" style="26" customWidth="1"/>
    <col min="3876" max="3876" width="17.453125" style="26" customWidth="1"/>
    <col min="3877" max="3877" width="14.7265625" style="26" customWidth="1"/>
    <col min="3878" max="3880" width="14.54296875" style="26" customWidth="1"/>
    <col min="3881" max="3881" width="20" style="26" bestFit="1" customWidth="1"/>
    <col min="3882" max="3882" width="20.81640625" style="26" customWidth="1"/>
    <col min="3883" max="3883" width="99" style="26" bestFit="1" customWidth="1"/>
    <col min="3884" max="3884" width="25.81640625" style="26" bestFit="1" customWidth="1"/>
    <col min="3885" max="4100" width="8.81640625" style="26"/>
    <col min="4101" max="4101" width="90.453125" style="26" customWidth="1"/>
    <col min="4102" max="4122" width="11.54296875" style="26" customWidth="1"/>
    <col min="4123" max="4123" width="13.54296875" style="26" customWidth="1"/>
    <col min="4124" max="4124" width="11.54296875" style="26" customWidth="1"/>
    <col min="4125" max="4125" width="12.1796875" style="26" customWidth="1"/>
    <col min="4126" max="4128" width="11.54296875" style="26" customWidth="1"/>
    <col min="4129" max="4129" width="12.26953125" style="26" customWidth="1"/>
    <col min="4130" max="4130" width="13.26953125" style="26" customWidth="1"/>
    <col min="4131" max="4131" width="16.54296875" style="26" customWidth="1"/>
    <col min="4132" max="4132" width="17.453125" style="26" customWidth="1"/>
    <col min="4133" max="4133" width="14.7265625" style="26" customWidth="1"/>
    <col min="4134" max="4136" width="14.54296875" style="26" customWidth="1"/>
    <col min="4137" max="4137" width="20" style="26" bestFit="1" customWidth="1"/>
    <col min="4138" max="4138" width="20.81640625" style="26" customWidth="1"/>
    <col min="4139" max="4139" width="99" style="26" bestFit="1" customWidth="1"/>
    <col min="4140" max="4140" width="25.81640625" style="26" bestFit="1" customWidth="1"/>
    <col min="4141" max="4356" width="8.81640625" style="26"/>
    <col min="4357" max="4357" width="90.453125" style="26" customWidth="1"/>
    <col min="4358" max="4378" width="11.54296875" style="26" customWidth="1"/>
    <col min="4379" max="4379" width="13.54296875" style="26" customWidth="1"/>
    <col min="4380" max="4380" width="11.54296875" style="26" customWidth="1"/>
    <col min="4381" max="4381" width="12.1796875" style="26" customWidth="1"/>
    <col min="4382" max="4384" width="11.54296875" style="26" customWidth="1"/>
    <col min="4385" max="4385" width="12.26953125" style="26" customWidth="1"/>
    <col min="4386" max="4386" width="13.26953125" style="26" customWidth="1"/>
    <col min="4387" max="4387" width="16.54296875" style="26" customWidth="1"/>
    <col min="4388" max="4388" width="17.453125" style="26" customWidth="1"/>
    <col min="4389" max="4389" width="14.7265625" style="26" customWidth="1"/>
    <col min="4390" max="4392" width="14.54296875" style="26" customWidth="1"/>
    <col min="4393" max="4393" width="20" style="26" bestFit="1" customWidth="1"/>
    <col min="4394" max="4394" width="20.81640625" style="26" customWidth="1"/>
    <col min="4395" max="4395" width="99" style="26" bestFit="1" customWidth="1"/>
    <col min="4396" max="4396" width="25.81640625" style="26" bestFit="1" customWidth="1"/>
    <col min="4397" max="4612" width="8.81640625" style="26"/>
    <col min="4613" max="4613" width="90.453125" style="26" customWidth="1"/>
    <col min="4614" max="4634" width="11.54296875" style="26" customWidth="1"/>
    <col min="4635" max="4635" width="13.54296875" style="26" customWidth="1"/>
    <col min="4636" max="4636" width="11.54296875" style="26" customWidth="1"/>
    <col min="4637" max="4637" width="12.1796875" style="26" customWidth="1"/>
    <col min="4638" max="4640" width="11.54296875" style="26" customWidth="1"/>
    <col min="4641" max="4641" width="12.26953125" style="26" customWidth="1"/>
    <col min="4642" max="4642" width="13.26953125" style="26" customWidth="1"/>
    <col min="4643" max="4643" width="16.54296875" style="26" customWidth="1"/>
    <col min="4644" max="4644" width="17.453125" style="26" customWidth="1"/>
    <col min="4645" max="4645" width="14.7265625" style="26" customWidth="1"/>
    <col min="4646" max="4648" width="14.54296875" style="26" customWidth="1"/>
    <col min="4649" max="4649" width="20" style="26" bestFit="1" customWidth="1"/>
    <col min="4650" max="4650" width="20.81640625" style="26" customWidth="1"/>
    <col min="4651" max="4651" width="99" style="26" bestFit="1" customWidth="1"/>
    <col min="4652" max="4652" width="25.81640625" style="26" bestFit="1" customWidth="1"/>
    <col min="4653" max="4868" width="8.81640625" style="26"/>
    <col min="4869" max="4869" width="90.453125" style="26" customWidth="1"/>
    <col min="4870" max="4890" width="11.54296875" style="26" customWidth="1"/>
    <col min="4891" max="4891" width="13.54296875" style="26" customWidth="1"/>
    <col min="4892" max="4892" width="11.54296875" style="26" customWidth="1"/>
    <col min="4893" max="4893" width="12.1796875" style="26" customWidth="1"/>
    <col min="4894" max="4896" width="11.54296875" style="26" customWidth="1"/>
    <col min="4897" max="4897" width="12.26953125" style="26" customWidth="1"/>
    <col min="4898" max="4898" width="13.26953125" style="26" customWidth="1"/>
    <col min="4899" max="4899" width="16.54296875" style="26" customWidth="1"/>
    <col min="4900" max="4900" width="17.453125" style="26" customWidth="1"/>
    <col min="4901" max="4901" width="14.7265625" style="26" customWidth="1"/>
    <col min="4902" max="4904" width="14.54296875" style="26" customWidth="1"/>
    <col min="4905" max="4905" width="20" style="26" bestFit="1" customWidth="1"/>
    <col min="4906" max="4906" width="20.81640625" style="26" customWidth="1"/>
    <col min="4907" max="4907" width="99" style="26" bestFit="1" customWidth="1"/>
    <col min="4908" max="4908" width="25.81640625" style="26" bestFit="1" customWidth="1"/>
    <col min="4909" max="5124" width="8.81640625" style="26"/>
    <col min="5125" max="5125" width="90.453125" style="26" customWidth="1"/>
    <col min="5126" max="5146" width="11.54296875" style="26" customWidth="1"/>
    <col min="5147" max="5147" width="13.54296875" style="26" customWidth="1"/>
    <col min="5148" max="5148" width="11.54296875" style="26" customWidth="1"/>
    <col min="5149" max="5149" width="12.1796875" style="26" customWidth="1"/>
    <col min="5150" max="5152" width="11.54296875" style="26" customWidth="1"/>
    <col min="5153" max="5153" width="12.26953125" style="26" customWidth="1"/>
    <col min="5154" max="5154" width="13.26953125" style="26" customWidth="1"/>
    <col min="5155" max="5155" width="16.54296875" style="26" customWidth="1"/>
    <col min="5156" max="5156" width="17.453125" style="26" customWidth="1"/>
    <col min="5157" max="5157" width="14.7265625" style="26" customWidth="1"/>
    <col min="5158" max="5160" width="14.54296875" style="26" customWidth="1"/>
    <col min="5161" max="5161" width="20" style="26" bestFit="1" customWidth="1"/>
    <col min="5162" max="5162" width="20.81640625" style="26" customWidth="1"/>
    <col min="5163" max="5163" width="99" style="26" bestFit="1" customWidth="1"/>
    <col min="5164" max="5164" width="25.81640625" style="26" bestFit="1" customWidth="1"/>
    <col min="5165" max="5380" width="8.81640625" style="26"/>
    <col min="5381" max="5381" width="90.453125" style="26" customWidth="1"/>
    <col min="5382" max="5402" width="11.54296875" style="26" customWidth="1"/>
    <col min="5403" max="5403" width="13.54296875" style="26" customWidth="1"/>
    <col min="5404" max="5404" width="11.54296875" style="26" customWidth="1"/>
    <col min="5405" max="5405" width="12.1796875" style="26" customWidth="1"/>
    <col min="5406" max="5408" width="11.54296875" style="26" customWidth="1"/>
    <col min="5409" max="5409" width="12.26953125" style="26" customWidth="1"/>
    <col min="5410" max="5410" width="13.26953125" style="26" customWidth="1"/>
    <col min="5411" max="5411" width="16.54296875" style="26" customWidth="1"/>
    <col min="5412" max="5412" width="17.453125" style="26" customWidth="1"/>
    <col min="5413" max="5413" width="14.7265625" style="26" customWidth="1"/>
    <col min="5414" max="5416" width="14.54296875" style="26" customWidth="1"/>
    <col min="5417" max="5417" width="20" style="26" bestFit="1" customWidth="1"/>
    <col min="5418" max="5418" width="20.81640625" style="26" customWidth="1"/>
    <col min="5419" max="5419" width="99" style="26" bestFit="1" customWidth="1"/>
    <col min="5420" max="5420" width="25.81640625" style="26" bestFit="1" customWidth="1"/>
    <col min="5421" max="5636" width="8.81640625" style="26"/>
    <col min="5637" max="5637" width="90.453125" style="26" customWidth="1"/>
    <col min="5638" max="5658" width="11.54296875" style="26" customWidth="1"/>
    <col min="5659" max="5659" width="13.54296875" style="26" customWidth="1"/>
    <col min="5660" max="5660" width="11.54296875" style="26" customWidth="1"/>
    <col min="5661" max="5661" width="12.1796875" style="26" customWidth="1"/>
    <col min="5662" max="5664" width="11.54296875" style="26" customWidth="1"/>
    <col min="5665" max="5665" width="12.26953125" style="26" customWidth="1"/>
    <col min="5666" max="5666" width="13.26953125" style="26" customWidth="1"/>
    <col min="5667" max="5667" width="16.54296875" style="26" customWidth="1"/>
    <col min="5668" max="5668" width="17.453125" style="26" customWidth="1"/>
    <col min="5669" max="5669" width="14.7265625" style="26" customWidth="1"/>
    <col min="5670" max="5672" width="14.54296875" style="26" customWidth="1"/>
    <col min="5673" max="5673" width="20" style="26" bestFit="1" customWidth="1"/>
    <col min="5674" max="5674" width="20.81640625" style="26" customWidth="1"/>
    <col min="5675" max="5675" width="99" style="26" bestFit="1" customWidth="1"/>
    <col min="5676" max="5676" width="25.81640625" style="26" bestFit="1" customWidth="1"/>
    <col min="5677" max="5892" width="8.81640625" style="26"/>
    <col min="5893" max="5893" width="90.453125" style="26" customWidth="1"/>
    <col min="5894" max="5914" width="11.54296875" style="26" customWidth="1"/>
    <col min="5915" max="5915" width="13.54296875" style="26" customWidth="1"/>
    <col min="5916" max="5916" width="11.54296875" style="26" customWidth="1"/>
    <col min="5917" max="5917" width="12.1796875" style="26" customWidth="1"/>
    <col min="5918" max="5920" width="11.54296875" style="26" customWidth="1"/>
    <col min="5921" max="5921" width="12.26953125" style="26" customWidth="1"/>
    <col min="5922" max="5922" width="13.26953125" style="26" customWidth="1"/>
    <col min="5923" max="5923" width="16.54296875" style="26" customWidth="1"/>
    <col min="5924" max="5924" width="17.453125" style="26" customWidth="1"/>
    <col min="5925" max="5925" width="14.7265625" style="26" customWidth="1"/>
    <col min="5926" max="5928" width="14.54296875" style="26" customWidth="1"/>
    <col min="5929" max="5929" width="20" style="26" bestFit="1" customWidth="1"/>
    <col min="5930" max="5930" width="20.81640625" style="26" customWidth="1"/>
    <col min="5931" max="5931" width="99" style="26" bestFit="1" customWidth="1"/>
    <col min="5932" max="5932" width="25.81640625" style="26" bestFit="1" customWidth="1"/>
    <col min="5933" max="6148" width="8.81640625" style="26"/>
    <col min="6149" max="6149" width="90.453125" style="26" customWidth="1"/>
    <col min="6150" max="6170" width="11.54296875" style="26" customWidth="1"/>
    <col min="6171" max="6171" width="13.54296875" style="26" customWidth="1"/>
    <col min="6172" max="6172" width="11.54296875" style="26" customWidth="1"/>
    <col min="6173" max="6173" width="12.1796875" style="26" customWidth="1"/>
    <col min="6174" max="6176" width="11.54296875" style="26" customWidth="1"/>
    <col min="6177" max="6177" width="12.26953125" style="26" customWidth="1"/>
    <col min="6178" max="6178" width="13.26953125" style="26" customWidth="1"/>
    <col min="6179" max="6179" width="16.54296875" style="26" customWidth="1"/>
    <col min="6180" max="6180" width="17.453125" style="26" customWidth="1"/>
    <col min="6181" max="6181" width="14.7265625" style="26" customWidth="1"/>
    <col min="6182" max="6184" width="14.54296875" style="26" customWidth="1"/>
    <col min="6185" max="6185" width="20" style="26" bestFit="1" customWidth="1"/>
    <col min="6186" max="6186" width="20.81640625" style="26" customWidth="1"/>
    <col min="6187" max="6187" width="99" style="26" bestFit="1" customWidth="1"/>
    <col min="6188" max="6188" width="25.81640625" style="26" bestFit="1" customWidth="1"/>
    <col min="6189" max="6404" width="8.81640625" style="26"/>
    <col min="6405" max="6405" width="90.453125" style="26" customWidth="1"/>
    <col min="6406" max="6426" width="11.54296875" style="26" customWidth="1"/>
    <col min="6427" max="6427" width="13.54296875" style="26" customWidth="1"/>
    <col min="6428" max="6428" width="11.54296875" style="26" customWidth="1"/>
    <col min="6429" max="6429" width="12.1796875" style="26" customWidth="1"/>
    <col min="6430" max="6432" width="11.54296875" style="26" customWidth="1"/>
    <col min="6433" max="6433" width="12.26953125" style="26" customWidth="1"/>
    <col min="6434" max="6434" width="13.26953125" style="26" customWidth="1"/>
    <col min="6435" max="6435" width="16.54296875" style="26" customWidth="1"/>
    <col min="6436" max="6436" width="17.453125" style="26" customWidth="1"/>
    <col min="6437" max="6437" width="14.7265625" style="26" customWidth="1"/>
    <col min="6438" max="6440" width="14.54296875" style="26" customWidth="1"/>
    <col min="6441" max="6441" width="20" style="26" bestFit="1" customWidth="1"/>
    <col min="6442" max="6442" width="20.81640625" style="26" customWidth="1"/>
    <col min="6443" max="6443" width="99" style="26" bestFit="1" customWidth="1"/>
    <col min="6444" max="6444" width="25.81640625" style="26" bestFit="1" customWidth="1"/>
    <col min="6445" max="6660" width="8.81640625" style="26"/>
    <col min="6661" max="6661" width="90.453125" style="26" customWidth="1"/>
    <col min="6662" max="6682" width="11.54296875" style="26" customWidth="1"/>
    <col min="6683" max="6683" width="13.54296875" style="26" customWidth="1"/>
    <col min="6684" max="6684" width="11.54296875" style="26" customWidth="1"/>
    <col min="6685" max="6685" width="12.1796875" style="26" customWidth="1"/>
    <col min="6686" max="6688" width="11.54296875" style="26" customWidth="1"/>
    <col min="6689" max="6689" width="12.26953125" style="26" customWidth="1"/>
    <col min="6690" max="6690" width="13.26953125" style="26" customWidth="1"/>
    <col min="6691" max="6691" width="16.54296875" style="26" customWidth="1"/>
    <col min="6692" max="6692" width="17.453125" style="26" customWidth="1"/>
    <col min="6693" max="6693" width="14.7265625" style="26" customWidth="1"/>
    <col min="6694" max="6696" width="14.54296875" style="26" customWidth="1"/>
    <col min="6697" max="6697" width="20" style="26" bestFit="1" customWidth="1"/>
    <col min="6698" max="6698" width="20.81640625" style="26" customWidth="1"/>
    <col min="6699" max="6699" width="99" style="26" bestFit="1" customWidth="1"/>
    <col min="6700" max="6700" width="25.81640625" style="26" bestFit="1" customWidth="1"/>
    <col min="6701" max="6916" width="8.81640625" style="26"/>
    <col min="6917" max="6917" width="90.453125" style="26" customWidth="1"/>
    <col min="6918" max="6938" width="11.54296875" style="26" customWidth="1"/>
    <col min="6939" max="6939" width="13.54296875" style="26" customWidth="1"/>
    <col min="6940" max="6940" width="11.54296875" style="26" customWidth="1"/>
    <col min="6941" max="6941" width="12.1796875" style="26" customWidth="1"/>
    <col min="6942" max="6944" width="11.54296875" style="26" customWidth="1"/>
    <col min="6945" max="6945" width="12.26953125" style="26" customWidth="1"/>
    <col min="6946" max="6946" width="13.26953125" style="26" customWidth="1"/>
    <col min="6947" max="6947" width="16.54296875" style="26" customWidth="1"/>
    <col min="6948" max="6948" width="17.453125" style="26" customWidth="1"/>
    <col min="6949" max="6949" width="14.7265625" style="26" customWidth="1"/>
    <col min="6950" max="6952" width="14.54296875" style="26" customWidth="1"/>
    <col min="6953" max="6953" width="20" style="26" bestFit="1" customWidth="1"/>
    <col min="6954" max="6954" width="20.81640625" style="26" customWidth="1"/>
    <col min="6955" max="6955" width="99" style="26" bestFit="1" customWidth="1"/>
    <col min="6956" max="6956" width="25.81640625" style="26" bestFit="1" customWidth="1"/>
    <col min="6957" max="7172" width="8.81640625" style="26"/>
    <col min="7173" max="7173" width="90.453125" style="26" customWidth="1"/>
    <col min="7174" max="7194" width="11.54296875" style="26" customWidth="1"/>
    <col min="7195" max="7195" width="13.54296875" style="26" customWidth="1"/>
    <col min="7196" max="7196" width="11.54296875" style="26" customWidth="1"/>
    <col min="7197" max="7197" width="12.1796875" style="26" customWidth="1"/>
    <col min="7198" max="7200" width="11.54296875" style="26" customWidth="1"/>
    <col min="7201" max="7201" width="12.26953125" style="26" customWidth="1"/>
    <col min="7202" max="7202" width="13.26953125" style="26" customWidth="1"/>
    <col min="7203" max="7203" width="16.54296875" style="26" customWidth="1"/>
    <col min="7204" max="7204" width="17.453125" style="26" customWidth="1"/>
    <col min="7205" max="7205" width="14.7265625" style="26" customWidth="1"/>
    <col min="7206" max="7208" width="14.54296875" style="26" customWidth="1"/>
    <col min="7209" max="7209" width="20" style="26" bestFit="1" customWidth="1"/>
    <col min="7210" max="7210" width="20.81640625" style="26" customWidth="1"/>
    <col min="7211" max="7211" width="99" style="26" bestFit="1" customWidth="1"/>
    <col min="7212" max="7212" width="25.81640625" style="26" bestFit="1" customWidth="1"/>
    <col min="7213" max="7428" width="8.81640625" style="26"/>
    <col min="7429" max="7429" width="90.453125" style="26" customWidth="1"/>
    <col min="7430" max="7450" width="11.54296875" style="26" customWidth="1"/>
    <col min="7451" max="7451" width="13.54296875" style="26" customWidth="1"/>
    <col min="7452" max="7452" width="11.54296875" style="26" customWidth="1"/>
    <col min="7453" max="7453" width="12.1796875" style="26" customWidth="1"/>
    <col min="7454" max="7456" width="11.54296875" style="26" customWidth="1"/>
    <col min="7457" max="7457" width="12.26953125" style="26" customWidth="1"/>
    <col min="7458" max="7458" width="13.26953125" style="26" customWidth="1"/>
    <col min="7459" max="7459" width="16.54296875" style="26" customWidth="1"/>
    <col min="7460" max="7460" width="17.453125" style="26" customWidth="1"/>
    <col min="7461" max="7461" width="14.7265625" style="26" customWidth="1"/>
    <col min="7462" max="7464" width="14.54296875" style="26" customWidth="1"/>
    <col min="7465" max="7465" width="20" style="26" bestFit="1" customWidth="1"/>
    <col min="7466" max="7466" width="20.81640625" style="26" customWidth="1"/>
    <col min="7467" max="7467" width="99" style="26" bestFit="1" customWidth="1"/>
    <col min="7468" max="7468" width="25.81640625" style="26" bestFit="1" customWidth="1"/>
    <col min="7469" max="7684" width="8.81640625" style="26"/>
    <col min="7685" max="7685" width="90.453125" style="26" customWidth="1"/>
    <col min="7686" max="7706" width="11.54296875" style="26" customWidth="1"/>
    <col min="7707" max="7707" width="13.54296875" style="26" customWidth="1"/>
    <col min="7708" max="7708" width="11.54296875" style="26" customWidth="1"/>
    <col min="7709" max="7709" width="12.1796875" style="26" customWidth="1"/>
    <col min="7710" max="7712" width="11.54296875" style="26" customWidth="1"/>
    <col min="7713" max="7713" width="12.26953125" style="26" customWidth="1"/>
    <col min="7714" max="7714" width="13.26953125" style="26" customWidth="1"/>
    <col min="7715" max="7715" width="16.54296875" style="26" customWidth="1"/>
    <col min="7716" max="7716" width="17.453125" style="26" customWidth="1"/>
    <col min="7717" max="7717" width="14.7265625" style="26" customWidth="1"/>
    <col min="7718" max="7720" width="14.54296875" style="26" customWidth="1"/>
    <col min="7721" max="7721" width="20" style="26" bestFit="1" customWidth="1"/>
    <col min="7722" max="7722" width="20.81640625" style="26" customWidth="1"/>
    <col min="7723" max="7723" width="99" style="26" bestFit="1" customWidth="1"/>
    <col min="7724" max="7724" width="25.81640625" style="26" bestFit="1" customWidth="1"/>
    <col min="7725" max="7940" width="8.81640625" style="26"/>
    <col min="7941" max="7941" width="90.453125" style="26" customWidth="1"/>
    <col min="7942" max="7962" width="11.54296875" style="26" customWidth="1"/>
    <col min="7963" max="7963" width="13.54296875" style="26" customWidth="1"/>
    <col min="7964" max="7964" width="11.54296875" style="26" customWidth="1"/>
    <col min="7965" max="7965" width="12.1796875" style="26" customWidth="1"/>
    <col min="7966" max="7968" width="11.54296875" style="26" customWidth="1"/>
    <col min="7969" max="7969" width="12.26953125" style="26" customWidth="1"/>
    <col min="7970" max="7970" width="13.26953125" style="26" customWidth="1"/>
    <col min="7971" max="7971" width="16.54296875" style="26" customWidth="1"/>
    <col min="7972" max="7972" width="17.453125" style="26" customWidth="1"/>
    <col min="7973" max="7973" width="14.7265625" style="26" customWidth="1"/>
    <col min="7974" max="7976" width="14.54296875" style="26" customWidth="1"/>
    <col min="7977" max="7977" width="20" style="26" bestFit="1" customWidth="1"/>
    <col min="7978" max="7978" width="20.81640625" style="26" customWidth="1"/>
    <col min="7979" max="7979" width="99" style="26" bestFit="1" customWidth="1"/>
    <col min="7980" max="7980" width="25.81640625" style="26" bestFit="1" customWidth="1"/>
    <col min="7981" max="8196" width="8.81640625" style="26"/>
    <col min="8197" max="8197" width="90.453125" style="26" customWidth="1"/>
    <col min="8198" max="8218" width="11.54296875" style="26" customWidth="1"/>
    <col min="8219" max="8219" width="13.54296875" style="26" customWidth="1"/>
    <col min="8220" max="8220" width="11.54296875" style="26" customWidth="1"/>
    <col min="8221" max="8221" width="12.1796875" style="26" customWidth="1"/>
    <col min="8222" max="8224" width="11.54296875" style="26" customWidth="1"/>
    <col min="8225" max="8225" width="12.26953125" style="26" customWidth="1"/>
    <col min="8226" max="8226" width="13.26953125" style="26" customWidth="1"/>
    <col min="8227" max="8227" width="16.54296875" style="26" customWidth="1"/>
    <col min="8228" max="8228" width="17.453125" style="26" customWidth="1"/>
    <col min="8229" max="8229" width="14.7265625" style="26" customWidth="1"/>
    <col min="8230" max="8232" width="14.54296875" style="26" customWidth="1"/>
    <col min="8233" max="8233" width="20" style="26" bestFit="1" customWidth="1"/>
    <col min="8234" max="8234" width="20.81640625" style="26" customWidth="1"/>
    <col min="8235" max="8235" width="99" style="26" bestFit="1" customWidth="1"/>
    <col min="8236" max="8236" width="25.81640625" style="26" bestFit="1" customWidth="1"/>
    <col min="8237" max="8452" width="8.81640625" style="26"/>
    <col min="8453" max="8453" width="90.453125" style="26" customWidth="1"/>
    <col min="8454" max="8474" width="11.54296875" style="26" customWidth="1"/>
    <col min="8475" max="8475" width="13.54296875" style="26" customWidth="1"/>
    <col min="8476" max="8476" width="11.54296875" style="26" customWidth="1"/>
    <col min="8477" max="8477" width="12.1796875" style="26" customWidth="1"/>
    <col min="8478" max="8480" width="11.54296875" style="26" customWidth="1"/>
    <col min="8481" max="8481" width="12.26953125" style="26" customWidth="1"/>
    <col min="8482" max="8482" width="13.26953125" style="26" customWidth="1"/>
    <col min="8483" max="8483" width="16.54296875" style="26" customWidth="1"/>
    <col min="8484" max="8484" width="17.453125" style="26" customWidth="1"/>
    <col min="8485" max="8485" width="14.7265625" style="26" customWidth="1"/>
    <col min="8486" max="8488" width="14.54296875" style="26" customWidth="1"/>
    <col min="8489" max="8489" width="20" style="26" bestFit="1" customWidth="1"/>
    <col min="8490" max="8490" width="20.81640625" style="26" customWidth="1"/>
    <col min="8491" max="8491" width="99" style="26" bestFit="1" customWidth="1"/>
    <col min="8492" max="8492" width="25.81640625" style="26" bestFit="1" customWidth="1"/>
    <col min="8493" max="8708" width="8.81640625" style="26"/>
    <col min="8709" max="8709" width="90.453125" style="26" customWidth="1"/>
    <col min="8710" max="8730" width="11.54296875" style="26" customWidth="1"/>
    <col min="8731" max="8731" width="13.54296875" style="26" customWidth="1"/>
    <col min="8732" max="8732" width="11.54296875" style="26" customWidth="1"/>
    <col min="8733" max="8733" width="12.1796875" style="26" customWidth="1"/>
    <col min="8734" max="8736" width="11.54296875" style="26" customWidth="1"/>
    <col min="8737" max="8737" width="12.26953125" style="26" customWidth="1"/>
    <col min="8738" max="8738" width="13.26953125" style="26" customWidth="1"/>
    <col min="8739" max="8739" width="16.54296875" style="26" customWidth="1"/>
    <col min="8740" max="8740" width="17.453125" style="26" customWidth="1"/>
    <col min="8741" max="8741" width="14.7265625" style="26" customWidth="1"/>
    <col min="8742" max="8744" width="14.54296875" style="26" customWidth="1"/>
    <col min="8745" max="8745" width="20" style="26" bestFit="1" customWidth="1"/>
    <col min="8746" max="8746" width="20.81640625" style="26" customWidth="1"/>
    <col min="8747" max="8747" width="99" style="26" bestFit="1" customWidth="1"/>
    <col min="8748" max="8748" width="25.81640625" style="26" bestFit="1" customWidth="1"/>
    <col min="8749" max="8964" width="8.81640625" style="26"/>
    <col min="8965" max="8965" width="90.453125" style="26" customWidth="1"/>
    <col min="8966" max="8986" width="11.54296875" style="26" customWidth="1"/>
    <col min="8987" max="8987" width="13.54296875" style="26" customWidth="1"/>
    <col min="8988" max="8988" width="11.54296875" style="26" customWidth="1"/>
    <col min="8989" max="8989" width="12.1796875" style="26" customWidth="1"/>
    <col min="8990" max="8992" width="11.54296875" style="26" customWidth="1"/>
    <col min="8993" max="8993" width="12.26953125" style="26" customWidth="1"/>
    <col min="8994" max="8994" width="13.26953125" style="26" customWidth="1"/>
    <col min="8995" max="8995" width="16.54296875" style="26" customWidth="1"/>
    <col min="8996" max="8996" width="17.453125" style="26" customWidth="1"/>
    <col min="8997" max="8997" width="14.7265625" style="26" customWidth="1"/>
    <col min="8998" max="9000" width="14.54296875" style="26" customWidth="1"/>
    <col min="9001" max="9001" width="20" style="26" bestFit="1" customWidth="1"/>
    <col min="9002" max="9002" width="20.81640625" style="26" customWidth="1"/>
    <col min="9003" max="9003" width="99" style="26" bestFit="1" customWidth="1"/>
    <col min="9004" max="9004" width="25.81640625" style="26" bestFit="1" customWidth="1"/>
    <col min="9005" max="9220" width="8.81640625" style="26"/>
    <col min="9221" max="9221" width="90.453125" style="26" customWidth="1"/>
    <col min="9222" max="9242" width="11.54296875" style="26" customWidth="1"/>
    <col min="9243" max="9243" width="13.54296875" style="26" customWidth="1"/>
    <col min="9244" max="9244" width="11.54296875" style="26" customWidth="1"/>
    <col min="9245" max="9245" width="12.1796875" style="26" customWidth="1"/>
    <col min="9246" max="9248" width="11.54296875" style="26" customWidth="1"/>
    <col min="9249" max="9249" width="12.26953125" style="26" customWidth="1"/>
    <col min="9250" max="9250" width="13.26953125" style="26" customWidth="1"/>
    <col min="9251" max="9251" width="16.54296875" style="26" customWidth="1"/>
    <col min="9252" max="9252" width="17.453125" style="26" customWidth="1"/>
    <col min="9253" max="9253" width="14.7265625" style="26" customWidth="1"/>
    <col min="9254" max="9256" width="14.54296875" style="26" customWidth="1"/>
    <col min="9257" max="9257" width="20" style="26" bestFit="1" customWidth="1"/>
    <col min="9258" max="9258" width="20.81640625" style="26" customWidth="1"/>
    <col min="9259" max="9259" width="99" style="26" bestFit="1" customWidth="1"/>
    <col min="9260" max="9260" width="25.81640625" style="26" bestFit="1" customWidth="1"/>
    <col min="9261" max="9476" width="8.81640625" style="26"/>
    <col min="9477" max="9477" width="90.453125" style="26" customWidth="1"/>
    <col min="9478" max="9498" width="11.54296875" style="26" customWidth="1"/>
    <col min="9499" max="9499" width="13.54296875" style="26" customWidth="1"/>
    <col min="9500" max="9500" width="11.54296875" style="26" customWidth="1"/>
    <col min="9501" max="9501" width="12.1796875" style="26" customWidth="1"/>
    <col min="9502" max="9504" width="11.54296875" style="26" customWidth="1"/>
    <col min="9505" max="9505" width="12.26953125" style="26" customWidth="1"/>
    <col min="9506" max="9506" width="13.26953125" style="26" customWidth="1"/>
    <col min="9507" max="9507" width="16.54296875" style="26" customWidth="1"/>
    <col min="9508" max="9508" width="17.453125" style="26" customWidth="1"/>
    <col min="9509" max="9509" width="14.7265625" style="26" customWidth="1"/>
    <col min="9510" max="9512" width="14.54296875" style="26" customWidth="1"/>
    <col min="9513" max="9513" width="20" style="26" bestFit="1" customWidth="1"/>
    <col min="9514" max="9514" width="20.81640625" style="26" customWidth="1"/>
    <col min="9515" max="9515" width="99" style="26" bestFit="1" customWidth="1"/>
    <col min="9516" max="9516" width="25.81640625" style="26" bestFit="1" customWidth="1"/>
    <col min="9517" max="9732" width="8.81640625" style="26"/>
    <col min="9733" max="9733" width="90.453125" style="26" customWidth="1"/>
    <col min="9734" max="9754" width="11.54296875" style="26" customWidth="1"/>
    <col min="9755" max="9755" width="13.54296875" style="26" customWidth="1"/>
    <col min="9756" max="9756" width="11.54296875" style="26" customWidth="1"/>
    <col min="9757" max="9757" width="12.1796875" style="26" customWidth="1"/>
    <col min="9758" max="9760" width="11.54296875" style="26" customWidth="1"/>
    <col min="9761" max="9761" width="12.26953125" style="26" customWidth="1"/>
    <col min="9762" max="9762" width="13.26953125" style="26" customWidth="1"/>
    <col min="9763" max="9763" width="16.54296875" style="26" customWidth="1"/>
    <col min="9764" max="9764" width="17.453125" style="26" customWidth="1"/>
    <col min="9765" max="9765" width="14.7265625" style="26" customWidth="1"/>
    <col min="9766" max="9768" width="14.54296875" style="26" customWidth="1"/>
    <col min="9769" max="9769" width="20" style="26" bestFit="1" customWidth="1"/>
    <col min="9770" max="9770" width="20.81640625" style="26" customWidth="1"/>
    <col min="9771" max="9771" width="99" style="26" bestFit="1" customWidth="1"/>
    <col min="9772" max="9772" width="25.81640625" style="26" bestFit="1" customWidth="1"/>
    <col min="9773" max="9988" width="8.81640625" style="26"/>
    <col min="9989" max="9989" width="90.453125" style="26" customWidth="1"/>
    <col min="9990" max="10010" width="11.54296875" style="26" customWidth="1"/>
    <col min="10011" max="10011" width="13.54296875" style="26" customWidth="1"/>
    <col min="10012" max="10012" width="11.54296875" style="26" customWidth="1"/>
    <col min="10013" max="10013" width="12.1796875" style="26" customWidth="1"/>
    <col min="10014" max="10016" width="11.54296875" style="26" customWidth="1"/>
    <col min="10017" max="10017" width="12.26953125" style="26" customWidth="1"/>
    <col min="10018" max="10018" width="13.26953125" style="26" customWidth="1"/>
    <col min="10019" max="10019" width="16.54296875" style="26" customWidth="1"/>
    <col min="10020" max="10020" width="17.453125" style="26" customWidth="1"/>
    <col min="10021" max="10021" width="14.7265625" style="26" customWidth="1"/>
    <col min="10022" max="10024" width="14.54296875" style="26" customWidth="1"/>
    <col min="10025" max="10025" width="20" style="26" bestFit="1" customWidth="1"/>
    <col min="10026" max="10026" width="20.81640625" style="26" customWidth="1"/>
    <col min="10027" max="10027" width="99" style="26" bestFit="1" customWidth="1"/>
    <col min="10028" max="10028" width="25.81640625" style="26" bestFit="1" customWidth="1"/>
    <col min="10029" max="10244" width="8.81640625" style="26"/>
    <col min="10245" max="10245" width="90.453125" style="26" customWidth="1"/>
    <col min="10246" max="10266" width="11.54296875" style="26" customWidth="1"/>
    <col min="10267" max="10267" width="13.54296875" style="26" customWidth="1"/>
    <col min="10268" max="10268" width="11.54296875" style="26" customWidth="1"/>
    <col min="10269" max="10269" width="12.1796875" style="26" customWidth="1"/>
    <col min="10270" max="10272" width="11.54296875" style="26" customWidth="1"/>
    <col min="10273" max="10273" width="12.26953125" style="26" customWidth="1"/>
    <col min="10274" max="10274" width="13.26953125" style="26" customWidth="1"/>
    <col min="10275" max="10275" width="16.54296875" style="26" customWidth="1"/>
    <col min="10276" max="10276" width="17.453125" style="26" customWidth="1"/>
    <col min="10277" max="10277" width="14.7265625" style="26" customWidth="1"/>
    <col min="10278" max="10280" width="14.54296875" style="26" customWidth="1"/>
    <col min="10281" max="10281" width="20" style="26" bestFit="1" customWidth="1"/>
    <col min="10282" max="10282" width="20.81640625" style="26" customWidth="1"/>
    <col min="10283" max="10283" width="99" style="26" bestFit="1" customWidth="1"/>
    <col min="10284" max="10284" width="25.81640625" style="26" bestFit="1" customWidth="1"/>
    <col min="10285" max="10500" width="8.81640625" style="26"/>
    <col min="10501" max="10501" width="90.453125" style="26" customWidth="1"/>
    <col min="10502" max="10522" width="11.54296875" style="26" customWidth="1"/>
    <col min="10523" max="10523" width="13.54296875" style="26" customWidth="1"/>
    <col min="10524" max="10524" width="11.54296875" style="26" customWidth="1"/>
    <col min="10525" max="10525" width="12.1796875" style="26" customWidth="1"/>
    <col min="10526" max="10528" width="11.54296875" style="26" customWidth="1"/>
    <col min="10529" max="10529" width="12.26953125" style="26" customWidth="1"/>
    <col min="10530" max="10530" width="13.26953125" style="26" customWidth="1"/>
    <col min="10531" max="10531" width="16.54296875" style="26" customWidth="1"/>
    <col min="10532" max="10532" width="17.453125" style="26" customWidth="1"/>
    <col min="10533" max="10533" width="14.7265625" style="26" customWidth="1"/>
    <col min="10534" max="10536" width="14.54296875" style="26" customWidth="1"/>
    <col min="10537" max="10537" width="20" style="26" bestFit="1" customWidth="1"/>
    <col min="10538" max="10538" width="20.81640625" style="26" customWidth="1"/>
    <col min="10539" max="10539" width="99" style="26" bestFit="1" customWidth="1"/>
    <col min="10540" max="10540" width="25.81640625" style="26" bestFit="1" customWidth="1"/>
    <col min="10541" max="10756" width="8.81640625" style="26"/>
    <col min="10757" max="10757" width="90.453125" style="26" customWidth="1"/>
    <col min="10758" max="10778" width="11.54296875" style="26" customWidth="1"/>
    <col min="10779" max="10779" width="13.54296875" style="26" customWidth="1"/>
    <col min="10780" max="10780" width="11.54296875" style="26" customWidth="1"/>
    <col min="10781" max="10781" width="12.1796875" style="26" customWidth="1"/>
    <col min="10782" max="10784" width="11.54296875" style="26" customWidth="1"/>
    <col min="10785" max="10785" width="12.26953125" style="26" customWidth="1"/>
    <col min="10786" max="10786" width="13.26953125" style="26" customWidth="1"/>
    <col min="10787" max="10787" width="16.54296875" style="26" customWidth="1"/>
    <col min="10788" max="10788" width="17.453125" style="26" customWidth="1"/>
    <col min="10789" max="10789" width="14.7265625" style="26" customWidth="1"/>
    <col min="10790" max="10792" width="14.54296875" style="26" customWidth="1"/>
    <col min="10793" max="10793" width="20" style="26" bestFit="1" customWidth="1"/>
    <col min="10794" max="10794" width="20.81640625" style="26" customWidth="1"/>
    <col min="10795" max="10795" width="99" style="26" bestFit="1" customWidth="1"/>
    <col min="10796" max="10796" width="25.81640625" style="26" bestFit="1" customWidth="1"/>
    <col min="10797" max="11012" width="8.81640625" style="26"/>
    <col min="11013" max="11013" width="90.453125" style="26" customWidth="1"/>
    <col min="11014" max="11034" width="11.54296875" style="26" customWidth="1"/>
    <col min="11035" max="11035" width="13.54296875" style="26" customWidth="1"/>
    <col min="11036" max="11036" width="11.54296875" style="26" customWidth="1"/>
    <col min="11037" max="11037" width="12.1796875" style="26" customWidth="1"/>
    <col min="11038" max="11040" width="11.54296875" style="26" customWidth="1"/>
    <col min="11041" max="11041" width="12.26953125" style="26" customWidth="1"/>
    <col min="11042" max="11042" width="13.26953125" style="26" customWidth="1"/>
    <col min="11043" max="11043" width="16.54296875" style="26" customWidth="1"/>
    <col min="11044" max="11044" width="17.453125" style="26" customWidth="1"/>
    <col min="11045" max="11045" width="14.7265625" style="26" customWidth="1"/>
    <col min="11046" max="11048" width="14.54296875" style="26" customWidth="1"/>
    <col min="11049" max="11049" width="20" style="26" bestFit="1" customWidth="1"/>
    <col min="11050" max="11050" width="20.81640625" style="26" customWidth="1"/>
    <col min="11051" max="11051" width="99" style="26" bestFit="1" customWidth="1"/>
    <col min="11052" max="11052" width="25.81640625" style="26" bestFit="1" customWidth="1"/>
    <col min="11053" max="11268" width="8.81640625" style="26"/>
    <col min="11269" max="11269" width="90.453125" style="26" customWidth="1"/>
    <col min="11270" max="11290" width="11.54296875" style="26" customWidth="1"/>
    <col min="11291" max="11291" width="13.54296875" style="26" customWidth="1"/>
    <col min="11292" max="11292" width="11.54296875" style="26" customWidth="1"/>
    <col min="11293" max="11293" width="12.1796875" style="26" customWidth="1"/>
    <col min="11294" max="11296" width="11.54296875" style="26" customWidth="1"/>
    <col min="11297" max="11297" width="12.26953125" style="26" customWidth="1"/>
    <col min="11298" max="11298" width="13.26953125" style="26" customWidth="1"/>
    <col min="11299" max="11299" width="16.54296875" style="26" customWidth="1"/>
    <col min="11300" max="11300" width="17.453125" style="26" customWidth="1"/>
    <col min="11301" max="11301" width="14.7265625" style="26" customWidth="1"/>
    <col min="11302" max="11304" width="14.54296875" style="26" customWidth="1"/>
    <col min="11305" max="11305" width="20" style="26" bestFit="1" customWidth="1"/>
    <col min="11306" max="11306" width="20.81640625" style="26" customWidth="1"/>
    <col min="11307" max="11307" width="99" style="26" bestFit="1" customWidth="1"/>
    <col min="11308" max="11308" width="25.81640625" style="26" bestFit="1" customWidth="1"/>
    <col min="11309" max="11524" width="8.81640625" style="26"/>
    <col min="11525" max="11525" width="90.453125" style="26" customWidth="1"/>
    <col min="11526" max="11546" width="11.54296875" style="26" customWidth="1"/>
    <col min="11547" max="11547" width="13.54296875" style="26" customWidth="1"/>
    <col min="11548" max="11548" width="11.54296875" style="26" customWidth="1"/>
    <col min="11549" max="11549" width="12.1796875" style="26" customWidth="1"/>
    <col min="11550" max="11552" width="11.54296875" style="26" customWidth="1"/>
    <col min="11553" max="11553" width="12.26953125" style="26" customWidth="1"/>
    <col min="11554" max="11554" width="13.26953125" style="26" customWidth="1"/>
    <col min="11555" max="11555" width="16.54296875" style="26" customWidth="1"/>
    <col min="11556" max="11556" width="17.453125" style="26" customWidth="1"/>
    <col min="11557" max="11557" width="14.7265625" style="26" customWidth="1"/>
    <col min="11558" max="11560" width="14.54296875" style="26" customWidth="1"/>
    <col min="11561" max="11561" width="20" style="26" bestFit="1" customWidth="1"/>
    <col min="11562" max="11562" width="20.81640625" style="26" customWidth="1"/>
    <col min="11563" max="11563" width="99" style="26" bestFit="1" customWidth="1"/>
    <col min="11564" max="11564" width="25.81640625" style="26" bestFit="1" customWidth="1"/>
    <col min="11565" max="11780" width="8.81640625" style="26"/>
    <col min="11781" max="11781" width="90.453125" style="26" customWidth="1"/>
    <col min="11782" max="11802" width="11.54296875" style="26" customWidth="1"/>
    <col min="11803" max="11803" width="13.54296875" style="26" customWidth="1"/>
    <col min="11804" max="11804" width="11.54296875" style="26" customWidth="1"/>
    <col min="11805" max="11805" width="12.1796875" style="26" customWidth="1"/>
    <col min="11806" max="11808" width="11.54296875" style="26" customWidth="1"/>
    <col min="11809" max="11809" width="12.26953125" style="26" customWidth="1"/>
    <col min="11810" max="11810" width="13.26953125" style="26" customWidth="1"/>
    <col min="11811" max="11811" width="16.54296875" style="26" customWidth="1"/>
    <col min="11812" max="11812" width="17.453125" style="26" customWidth="1"/>
    <col min="11813" max="11813" width="14.7265625" style="26" customWidth="1"/>
    <col min="11814" max="11816" width="14.54296875" style="26" customWidth="1"/>
    <col min="11817" max="11817" width="20" style="26" bestFit="1" customWidth="1"/>
    <col min="11818" max="11818" width="20.81640625" style="26" customWidth="1"/>
    <col min="11819" max="11819" width="99" style="26" bestFit="1" customWidth="1"/>
    <col min="11820" max="11820" width="25.81640625" style="26" bestFit="1" customWidth="1"/>
    <col min="11821" max="12036" width="8.81640625" style="26"/>
    <col min="12037" max="12037" width="90.453125" style="26" customWidth="1"/>
    <col min="12038" max="12058" width="11.54296875" style="26" customWidth="1"/>
    <col min="12059" max="12059" width="13.54296875" style="26" customWidth="1"/>
    <col min="12060" max="12060" width="11.54296875" style="26" customWidth="1"/>
    <col min="12061" max="12061" width="12.1796875" style="26" customWidth="1"/>
    <col min="12062" max="12064" width="11.54296875" style="26" customWidth="1"/>
    <col min="12065" max="12065" width="12.26953125" style="26" customWidth="1"/>
    <col min="12066" max="12066" width="13.26953125" style="26" customWidth="1"/>
    <col min="12067" max="12067" width="16.54296875" style="26" customWidth="1"/>
    <col min="12068" max="12068" width="17.453125" style="26" customWidth="1"/>
    <col min="12069" max="12069" width="14.7265625" style="26" customWidth="1"/>
    <col min="12070" max="12072" width="14.54296875" style="26" customWidth="1"/>
    <col min="12073" max="12073" width="20" style="26" bestFit="1" customWidth="1"/>
    <col min="12074" max="12074" width="20.81640625" style="26" customWidth="1"/>
    <col min="12075" max="12075" width="99" style="26" bestFit="1" customWidth="1"/>
    <col min="12076" max="12076" width="25.81640625" style="26" bestFit="1" customWidth="1"/>
    <col min="12077" max="12292" width="8.81640625" style="26"/>
    <col min="12293" max="12293" width="90.453125" style="26" customWidth="1"/>
    <col min="12294" max="12314" width="11.54296875" style="26" customWidth="1"/>
    <col min="12315" max="12315" width="13.54296875" style="26" customWidth="1"/>
    <col min="12316" max="12316" width="11.54296875" style="26" customWidth="1"/>
    <col min="12317" max="12317" width="12.1796875" style="26" customWidth="1"/>
    <col min="12318" max="12320" width="11.54296875" style="26" customWidth="1"/>
    <col min="12321" max="12321" width="12.26953125" style="26" customWidth="1"/>
    <col min="12322" max="12322" width="13.26953125" style="26" customWidth="1"/>
    <col min="12323" max="12323" width="16.54296875" style="26" customWidth="1"/>
    <col min="12324" max="12324" width="17.453125" style="26" customWidth="1"/>
    <col min="12325" max="12325" width="14.7265625" style="26" customWidth="1"/>
    <col min="12326" max="12328" width="14.54296875" style="26" customWidth="1"/>
    <col min="12329" max="12329" width="20" style="26" bestFit="1" customWidth="1"/>
    <col min="12330" max="12330" width="20.81640625" style="26" customWidth="1"/>
    <col min="12331" max="12331" width="99" style="26" bestFit="1" customWidth="1"/>
    <col min="12332" max="12332" width="25.81640625" style="26" bestFit="1" customWidth="1"/>
    <col min="12333" max="12548" width="8.81640625" style="26"/>
    <col min="12549" max="12549" width="90.453125" style="26" customWidth="1"/>
    <col min="12550" max="12570" width="11.54296875" style="26" customWidth="1"/>
    <col min="12571" max="12571" width="13.54296875" style="26" customWidth="1"/>
    <col min="12572" max="12572" width="11.54296875" style="26" customWidth="1"/>
    <col min="12573" max="12573" width="12.1796875" style="26" customWidth="1"/>
    <col min="12574" max="12576" width="11.54296875" style="26" customWidth="1"/>
    <col min="12577" max="12577" width="12.26953125" style="26" customWidth="1"/>
    <col min="12578" max="12578" width="13.26953125" style="26" customWidth="1"/>
    <col min="12579" max="12579" width="16.54296875" style="26" customWidth="1"/>
    <col min="12580" max="12580" width="17.453125" style="26" customWidth="1"/>
    <col min="12581" max="12581" width="14.7265625" style="26" customWidth="1"/>
    <col min="12582" max="12584" width="14.54296875" style="26" customWidth="1"/>
    <col min="12585" max="12585" width="20" style="26" bestFit="1" customWidth="1"/>
    <col min="12586" max="12586" width="20.81640625" style="26" customWidth="1"/>
    <col min="12587" max="12587" width="99" style="26" bestFit="1" customWidth="1"/>
    <col min="12588" max="12588" width="25.81640625" style="26" bestFit="1" customWidth="1"/>
    <col min="12589" max="12804" width="8.81640625" style="26"/>
    <col min="12805" max="12805" width="90.453125" style="26" customWidth="1"/>
    <col min="12806" max="12826" width="11.54296875" style="26" customWidth="1"/>
    <col min="12827" max="12827" width="13.54296875" style="26" customWidth="1"/>
    <col min="12828" max="12828" width="11.54296875" style="26" customWidth="1"/>
    <col min="12829" max="12829" width="12.1796875" style="26" customWidth="1"/>
    <col min="12830" max="12832" width="11.54296875" style="26" customWidth="1"/>
    <col min="12833" max="12833" width="12.26953125" style="26" customWidth="1"/>
    <col min="12834" max="12834" width="13.26953125" style="26" customWidth="1"/>
    <col min="12835" max="12835" width="16.54296875" style="26" customWidth="1"/>
    <col min="12836" max="12836" width="17.453125" style="26" customWidth="1"/>
    <col min="12837" max="12837" width="14.7265625" style="26" customWidth="1"/>
    <col min="12838" max="12840" width="14.54296875" style="26" customWidth="1"/>
    <col min="12841" max="12841" width="20" style="26" bestFit="1" customWidth="1"/>
    <col min="12842" max="12842" width="20.81640625" style="26" customWidth="1"/>
    <col min="12843" max="12843" width="99" style="26" bestFit="1" customWidth="1"/>
    <col min="12844" max="12844" width="25.81640625" style="26" bestFit="1" customWidth="1"/>
    <col min="12845" max="13060" width="8.81640625" style="26"/>
    <col min="13061" max="13061" width="90.453125" style="26" customWidth="1"/>
    <col min="13062" max="13082" width="11.54296875" style="26" customWidth="1"/>
    <col min="13083" max="13083" width="13.54296875" style="26" customWidth="1"/>
    <col min="13084" max="13084" width="11.54296875" style="26" customWidth="1"/>
    <col min="13085" max="13085" width="12.1796875" style="26" customWidth="1"/>
    <col min="13086" max="13088" width="11.54296875" style="26" customWidth="1"/>
    <col min="13089" max="13089" width="12.26953125" style="26" customWidth="1"/>
    <col min="13090" max="13090" width="13.26953125" style="26" customWidth="1"/>
    <col min="13091" max="13091" width="16.54296875" style="26" customWidth="1"/>
    <col min="13092" max="13092" width="17.453125" style="26" customWidth="1"/>
    <col min="13093" max="13093" width="14.7265625" style="26" customWidth="1"/>
    <col min="13094" max="13096" width="14.54296875" style="26" customWidth="1"/>
    <col min="13097" max="13097" width="20" style="26" bestFit="1" customWidth="1"/>
    <col min="13098" max="13098" width="20.81640625" style="26" customWidth="1"/>
    <col min="13099" max="13099" width="99" style="26" bestFit="1" customWidth="1"/>
    <col min="13100" max="13100" width="25.81640625" style="26" bestFit="1" customWidth="1"/>
    <col min="13101" max="13316" width="8.81640625" style="26"/>
    <col min="13317" max="13317" width="90.453125" style="26" customWidth="1"/>
    <col min="13318" max="13338" width="11.54296875" style="26" customWidth="1"/>
    <col min="13339" max="13339" width="13.54296875" style="26" customWidth="1"/>
    <col min="13340" max="13340" width="11.54296875" style="26" customWidth="1"/>
    <col min="13341" max="13341" width="12.1796875" style="26" customWidth="1"/>
    <col min="13342" max="13344" width="11.54296875" style="26" customWidth="1"/>
    <col min="13345" max="13345" width="12.26953125" style="26" customWidth="1"/>
    <col min="13346" max="13346" width="13.26953125" style="26" customWidth="1"/>
    <col min="13347" max="13347" width="16.54296875" style="26" customWidth="1"/>
    <col min="13348" max="13348" width="17.453125" style="26" customWidth="1"/>
    <col min="13349" max="13349" width="14.7265625" style="26" customWidth="1"/>
    <col min="13350" max="13352" width="14.54296875" style="26" customWidth="1"/>
    <col min="13353" max="13353" width="20" style="26" bestFit="1" customWidth="1"/>
    <col min="13354" max="13354" width="20.81640625" style="26" customWidth="1"/>
    <col min="13355" max="13355" width="99" style="26" bestFit="1" customWidth="1"/>
    <col min="13356" max="13356" width="25.81640625" style="26" bestFit="1" customWidth="1"/>
    <col min="13357" max="13572" width="8.81640625" style="26"/>
    <col min="13573" max="13573" width="90.453125" style="26" customWidth="1"/>
    <col min="13574" max="13594" width="11.54296875" style="26" customWidth="1"/>
    <col min="13595" max="13595" width="13.54296875" style="26" customWidth="1"/>
    <col min="13596" max="13596" width="11.54296875" style="26" customWidth="1"/>
    <col min="13597" max="13597" width="12.1796875" style="26" customWidth="1"/>
    <col min="13598" max="13600" width="11.54296875" style="26" customWidth="1"/>
    <col min="13601" max="13601" width="12.26953125" style="26" customWidth="1"/>
    <col min="13602" max="13602" width="13.26953125" style="26" customWidth="1"/>
    <col min="13603" max="13603" width="16.54296875" style="26" customWidth="1"/>
    <col min="13604" max="13604" width="17.453125" style="26" customWidth="1"/>
    <col min="13605" max="13605" width="14.7265625" style="26" customWidth="1"/>
    <col min="13606" max="13608" width="14.54296875" style="26" customWidth="1"/>
    <col min="13609" max="13609" width="20" style="26" bestFit="1" customWidth="1"/>
    <col min="13610" max="13610" width="20.81640625" style="26" customWidth="1"/>
    <col min="13611" max="13611" width="99" style="26" bestFit="1" customWidth="1"/>
    <col min="13612" max="13612" width="25.81640625" style="26" bestFit="1" customWidth="1"/>
    <col min="13613" max="13828" width="8.81640625" style="26"/>
    <col min="13829" max="13829" width="90.453125" style="26" customWidth="1"/>
    <col min="13830" max="13850" width="11.54296875" style="26" customWidth="1"/>
    <col min="13851" max="13851" width="13.54296875" style="26" customWidth="1"/>
    <col min="13852" max="13852" width="11.54296875" style="26" customWidth="1"/>
    <col min="13853" max="13853" width="12.1796875" style="26" customWidth="1"/>
    <col min="13854" max="13856" width="11.54296875" style="26" customWidth="1"/>
    <col min="13857" max="13857" width="12.26953125" style="26" customWidth="1"/>
    <col min="13858" max="13858" width="13.26953125" style="26" customWidth="1"/>
    <col min="13859" max="13859" width="16.54296875" style="26" customWidth="1"/>
    <col min="13860" max="13860" width="17.453125" style="26" customWidth="1"/>
    <col min="13861" max="13861" width="14.7265625" style="26" customWidth="1"/>
    <col min="13862" max="13864" width="14.54296875" style="26" customWidth="1"/>
    <col min="13865" max="13865" width="20" style="26" bestFit="1" customWidth="1"/>
    <col min="13866" max="13866" width="20.81640625" style="26" customWidth="1"/>
    <col min="13867" max="13867" width="99" style="26" bestFit="1" customWidth="1"/>
    <col min="13868" max="13868" width="25.81640625" style="26" bestFit="1" customWidth="1"/>
    <col min="13869" max="14084" width="8.81640625" style="26"/>
    <col min="14085" max="14085" width="90.453125" style="26" customWidth="1"/>
    <col min="14086" max="14106" width="11.54296875" style="26" customWidth="1"/>
    <col min="14107" max="14107" width="13.54296875" style="26" customWidth="1"/>
    <col min="14108" max="14108" width="11.54296875" style="26" customWidth="1"/>
    <col min="14109" max="14109" width="12.1796875" style="26" customWidth="1"/>
    <col min="14110" max="14112" width="11.54296875" style="26" customWidth="1"/>
    <col min="14113" max="14113" width="12.26953125" style="26" customWidth="1"/>
    <col min="14114" max="14114" width="13.26953125" style="26" customWidth="1"/>
    <col min="14115" max="14115" width="16.54296875" style="26" customWidth="1"/>
    <col min="14116" max="14116" width="17.453125" style="26" customWidth="1"/>
    <col min="14117" max="14117" width="14.7265625" style="26" customWidth="1"/>
    <col min="14118" max="14120" width="14.54296875" style="26" customWidth="1"/>
    <col min="14121" max="14121" width="20" style="26" bestFit="1" customWidth="1"/>
    <col min="14122" max="14122" width="20.81640625" style="26" customWidth="1"/>
    <col min="14123" max="14123" width="99" style="26" bestFit="1" customWidth="1"/>
    <col min="14124" max="14124" width="25.81640625" style="26" bestFit="1" customWidth="1"/>
    <col min="14125" max="14340" width="8.81640625" style="26"/>
    <col min="14341" max="14341" width="90.453125" style="26" customWidth="1"/>
    <col min="14342" max="14362" width="11.54296875" style="26" customWidth="1"/>
    <col min="14363" max="14363" width="13.54296875" style="26" customWidth="1"/>
    <col min="14364" max="14364" width="11.54296875" style="26" customWidth="1"/>
    <col min="14365" max="14365" width="12.1796875" style="26" customWidth="1"/>
    <col min="14366" max="14368" width="11.54296875" style="26" customWidth="1"/>
    <col min="14369" max="14369" width="12.26953125" style="26" customWidth="1"/>
    <col min="14370" max="14370" width="13.26953125" style="26" customWidth="1"/>
    <col min="14371" max="14371" width="16.54296875" style="26" customWidth="1"/>
    <col min="14372" max="14372" width="17.453125" style="26" customWidth="1"/>
    <col min="14373" max="14373" width="14.7265625" style="26" customWidth="1"/>
    <col min="14374" max="14376" width="14.54296875" style="26" customWidth="1"/>
    <col min="14377" max="14377" width="20" style="26" bestFit="1" customWidth="1"/>
    <col min="14378" max="14378" width="20.81640625" style="26" customWidth="1"/>
    <col min="14379" max="14379" width="99" style="26" bestFit="1" customWidth="1"/>
    <col min="14380" max="14380" width="25.81640625" style="26" bestFit="1" customWidth="1"/>
    <col min="14381" max="14596" width="8.81640625" style="26"/>
    <col min="14597" max="14597" width="90.453125" style="26" customWidth="1"/>
    <col min="14598" max="14618" width="11.54296875" style="26" customWidth="1"/>
    <col min="14619" max="14619" width="13.54296875" style="26" customWidth="1"/>
    <col min="14620" max="14620" width="11.54296875" style="26" customWidth="1"/>
    <col min="14621" max="14621" width="12.1796875" style="26" customWidth="1"/>
    <col min="14622" max="14624" width="11.54296875" style="26" customWidth="1"/>
    <col min="14625" max="14625" width="12.26953125" style="26" customWidth="1"/>
    <col min="14626" max="14626" width="13.26953125" style="26" customWidth="1"/>
    <col min="14627" max="14627" width="16.54296875" style="26" customWidth="1"/>
    <col min="14628" max="14628" width="17.453125" style="26" customWidth="1"/>
    <col min="14629" max="14629" width="14.7265625" style="26" customWidth="1"/>
    <col min="14630" max="14632" width="14.54296875" style="26" customWidth="1"/>
    <col min="14633" max="14633" width="20" style="26" bestFit="1" customWidth="1"/>
    <col min="14634" max="14634" width="20.81640625" style="26" customWidth="1"/>
    <col min="14635" max="14635" width="99" style="26" bestFit="1" customWidth="1"/>
    <col min="14636" max="14636" width="25.81640625" style="26" bestFit="1" customWidth="1"/>
    <col min="14637" max="14852" width="8.81640625" style="26"/>
    <col min="14853" max="14853" width="90.453125" style="26" customWidth="1"/>
    <col min="14854" max="14874" width="11.54296875" style="26" customWidth="1"/>
    <col min="14875" max="14875" width="13.54296875" style="26" customWidth="1"/>
    <col min="14876" max="14876" width="11.54296875" style="26" customWidth="1"/>
    <col min="14877" max="14877" width="12.1796875" style="26" customWidth="1"/>
    <col min="14878" max="14880" width="11.54296875" style="26" customWidth="1"/>
    <col min="14881" max="14881" width="12.26953125" style="26" customWidth="1"/>
    <col min="14882" max="14882" width="13.26953125" style="26" customWidth="1"/>
    <col min="14883" max="14883" width="16.54296875" style="26" customWidth="1"/>
    <col min="14884" max="14884" width="17.453125" style="26" customWidth="1"/>
    <col min="14885" max="14885" width="14.7265625" style="26" customWidth="1"/>
    <col min="14886" max="14888" width="14.54296875" style="26" customWidth="1"/>
    <col min="14889" max="14889" width="20" style="26" bestFit="1" customWidth="1"/>
    <col min="14890" max="14890" width="20.81640625" style="26" customWidth="1"/>
    <col min="14891" max="14891" width="99" style="26" bestFit="1" customWidth="1"/>
    <col min="14892" max="14892" width="25.81640625" style="26" bestFit="1" customWidth="1"/>
    <col min="14893" max="15108" width="8.81640625" style="26"/>
    <col min="15109" max="15109" width="90.453125" style="26" customWidth="1"/>
    <col min="15110" max="15130" width="11.54296875" style="26" customWidth="1"/>
    <col min="15131" max="15131" width="13.54296875" style="26" customWidth="1"/>
    <col min="15132" max="15132" width="11.54296875" style="26" customWidth="1"/>
    <col min="15133" max="15133" width="12.1796875" style="26" customWidth="1"/>
    <col min="15134" max="15136" width="11.54296875" style="26" customWidth="1"/>
    <col min="15137" max="15137" width="12.26953125" style="26" customWidth="1"/>
    <col min="15138" max="15138" width="13.26953125" style="26" customWidth="1"/>
    <col min="15139" max="15139" width="16.54296875" style="26" customWidth="1"/>
    <col min="15140" max="15140" width="17.453125" style="26" customWidth="1"/>
    <col min="15141" max="15141" width="14.7265625" style="26" customWidth="1"/>
    <col min="15142" max="15144" width="14.54296875" style="26" customWidth="1"/>
    <col min="15145" max="15145" width="20" style="26" bestFit="1" customWidth="1"/>
    <col min="15146" max="15146" width="20.81640625" style="26" customWidth="1"/>
    <col min="15147" max="15147" width="99" style="26" bestFit="1" customWidth="1"/>
    <col min="15148" max="15148" width="25.81640625" style="26" bestFit="1" customWidth="1"/>
    <col min="15149" max="15364" width="8.81640625" style="26"/>
    <col min="15365" max="15365" width="90.453125" style="26" customWidth="1"/>
    <col min="15366" max="15386" width="11.54296875" style="26" customWidth="1"/>
    <col min="15387" max="15387" width="13.54296875" style="26" customWidth="1"/>
    <col min="15388" max="15388" width="11.54296875" style="26" customWidth="1"/>
    <col min="15389" max="15389" width="12.1796875" style="26" customWidth="1"/>
    <col min="15390" max="15392" width="11.54296875" style="26" customWidth="1"/>
    <col min="15393" max="15393" width="12.26953125" style="26" customWidth="1"/>
    <col min="15394" max="15394" width="13.26953125" style="26" customWidth="1"/>
    <col min="15395" max="15395" width="16.54296875" style="26" customWidth="1"/>
    <col min="15396" max="15396" width="17.453125" style="26" customWidth="1"/>
    <col min="15397" max="15397" width="14.7265625" style="26" customWidth="1"/>
    <col min="15398" max="15400" width="14.54296875" style="26" customWidth="1"/>
    <col min="15401" max="15401" width="20" style="26" bestFit="1" customWidth="1"/>
    <col min="15402" max="15402" width="20.81640625" style="26" customWidth="1"/>
    <col min="15403" max="15403" width="99" style="26" bestFit="1" customWidth="1"/>
    <col min="15404" max="15404" width="25.81640625" style="26" bestFit="1" customWidth="1"/>
    <col min="15405" max="15620" width="8.81640625" style="26"/>
    <col min="15621" max="15621" width="90.453125" style="26" customWidth="1"/>
    <col min="15622" max="15642" width="11.54296875" style="26" customWidth="1"/>
    <col min="15643" max="15643" width="13.54296875" style="26" customWidth="1"/>
    <col min="15644" max="15644" width="11.54296875" style="26" customWidth="1"/>
    <col min="15645" max="15645" width="12.1796875" style="26" customWidth="1"/>
    <col min="15646" max="15648" width="11.54296875" style="26" customWidth="1"/>
    <col min="15649" max="15649" width="12.26953125" style="26" customWidth="1"/>
    <col min="15650" max="15650" width="13.26953125" style="26" customWidth="1"/>
    <col min="15651" max="15651" width="16.54296875" style="26" customWidth="1"/>
    <col min="15652" max="15652" width="17.453125" style="26" customWidth="1"/>
    <col min="15653" max="15653" width="14.7265625" style="26" customWidth="1"/>
    <col min="15654" max="15656" width="14.54296875" style="26" customWidth="1"/>
    <col min="15657" max="15657" width="20" style="26" bestFit="1" customWidth="1"/>
    <col min="15658" max="15658" width="20.81640625" style="26" customWidth="1"/>
    <col min="15659" max="15659" width="99" style="26" bestFit="1" customWidth="1"/>
    <col min="15660" max="15660" width="25.81640625" style="26" bestFit="1" customWidth="1"/>
    <col min="15661" max="15876" width="8.81640625" style="26"/>
    <col min="15877" max="15877" width="90.453125" style="26" customWidth="1"/>
    <col min="15878" max="15898" width="11.54296875" style="26" customWidth="1"/>
    <col min="15899" max="15899" width="13.54296875" style="26" customWidth="1"/>
    <col min="15900" max="15900" width="11.54296875" style="26" customWidth="1"/>
    <col min="15901" max="15901" width="12.1796875" style="26" customWidth="1"/>
    <col min="15902" max="15904" width="11.54296875" style="26" customWidth="1"/>
    <col min="15905" max="15905" width="12.26953125" style="26" customWidth="1"/>
    <col min="15906" max="15906" width="13.26953125" style="26" customWidth="1"/>
    <col min="15907" max="15907" width="16.54296875" style="26" customWidth="1"/>
    <col min="15908" max="15908" width="17.453125" style="26" customWidth="1"/>
    <col min="15909" max="15909" width="14.7265625" style="26" customWidth="1"/>
    <col min="15910" max="15912" width="14.54296875" style="26" customWidth="1"/>
    <col min="15913" max="15913" width="20" style="26" bestFit="1" customWidth="1"/>
    <col min="15914" max="15914" width="20.81640625" style="26" customWidth="1"/>
    <col min="15915" max="15915" width="99" style="26" bestFit="1" customWidth="1"/>
    <col min="15916" max="15916" width="25.81640625" style="26" bestFit="1" customWidth="1"/>
    <col min="15917" max="16132" width="8.81640625" style="26"/>
    <col min="16133" max="16133" width="90.453125" style="26" customWidth="1"/>
    <col min="16134" max="16154" width="11.54296875" style="26" customWidth="1"/>
    <col min="16155" max="16155" width="13.54296875" style="26" customWidth="1"/>
    <col min="16156" max="16156" width="11.54296875" style="26" customWidth="1"/>
    <col min="16157" max="16157" width="12.1796875" style="26" customWidth="1"/>
    <col min="16158" max="16160" width="11.54296875" style="26" customWidth="1"/>
    <col min="16161" max="16161" width="12.26953125" style="26" customWidth="1"/>
    <col min="16162" max="16162" width="13.26953125" style="26" customWidth="1"/>
    <col min="16163" max="16163" width="16.54296875" style="26" customWidth="1"/>
    <col min="16164" max="16164" width="17.453125" style="26" customWidth="1"/>
    <col min="16165" max="16165" width="14.7265625" style="26" customWidth="1"/>
    <col min="16166" max="16168" width="14.54296875" style="26" customWidth="1"/>
    <col min="16169" max="16169" width="20" style="26" bestFit="1" customWidth="1"/>
    <col min="16170" max="16170" width="20.81640625" style="26" customWidth="1"/>
    <col min="16171" max="16171" width="99" style="26" bestFit="1" customWidth="1"/>
    <col min="16172" max="16172" width="25.81640625" style="26" bestFit="1" customWidth="1"/>
    <col min="16173" max="16384" width="8.81640625" style="26"/>
  </cols>
  <sheetData>
    <row r="1" spans="1:257" ht="38.25" customHeight="1" thickBot="1">
      <c r="A1" s="477" t="s">
        <v>330</v>
      </c>
      <c r="B1" s="478"/>
      <c r="C1" s="478"/>
      <c r="D1" s="478"/>
      <c r="E1" s="478"/>
      <c r="F1" s="478"/>
      <c r="G1" s="478"/>
      <c r="H1" s="478"/>
      <c r="I1" s="478"/>
      <c r="J1" s="478"/>
      <c r="K1" s="478"/>
      <c r="L1" s="478"/>
      <c r="M1" s="478"/>
      <c r="N1" s="478"/>
      <c r="O1" s="478"/>
      <c r="P1" s="478"/>
      <c r="Q1" s="479"/>
      <c r="R1" s="479"/>
      <c r="S1" s="479"/>
      <c r="T1" s="479"/>
      <c r="U1" s="479"/>
      <c r="V1" s="479"/>
      <c r="W1" s="479"/>
      <c r="X1" s="479"/>
      <c r="Y1" s="479"/>
      <c r="Z1" s="479"/>
      <c r="AA1" s="23"/>
      <c r="AB1" s="23"/>
    </row>
    <row r="2" spans="1:257" s="175" customFormat="1" ht="18.649999999999999" customHeight="1" thickBot="1">
      <c r="A2" s="280" t="s">
        <v>225</v>
      </c>
      <c r="B2" s="281" t="s">
        <v>226</v>
      </c>
      <c r="C2" s="281" t="s">
        <v>227</v>
      </c>
      <c r="D2" s="281" t="s">
        <v>228</v>
      </c>
      <c r="E2" s="281" t="s">
        <v>229</v>
      </c>
      <c r="F2" s="281" t="s">
        <v>230</v>
      </c>
      <c r="G2" s="281" t="s">
        <v>231</v>
      </c>
      <c r="H2" s="281" t="s">
        <v>232</v>
      </c>
      <c r="I2" s="281" t="s">
        <v>233</v>
      </c>
      <c r="J2" s="281" t="s">
        <v>234</v>
      </c>
      <c r="K2" s="281" t="s">
        <v>235</v>
      </c>
      <c r="L2" s="281" t="s">
        <v>236</v>
      </c>
      <c r="M2" s="281" t="s">
        <v>237</v>
      </c>
      <c r="N2" s="282">
        <v>1992</v>
      </c>
      <c r="O2" s="282">
        <v>1993</v>
      </c>
      <c r="P2" s="282">
        <v>1994</v>
      </c>
      <c r="Q2" s="282">
        <v>1995</v>
      </c>
      <c r="R2" s="282">
        <v>1996</v>
      </c>
      <c r="S2" s="282">
        <v>1997</v>
      </c>
      <c r="T2" s="282">
        <v>1998</v>
      </c>
      <c r="U2" s="282">
        <v>1999</v>
      </c>
      <c r="V2" s="282">
        <v>2000</v>
      </c>
      <c r="W2" s="282">
        <v>2001</v>
      </c>
      <c r="X2" s="282">
        <v>2002</v>
      </c>
      <c r="Y2" s="282">
        <v>2003</v>
      </c>
      <c r="Z2" s="282">
        <v>2004</v>
      </c>
      <c r="AA2" s="282">
        <v>2005</v>
      </c>
      <c r="AB2" s="283">
        <v>2006</v>
      </c>
      <c r="AC2" s="283">
        <v>2007</v>
      </c>
      <c r="AD2" s="283">
        <v>2008</v>
      </c>
      <c r="AE2" s="283">
        <v>2009</v>
      </c>
      <c r="AF2" s="283">
        <v>2010</v>
      </c>
      <c r="AG2" s="283">
        <v>2011</v>
      </c>
      <c r="AH2" s="283">
        <v>2012</v>
      </c>
      <c r="AI2" s="283">
        <v>2013</v>
      </c>
      <c r="AJ2" s="283">
        <v>2014</v>
      </c>
      <c r="AK2" s="284">
        <v>2015</v>
      </c>
      <c r="AL2" s="284">
        <v>2016</v>
      </c>
      <c r="AM2" s="284">
        <v>2017</v>
      </c>
      <c r="AN2" s="284">
        <v>2018</v>
      </c>
      <c r="AO2" s="284">
        <v>2019</v>
      </c>
      <c r="AP2" s="284">
        <v>2020</v>
      </c>
      <c r="AQ2" s="284">
        <v>2021</v>
      </c>
      <c r="AR2" s="284">
        <v>2022</v>
      </c>
      <c r="AS2" s="284">
        <v>2023</v>
      </c>
      <c r="AT2" s="284">
        <v>2024</v>
      </c>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row>
    <row r="3" spans="1:257" s="176" customFormat="1" ht="18.649999999999999" customHeight="1">
      <c r="A3" s="285" t="s">
        <v>424</v>
      </c>
      <c r="B3" s="286"/>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8"/>
      <c r="AC3" s="289"/>
      <c r="AD3" s="289"/>
      <c r="AE3" s="289"/>
      <c r="AF3" s="289"/>
      <c r="AG3" s="289"/>
      <c r="AH3" s="289"/>
      <c r="AI3" s="289"/>
      <c r="AJ3" s="289"/>
      <c r="AK3" s="289"/>
      <c r="AL3" s="289"/>
      <c r="AM3" s="289"/>
      <c r="AN3" s="289"/>
      <c r="AO3" s="289"/>
      <c r="AP3" s="289"/>
      <c r="AQ3" s="289"/>
      <c r="AR3" s="289"/>
      <c r="AS3" s="289"/>
      <c r="AT3" s="289"/>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174"/>
      <c r="HL3" s="174"/>
      <c r="HM3" s="174"/>
      <c r="HN3" s="174"/>
      <c r="HO3" s="174"/>
      <c r="HP3" s="174"/>
      <c r="HQ3" s="174"/>
      <c r="HR3" s="174"/>
      <c r="HS3" s="174"/>
      <c r="HT3" s="174"/>
      <c r="HU3" s="174"/>
      <c r="HV3" s="174"/>
      <c r="HW3" s="174"/>
      <c r="HX3" s="174"/>
      <c r="HY3" s="174"/>
      <c r="HZ3" s="174"/>
      <c r="IA3" s="174"/>
      <c r="IB3" s="174"/>
      <c r="IC3" s="174"/>
      <c r="ID3" s="174"/>
      <c r="IE3" s="174"/>
      <c r="IF3" s="174"/>
      <c r="IG3" s="174"/>
      <c r="IH3" s="174"/>
      <c r="II3" s="174"/>
      <c r="IJ3" s="174"/>
      <c r="IK3" s="174"/>
      <c r="IL3" s="174"/>
      <c r="IM3" s="174"/>
      <c r="IN3" s="174"/>
      <c r="IO3" s="174"/>
      <c r="IP3" s="174"/>
      <c r="IQ3" s="174"/>
      <c r="IR3" s="174"/>
      <c r="IS3" s="174"/>
      <c r="IT3" s="174"/>
      <c r="IU3" s="174"/>
      <c r="IV3" s="174"/>
      <c r="IW3" s="174"/>
    </row>
    <row r="4" spans="1:257" s="176" customFormat="1" ht="18.649999999999999" customHeight="1">
      <c r="A4" s="290" t="s">
        <v>238</v>
      </c>
      <c r="B4" s="291">
        <v>0</v>
      </c>
      <c r="C4" s="292">
        <v>0</v>
      </c>
      <c r="D4" s="292">
        <v>0</v>
      </c>
      <c r="E4" s="292">
        <v>0</v>
      </c>
      <c r="F4" s="292">
        <v>0</v>
      </c>
      <c r="G4" s="292">
        <v>10.199999999999999</v>
      </c>
      <c r="H4" s="291">
        <v>8</v>
      </c>
      <c r="I4" s="291">
        <v>4.7</v>
      </c>
      <c r="J4" s="291">
        <v>7.7</v>
      </c>
      <c r="K4" s="291">
        <v>8.3000000000000007</v>
      </c>
      <c r="L4" s="291">
        <v>16.2</v>
      </c>
      <c r="M4" s="291">
        <v>17.7</v>
      </c>
      <c r="N4" s="291">
        <v>11.2</v>
      </c>
      <c r="O4" s="291">
        <v>17.3</v>
      </c>
      <c r="P4" s="291">
        <v>20.5</v>
      </c>
      <c r="Q4" s="291">
        <v>32.5</v>
      </c>
      <c r="R4" s="291">
        <v>26</v>
      </c>
      <c r="S4" s="291">
        <v>28.1</v>
      </c>
      <c r="T4" s="291">
        <v>22</v>
      </c>
      <c r="U4" s="291">
        <v>14.7</v>
      </c>
      <c r="V4" s="291">
        <v>13.9</v>
      </c>
      <c r="W4" s="291">
        <v>16.5</v>
      </c>
      <c r="X4" s="291">
        <v>6.1</v>
      </c>
      <c r="Y4" s="291">
        <v>11.6</v>
      </c>
      <c r="Z4" s="291">
        <v>8.5</v>
      </c>
      <c r="AA4" s="291">
        <v>12.2</v>
      </c>
      <c r="AB4" s="293">
        <v>35.4</v>
      </c>
      <c r="AC4" s="294">
        <v>35.168999999999997</v>
      </c>
      <c r="AD4" s="294">
        <v>25.53447087</v>
      </c>
      <c r="AE4" s="294">
        <v>27.412362430000002</v>
      </c>
      <c r="AF4" s="294">
        <v>39.998391389999995</v>
      </c>
      <c r="AG4" s="294">
        <v>90.166620269999981</v>
      </c>
      <c r="AH4" s="295">
        <v>57.45</v>
      </c>
      <c r="AI4" s="296">
        <v>52.1</v>
      </c>
      <c r="AJ4" s="296">
        <v>37.353348319999995</v>
      </c>
      <c r="AK4" s="297">
        <v>21.373337419999999</v>
      </c>
      <c r="AL4" s="297">
        <v>16.02998393</v>
      </c>
      <c r="AM4" s="297">
        <v>5.4</v>
      </c>
      <c r="AN4" s="297">
        <v>30.668736860000003</v>
      </c>
      <c r="AO4" s="297">
        <v>22.312997709999998</v>
      </c>
      <c r="AP4" s="297">
        <v>40.184699219999999</v>
      </c>
      <c r="AQ4" s="297">
        <v>41.9</v>
      </c>
      <c r="AR4" s="297">
        <v>16.119304669999998</v>
      </c>
      <c r="AS4" s="297">
        <v>14.6</v>
      </c>
      <c r="AT4" s="297">
        <v>27.8</v>
      </c>
      <c r="AU4" s="174"/>
      <c r="AV4" s="174"/>
      <c r="AW4" s="174"/>
      <c r="AX4" s="174"/>
      <c r="AY4" s="174"/>
      <c r="AZ4" s="174"/>
      <c r="BA4" s="174"/>
      <c r="BB4" s="174"/>
      <c r="BC4" s="174"/>
      <c r="BD4" s="174"/>
      <c r="BE4" s="174"/>
      <c r="BF4" s="174"/>
      <c r="BG4" s="174"/>
      <c r="BH4" s="174"/>
      <c r="BI4" s="174"/>
      <c r="BJ4" s="174"/>
      <c r="BK4" s="174"/>
      <c r="BL4" s="174"/>
      <c r="BM4" s="174"/>
      <c r="BN4" s="174"/>
      <c r="BO4" s="174"/>
      <c r="BP4" s="174"/>
      <c r="BQ4" s="174"/>
      <c r="BR4" s="174"/>
      <c r="BS4" s="174"/>
      <c r="BT4" s="174"/>
      <c r="BU4" s="174"/>
      <c r="BV4" s="174"/>
      <c r="BW4" s="174"/>
      <c r="BX4" s="174"/>
      <c r="BY4" s="174"/>
      <c r="BZ4" s="174"/>
      <c r="CA4" s="174"/>
      <c r="CB4" s="174"/>
      <c r="CC4" s="174"/>
      <c r="CD4" s="174"/>
      <c r="CE4" s="174"/>
      <c r="CF4" s="174"/>
      <c r="CG4" s="174"/>
      <c r="CH4" s="174"/>
      <c r="CI4" s="174"/>
      <c r="CJ4" s="174"/>
      <c r="CK4" s="174"/>
      <c r="CL4" s="174"/>
      <c r="CM4" s="174"/>
      <c r="CN4" s="174"/>
      <c r="CO4" s="174"/>
      <c r="CP4" s="174"/>
      <c r="CQ4" s="174"/>
      <c r="CR4" s="174"/>
      <c r="CS4" s="174"/>
      <c r="CT4" s="174"/>
      <c r="CU4" s="174"/>
      <c r="CV4" s="174"/>
      <c r="CW4" s="174"/>
      <c r="CX4" s="174"/>
      <c r="CY4" s="174"/>
      <c r="CZ4" s="174"/>
      <c r="DA4" s="174"/>
      <c r="DB4" s="174"/>
      <c r="DC4" s="174"/>
      <c r="DD4" s="174"/>
      <c r="DE4" s="174"/>
      <c r="DF4" s="174"/>
      <c r="DG4" s="174"/>
      <c r="DH4" s="174"/>
      <c r="DI4" s="174"/>
      <c r="DJ4" s="174"/>
      <c r="DK4" s="174"/>
      <c r="DL4" s="174"/>
      <c r="DM4" s="174"/>
      <c r="DN4" s="174"/>
      <c r="DO4" s="174"/>
      <c r="DP4" s="174"/>
      <c r="DQ4" s="174"/>
      <c r="DR4" s="174"/>
      <c r="DS4" s="174"/>
      <c r="DT4" s="174"/>
      <c r="DU4" s="174"/>
      <c r="DV4" s="174"/>
      <c r="DW4" s="174"/>
      <c r="DX4" s="174"/>
      <c r="DY4" s="174"/>
      <c r="DZ4" s="174"/>
      <c r="EA4" s="174"/>
      <c r="EB4" s="174"/>
      <c r="EC4" s="174"/>
      <c r="ED4" s="174"/>
      <c r="EE4" s="174"/>
      <c r="EF4" s="174"/>
      <c r="EG4" s="174"/>
      <c r="EH4" s="174"/>
      <c r="EI4" s="174"/>
      <c r="EJ4" s="174"/>
      <c r="EK4" s="174"/>
      <c r="EL4" s="174"/>
      <c r="EM4" s="174"/>
      <c r="EN4" s="174"/>
      <c r="EO4" s="174"/>
      <c r="EP4" s="174"/>
      <c r="EQ4" s="174"/>
      <c r="ER4" s="174"/>
      <c r="ES4" s="174"/>
      <c r="ET4" s="174"/>
      <c r="EU4" s="174"/>
      <c r="EV4" s="174"/>
      <c r="EW4" s="174"/>
      <c r="EX4" s="174"/>
      <c r="EY4" s="174"/>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c r="HO4" s="174"/>
      <c r="HP4" s="174"/>
      <c r="HQ4" s="174"/>
      <c r="HR4" s="174"/>
      <c r="HS4" s="174"/>
      <c r="HT4" s="174"/>
      <c r="HU4" s="174"/>
      <c r="HV4" s="174"/>
      <c r="HW4" s="174"/>
      <c r="HX4" s="174"/>
      <c r="HY4" s="174"/>
      <c r="HZ4" s="174"/>
      <c r="IA4" s="174"/>
      <c r="IB4" s="174"/>
      <c r="IC4" s="174"/>
      <c r="ID4" s="174"/>
      <c r="IE4" s="174"/>
      <c r="IF4" s="174"/>
      <c r="IG4" s="174"/>
      <c r="IH4" s="174"/>
      <c r="II4" s="174"/>
      <c r="IJ4" s="174"/>
      <c r="IK4" s="174"/>
      <c r="IL4" s="174"/>
      <c r="IM4" s="174"/>
      <c r="IN4" s="174"/>
      <c r="IO4" s="174"/>
      <c r="IP4" s="174"/>
      <c r="IQ4" s="174"/>
      <c r="IR4" s="174"/>
      <c r="IS4" s="174"/>
      <c r="IT4" s="174"/>
      <c r="IU4" s="174"/>
      <c r="IV4" s="174"/>
      <c r="IW4" s="174"/>
    </row>
    <row r="5" spans="1:257" s="176" customFormat="1" ht="18.649999999999999" customHeight="1">
      <c r="A5" s="298" t="s">
        <v>331</v>
      </c>
      <c r="B5" s="299">
        <v>0</v>
      </c>
      <c r="C5" s="299">
        <v>0</v>
      </c>
      <c r="D5" s="299">
        <v>0</v>
      </c>
      <c r="E5" s="299">
        <v>0</v>
      </c>
      <c r="F5" s="299">
        <v>0</v>
      </c>
      <c r="G5" s="299">
        <v>0</v>
      </c>
      <c r="H5" s="299">
        <v>0</v>
      </c>
      <c r="I5" s="299">
        <v>0</v>
      </c>
      <c r="J5" s="299">
        <v>0</v>
      </c>
      <c r="K5" s="299">
        <v>0</v>
      </c>
      <c r="L5" s="299">
        <v>0</v>
      </c>
      <c r="M5" s="299">
        <v>0</v>
      </c>
      <c r="N5" s="299">
        <v>0</v>
      </c>
      <c r="O5" s="299">
        <v>0</v>
      </c>
      <c r="P5" s="299">
        <v>0</v>
      </c>
      <c r="Q5" s="299">
        <v>0</v>
      </c>
      <c r="R5" s="299">
        <v>0</v>
      </c>
      <c r="S5" s="299">
        <v>0</v>
      </c>
      <c r="T5" s="299">
        <v>0</v>
      </c>
      <c r="U5" s="299">
        <v>0</v>
      </c>
      <c r="V5" s="299">
        <v>0</v>
      </c>
      <c r="W5" s="299">
        <v>0</v>
      </c>
      <c r="X5" s="299">
        <v>0</v>
      </c>
      <c r="Y5" s="299">
        <v>0</v>
      </c>
      <c r="Z5" s="299">
        <v>0</v>
      </c>
      <c r="AA5" s="299">
        <v>0</v>
      </c>
      <c r="AB5" s="293">
        <v>0.9</v>
      </c>
      <c r="AC5" s="294">
        <v>1.0369999999999999</v>
      </c>
      <c r="AD5" s="294">
        <v>1.3368422</v>
      </c>
      <c r="AE5" s="294">
        <v>0.59909880000000004</v>
      </c>
      <c r="AF5" s="294">
        <v>1.2177011199999999</v>
      </c>
      <c r="AG5" s="294">
        <v>0.82124492000000027</v>
      </c>
      <c r="AH5" s="295">
        <v>0.380297</v>
      </c>
      <c r="AI5" s="296">
        <v>0</v>
      </c>
      <c r="AJ5" s="296">
        <v>0.1</v>
      </c>
      <c r="AK5" s="297">
        <v>1.3566744300000002</v>
      </c>
      <c r="AL5" s="297">
        <v>1.2080949699999999</v>
      </c>
      <c r="AM5" s="297">
        <v>1.4</v>
      </c>
      <c r="AN5" s="297">
        <v>0.78166014000000006</v>
      </c>
      <c r="AO5" s="297">
        <v>1.256752E-2</v>
      </c>
      <c r="AP5" s="297">
        <v>0</v>
      </c>
      <c r="AQ5" s="297">
        <v>0</v>
      </c>
      <c r="AR5" s="297">
        <v>0</v>
      </c>
      <c r="AS5" s="297">
        <v>0</v>
      </c>
      <c r="AT5" s="297">
        <v>0</v>
      </c>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74"/>
      <c r="IW5" s="174"/>
    </row>
    <row r="6" spans="1:257" s="176" customFormat="1" ht="18.649999999999999" customHeight="1" thickBot="1">
      <c r="A6" s="298" t="s">
        <v>239</v>
      </c>
      <c r="B6" s="299">
        <v>30</v>
      </c>
      <c r="C6" s="299">
        <v>17.899999999999999</v>
      </c>
      <c r="D6" s="299">
        <v>61.7</v>
      </c>
      <c r="E6" s="299">
        <v>55.1</v>
      </c>
      <c r="F6" s="299">
        <v>9</v>
      </c>
      <c r="G6" s="299">
        <v>46.4</v>
      </c>
      <c r="H6" s="299">
        <v>9.1</v>
      </c>
      <c r="I6" s="299">
        <v>78.599999999999994</v>
      </c>
      <c r="J6" s="299">
        <v>7.6</v>
      </c>
      <c r="K6" s="299">
        <v>5.3</v>
      </c>
      <c r="L6" s="299">
        <v>4.5</v>
      </c>
      <c r="M6" s="299">
        <v>4</v>
      </c>
      <c r="N6" s="299">
        <v>0.9</v>
      </c>
      <c r="O6" s="299">
        <v>85.8</v>
      </c>
      <c r="P6" s="299">
        <v>39.4</v>
      </c>
      <c r="Q6" s="299">
        <v>39.299999999999997</v>
      </c>
      <c r="R6" s="299">
        <v>45.1</v>
      </c>
      <c r="S6" s="299">
        <v>-42.6</v>
      </c>
      <c r="T6" s="299">
        <v>0</v>
      </c>
      <c r="U6" s="299">
        <v>14.1</v>
      </c>
      <c r="V6" s="299">
        <v>47</v>
      </c>
      <c r="W6" s="299">
        <v>6.2</v>
      </c>
      <c r="X6" s="299">
        <v>8.8000000000000007</v>
      </c>
      <c r="Y6" s="299">
        <v>68.400000000000006</v>
      </c>
      <c r="Z6" s="299">
        <v>75.900000000000006</v>
      </c>
      <c r="AA6" s="299">
        <v>53.8</v>
      </c>
      <c r="AB6" s="300">
        <v>360</v>
      </c>
      <c r="AC6" s="301">
        <v>60.4</v>
      </c>
      <c r="AD6" s="301">
        <v>37.299999999999997</v>
      </c>
      <c r="AE6" s="301">
        <v>135.69999999999999</v>
      </c>
      <c r="AF6" s="301">
        <v>56.4</v>
      </c>
      <c r="AG6" s="301">
        <v>102.95</v>
      </c>
      <c r="AH6" s="302">
        <v>114.5</v>
      </c>
      <c r="AI6" s="303">
        <v>103.59</v>
      </c>
      <c r="AJ6" s="303">
        <v>101.7</v>
      </c>
      <c r="AK6" s="304">
        <v>81.39589715000001</v>
      </c>
      <c r="AL6" s="304">
        <v>34.134514600000003</v>
      </c>
      <c r="AM6" s="304">
        <v>58.9</v>
      </c>
      <c r="AN6" s="304">
        <v>51.766300999999999</v>
      </c>
      <c r="AO6" s="304">
        <v>55.546022000000001</v>
      </c>
      <c r="AP6" s="304">
        <v>106.55452</v>
      </c>
      <c r="AQ6" s="304">
        <v>66.7</v>
      </c>
      <c r="AR6" s="304">
        <v>10.4</v>
      </c>
      <c r="AS6" s="304">
        <v>4.7</v>
      </c>
      <c r="AT6" s="304">
        <v>11.5</v>
      </c>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row>
    <row r="7" spans="1:257" s="177" customFormat="1" ht="18.649999999999999" customHeight="1" thickBot="1">
      <c r="A7" s="305" t="s">
        <v>240</v>
      </c>
      <c r="B7" s="306">
        <f t="shared" ref="B7:AJ7" si="0">SUM(B4:B6)</f>
        <v>30</v>
      </c>
      <c r="C7" s="306">
        <f t="shared" si="0"/>
        <v>17.899999999999999</v>
      </c>
      <c r="D7" s="306">
        <f t="shared" si="0"/>
        <v>61.7</v>
      </c>
      <c r="E7" s="306">
        <f t="shared" si="0"/>
        <v>55.1</v>
      </c>
      <c r="F7" s="306">
        <f t="shared" si="0"/>
        <v>9</v>
      </c>
      <c r="G7" s="306">
        <f t="shared" si="0"/>
        <v>56.599999999999994</v>
      </c>
      <c r="H7" s="306">
        <f t="shared" si="0"/>
        <v>17.100000000000001</v>
      </c>
      <c r="I7" s="306">
        <f t="shared" si="0"/>
        <v>83.3</v>
      </c>
      <c r="J7" s="306">
        <f t="shared" si="0"/>
        <v>15.3</v>
      </c>
      <c r="K7" s="306">
        <f t="shared" si="0"/>
        <v>13.600000000000001</v>
      </c>
      <c r="L7" s="306">
        <f t="shared" si="0"/>
        <v>20.7</v>
      </c>
      <c r="M7" s="306">
        <f t="shared" si="0"/>
        <v>21.7</v>
      </c>
      <c r="N7" s="306">
        <f t="shared" si="0"/>
        <v>12.1</v>
      </c>
      <c r="O7" s="306">
        <f t="shared" si="0"/>
        <v>103.1</v>
      </c>
      <c r="P7" s="306">
        <f t="shared" si="0"/>
        <v>59.9</v>
      </c>
      <c r="Q7" s="306">
        <f t="shared" si="0"/>
        <v>71.8</v>
      </c>
      <c r="R7" s="306">
        <f t="shared" si="0"/>
        <v>71.099999999999994</v>
      </c>
      <c r="S7" s="306">
        <f t="shared" si="0"/>
        <v>-14.5</v>
      </c>
      <c r="T7" s="306">
        <f t="shared" si="0"/>
        <v>22</v>
      </c>
      <c r="U7" s="306">
        <f t="shared" si="0"/>
        <v>28.799999999999997</v>
      </c>
      <c r="V7" s="306">
        <f t="shared" si="0"/>
        <v>60.9</v>
      </c>
      <c r="W7" s="306">
        <f t="shared" si="0"/>
        <v>22.7</v>
      </c>
      <c r="X7" s="306">
        <f t="shared" si="0"/>
        <v>14.9</v>
      </c>
      <c r="Y7" s="306">
        <f t="shared" si="0"/>
        <v>80</v>
      </c>
      <c r="Z7" s="306">
        <f t="shared" si="0"/>
        <v>84.4</v>
      </c>
      <c r="AA7" s="306">
        <f t="shared" si="0"/>
        <v>66</v>
      </c>
      <c r="AB7" s="307">
        <f t="shared" si="0"/>
        <v>396.3</v>
      </c>
      <c r="AC7" s="307">
        <f t="shared" si="0"/>
        <v>96.605999999999995</v>
      </c>
      <c r="AD7" s="307">
        <f t="shared" si="0"/>
        <v>64.171313069999997</v>
      </c>
      <c r="AE7" s="307">
        <f t="shared" si="0"/>
        <v>163.71146123</v>
      </c>
      <c r="AF7" s="307">
        <f t="shared" si="0"/>
        <v>97.616092509999987</v>
      </c>
      <c r="AG7" s="307">
        <f t="shared" si="0"/>
        <v>193.93786518999997</v>
      </c>
      <c r="AH7" s="308">
        <f t="shared" si="0"/>
        <v>172.330297</v>
      </c>
      <c r="AI7" s="308">
        <f t="shared" si="0"/>
        <v>155.69</v>
      </c>
      <c r="AJ7" s="308">
        <f t="shared" si="0"/>
        <v>139.15334831999999</v>
      </c>
      <c r="AK7" s="308">
        <f t="shared" ref="AK7:AM7" si="1">SUM(AK4:AK6)</f>
        <v>104.12590900000001</v>
      </c>
      <c r="AL7" s="308">
        <f t="shared" si="1"/>
        <v>51.372593500000008</v>
      </c>
      <c r="AM7" s="308">
        <f t="shared" si="1"/>
        <v>65.7</v>
      </c>
      <c r="AN7" s="308">
        <v>83.216698000000008</v>
      </c>
      <c r="AO7" s="308">
        <v>77.871587230000003</v>
      </c>
      <c r="AP7" s="308">
        <f t="shared" ref="AP7:AT7" si="2">SUM(AP4:AP6)</f>
        <v>146.73921922</v>
      </c>
      <c r="AQ7" s="308">
        <f t="shared" si="2"/>
        <v>108.6</v>
      </c>
      <c r="AR7" s="308">
        <f t="shared" si="2"/>
        <v>26.519304669999997</v>
      </c>
      <c r="AS7" s="308">
        <f t="shared" si="2"/>
        <v>19.3</v>
      </c>
      <c r="AT7" s="308">
        <f t="shared" si="2"/>
        <v>39.299999999999997</v>
      </c>
      <c r="AU7" s="174"/>
      <c r="AV7" s="162"/>
      <c r="AW7" s="174"/>
      <c r="AX7" s="174"/>
      <c r="AY7" s="174"/>
      <c r="AZ7" s="174"/>
      <c r="BA7" s="174"/>
      <c r="BB7" s="174"/>
      <c r="BC7" s="174"/>
      <c r="BD7" s="174"/>
      <c r="BE7" s="174"/>
      <c r="BF7" s="174"/>
      <c r="BG7" s="174"/>
      <c r="BH7" s="174"/>
      <c r="BI7" s="174"/>
      <c r="BJ7" s="174"/>
      <c r="BK7" s="174"/>
      <c r="BL7" s="174"/>
      <c r="BM7" s="174"/>
      <c r="BN7" s="174"/>
      <c r="BO7" s="174"/>
      <c r="BP7" s="174"/>
      <c r="BQ7" s="174"/>
      <c r="BR7" s="174"/>
      <c r="BS7" s="174"/>
      <c r="BT7" s="174"/>
      <c r="BU7" s="174"/>
      <c r="BV7" s="174"/>
      <c r="BW7" s="174"/>
      <c r="BX7" s="174"/>
      <c r="BY7" s="174"/>
      <c r="BZ7" s="174"/>
      <c r="CA7" s="174"/>
      <c r="CB7" s="174"/>
      <c r="CC7" s="174"/>
      <c r="CD7" s="174"/>
      <c r="CE7" s="174"/>
      <c r="CF7" s="174"/>
      <c r="CG7" s="174"/>
      <c r="CH7" s="174"/>
      <c r="CI7" s="174"/>
      <c r="CJ7" s="174"/>
      <c r="CK7" s="174"/>
      <c r="CL7" s="174"/>
      <c r="CM7" s="174"/>
      <c r="CN7" s="174"/>
      <c r="CO7" s="174"/>
      <c r="CP7" s="174"/>
      <c r="CQ7" s="174"/>
      <c r="CR7" s="174"/>
      <c r="CS7" s="174"/>
      <c r="CT7" s="174"/>
      <c r="CU7" s="174"/>
      <c r="CV7" s="174"/>
      <c r="CW7" s="174"/>
      <c r="CX7" s="174"/>
      <c r="CY7" s="174"/>
      <c r="CZ7" s="174"/>
      <c r="DA7" s="174"/>
      <c r="DB7" s="174"/>
      <c r="DC7" s="174"/>
      <c r="DD7" s="174"/>
      <c r="DE7" s="174"/>
      <c r="DF7" s="174"/>
      <c r="DG7" s="174"/>
      <c r="DH7" s="174"/>
      <c r="DI7" s="174"/>
      <c r="DJ7" s="174"/>
      <c r="DK7" s="174"/>
      <c r="DL7" s="174"/>
      <c r="DM7" s="174"/>
      <c r="DN7" s="174"/>
      <c r="DO7" s="174"/>
      <c r="DP7" s="174"/>
      <c r="DQ7" s="174"/>
      <c r="DR7" s="174"/>
      <c r="DS7" s="174"/>
      <c r="DT7" s="174"/>
      <c r="DU7" s="174"/>
      <c r="DV7" s="174"/>
      <c r="DW7" s="174"/>
      <c r="DX7" s="174"/>
      <c r="DY7" s="174"/>
      <c r="DZ7" s="174"/>
      <c r="EA7" s="174"/>
      <c r="EB7" s="174"/>
      <c r="EC7" s="174"/>
      <c r="ED7" s="174"/>
      <c r="EE7" s="174"/>
      <c r="EF7" s="174"/>
      <c r="EG7" s="174"/>
      <c r="EH7" s="174"/>
      <c r="EI7" s="174"/>
      <c r="EJ7" s="174"/>
      <c r="EK7" s="174"/>
      <c r="EL7" s="174"/>
      <c r="EM7" s="174"/>
      <c r="EN7" s="174"/>
      <c r="EO7" s="174"/>
      <c r="EP7" s="174"/>
      <c r="EQ7" s="174"/>
      <c r="ER7" s="174"/>
      <c r="ES7" s="174"/>
      <c r="ET7" s="174"/>
      <c r="EU7" s="174"/>
      <c r="EV7" s="174"/>
      <c r="EW7" s="174"/>
      <c r="EX7" s="174"/>
      <c r="EY7" s="174"/>
      <c r="EZ7" s="174"/>
      <c r="FA7" s="174"/>
      <c r="FB7" s="174"/>
      <c r="FC7" s="174"/>
      <c r="FD7" s="174"/>
      <c r="FE7" s="174"/>
      <c r="FF7" s="174"/>
      <c r="FG7" s="174"/>
      <c r="FH7" s="174"/>
      <c r="FI7" s="174"/>
      <c r="FJ7" s="174"/>
      <c r="FK7" s="174"/>
      <c r="FL7" s="174"/>
      <c r="FM7" s="174"/>
      <c r="FN7" s="174"/>
      <c r="FO7" s="174"/>
      <c r="FP7" s="174"/>
      <c r="FQ7" s="174"/>
      <c r="FR7" s="174"/>
      <c r="FS7" s="174"/>
      <c r="FT7" s="174"/>
      <c r="FU7" s="174"/>
      <c r="FV7" s="174"/>
      <c r="FW7" s="174"/>
      <c r="FX7" s="174"/>
      <c r="FY7" s="174"/>
      <c r="FZ7" s="174"/>
      <c r="GA7" s="174"/>
      <c r="GB7" s="174"/>
      <c r="GC7" s="174"/>
      <c r="GD7" s="174"/>
      <c r="GE7" s="174"/>
      <c r="GF7" s="174"/>
      <c r="GG7" s="174"/>
      <c r="GH7" s="174"/>
      <c r="GI7" s="174"/>
      <c r="GJ7" s="174"/>
      <c r="GK7" s="174"/>
      <c r="GL7" s="174"/>
      <c r="GM7" s="174"/>
      <c r="GN7" s="174"/>
      <c r="GO7" s="174"/>
      <c r="GP7" s="174"/>
      <c r="GQ7" s="174"/>
      <c r="GR7" s="174"/>
      <c r="GS7" s="174"/>
      <c r="GT7" s="174"/>
      <c r="GU7" s="174"/>
      <c r="GV7" s="174"/>
      <c r="GW7" s="174"/>
      <c r="GX7" s="174"/>
      <c r="GY7" s="174"/>
      <c r="GZ7" s="174"/>
      <c r="HA7" s="174"/>
      <c r="HB7" s="174"/>
      <c r="HC7" s="174"/>
      <c r="HD7" s="174"/>
      <c r="HE7" s="174"/>
      <c r="HF7" s="174"/>
      <c r="HG7" s="174"/>
      <c r="HH7" s="174"/>
      <c r="HI7" s="174"/>
      <c r="HJ7" s="174"/>
      <c r="HK7" s="174"/>
      <c r="HL7" s="174"/>
      <c r="HM7" s="174"/>
      <c r="HN7" s="174"/>
      <c r="HO7" s="174"/>
      <c r="HP7" s="174"/>
      <c r="HQ7" s="174"/>
      <c r="HR7" s="174"/>
      <c r="HS7" s="174"/>
      <c r="HT7" s="174"/>
      <c r="HU7" s="174"/>
      <c r="HV7" s="174"/>
      <c r="HW7" s="174"/>
      <c r="HX7" s="174"/>
      <c r="HY7" s="174"/>
      <c r="HZ7" s="174"/>
      <c r="IA7" s="174"/>
      <c r="IB7" s="174"/>
      <c r="IC7" s="174"/>
      <c r="ID7" s="174"/>
      <c r="IE7" s="174"/>
      <c r="IF7" s="174"/>
      <c r="IG7" s="174"/>
      <c r="IH7" s="174"/>
      <c r="II7" s="174"/>
      <c r="IJ7" s="174"/>
      <c r="IK7" s="174"/>
      <c r="IL7" s="174"/>
      <c r="IM7" s="174"/>
      <c r="IN7" s="174"/>
      <c r="IO7" s="174"/>
      <c r="IP7" s="174"/>
      <c r="IQ7" s="174"/>
      <c r="IR7" s="174"/>
      <c r="IS7" s="174"/>
      <c r="IT7" s="174"/>
      <c r="IU7" s="174"/>
      <c r="IV7" s="174"/>
      <c r="IW7" s="174"/>
    </row>
    <row r="8" spans="1:257" s="176" customFormat="1" ht="18.649999999999999" customHeight="1">
      <c r="A8" s="285" t="s">
        <v>241</v>
      </c>
      <c r="B8" s="309">
        <v>0</v>
      </c>
      <c r="C8" s="309">
        <v>0</v>
      </c>
      <c r="D8" s="309">
        <v>0</v>
      </c>
      <c r="E8" s="309">
        <v>0</v>
      </c>
      <c r="F8" s="309">
        <v>0</v>
      </c>
      <c r="G8" s="309">
        <v>0</v>
      </c>
      <c r="H8" s="309">
        <v>0</v>
      </c>
      <c r="I8" s="309">
        <v>0</v>
      </c>
      <c r="J8" s="309">
        <v>0</v>
      </c>
      <c r="K8" s="309">
        <v>0</v>
      </c>
      <c r="L8" s="309">
        <v>0</v>
      </c>
      <c r="M8" s="309">
        <v>0</v>
      </c>
      <c r="N8" s="309">
        <v>0</v>
      </c>
      <c r="O8" s="309">
        <v>0</v>
      </c>
      <c r="P8" s="309">
        <v>0</v>
      </c>
      <c r="Q8" s="309"/>
      <c r="R8" s="309"/>
      <c r="S8" s="309"/>
      <c r="T8" s="309"/>
      <c r="U8" s="309"/>
      <c r="V8" s="309"/>
      <c r="W8" s="309"/>
      <c r="X8" s="309"/>
      <c r="Y8" s="309"/>
      <c r="Z8" s="309"/>
      <c r="AA8" s="309"/>
      <c r="AB8" s="310"/>
      <c r="AC8" s="311"/>
      <c r="AD8" s="311"/>
      <c r="AE8" s="311"/>
      <c r="AF8" s="311"/>
      <c r="AG8" s="311"/>
      <c r="AH8" s="312"/>
      <c r="AI8" s="311"/>
      <c r="AJ8" s="311"/>
      <c r="AK8" s="311"/>
      <c r="AL8" s="311"/>
      <c r="AM8" s="311"/>
      <c r="AN8" s="311"/>
      <c r="AO8" s="311"/>
      <c r="AP8" s="311"/>
      <c r="AQ8" s="311"/>
      <c r="AR8" s="311"/>
      <c r="AS8" s="311"/>
      <c r="AT8" s="311"/>
      <c r="AU8" s="174"/>
      <c r="AV8" s="174"/>
      <c r="AW8" s="174"/>
      <c r="AX8" s="174"/>
      <c r="AY8" s="174"/>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c r="CH8" s="174"/>
      <c r="CI8" s="174"/>
      <c r="CJ8" s="174"/>
      <c r="CK8" s="174"/>
      <c r="CL8" s="174"/>
      <c r="CM8" s="174"/>
      <c r="CN8" s="174"/>
      <c r="CO8" s="174"/>
      <c r="CP8" s="174"/>
      <c r="CQ8" s="174"/>
      <c r="CR8" s="174"/>
      <c r="CS8" s="174"/>
      <c r="CT8" s="174"/>
      <c r="CU8" s="174"/>
      <c r="CV8" s="174"/>
      <c r="CW8" s="174"/>
      <c r="CX8" s="174"/>
      <c r="CY8" s="174"/>
      <c r="CZ8" s="174"/>
      <c r="DA8" s="174"/>
      <c r="DB8" s="174"/>
      <c r="DC8" s="174"/>
      <c r="DD8" s="174"/>
      <c r="DE8" s="174"/>
      <c r="DF8" s="174"/>
      <c r="DG8" s="174"/>
      <c r="DH8" s="174"/>
      <c r="DI8" s="174"/>
      <c r="DJ8" s="174"/>
      <c r="DK8" s="174"/>
      <c r="DL8" s="174"/>
      <c r="DM8" s="174"/>
      <c r="DN8" s="174"/>
      <c r="DO8" s="174"/>
      <c r="DP8" s="174"/>
      <c r="DQ8" s="174"/>
      <c r="DR8" s="174"/>
      <c r="DS8" s="174"/>
      <c r="DT8" s="174"/>
      <c r="DU8" s="174"/>
      <c r="DV8" s="174"/>
      <c r="DW8" s="174"/>
      <c r="DX8" s="174"/>
      <c r="DY8" s="174"/>
      <c r="DZ8" s="174"/>
      <c r="EA8" s="174"/>
      <c r="EB8" s="174"/>
      <c r="EC8" s="174"/>
      <c r="ED8" s="174"/>
      <c r="EE8" s="174"/>
      <c r="EF8" s="174"/>
      <c r="EG8" s="174"/>
      <c r="EH8" s="174"/>
      <c r="EI8" s="174"/>
      <c r="EJ8" s="174"/>
      <c r="EK8" s="174"/>
      <c r="EL8" s="174"/>
      <c r="EM8" s="174"/>
      <c r="EN8" s="174"/>
      <c r="EO8" s="174"/>
      <c r="EP8" s="174"/>
      <c r="EQ8" s="174"/>
      <c r="ER8" s="174"/>
      <c r="ES8" s="174"/>
      <c r="ET8" s="174"/>
      <c r="EU8" s="174"/>
      <c r="EV8" s="174"/>
      <c r="EW8" s="174"/>
      <c r="EX8" s="174"/>
      <c r="EY8" s="174"/>
      <c r="EZ8" s="174"/>
      <c r="FA8" s="174"/>
      <c r="FB8" s="174"/>
      <c r="FC8" s="174"/>
      <c r="FD8" s="174"/>
      <c r="FE8" s="174"/>
      <c r="FF8" s="174"/>
      <c r="FG8" s="174"/>
      <c r="FH8" s="174"/>
      <c r="FI8" s="174"/>
      <c r="FJ8" s="174"/>
      <c r="FK8" s="174"/>
      <c r="FL8" s="174"/>
      <c r="FM8" s="174"/>
      <c r="FN8" s="174"/>
      <c r="FO8" s="174"/>
      <c r="FP8" s="174"/>
      <c r="FQ8" s="174"/>
      <c r="FR8" s="174"/>
      <c r="FS8" s="174"/>
      <c r="FT8" s="174"/>
      <c r="FU8" s="174"/>
      <c r="FV8" s="174"/>
      <c r="FW8" s="174"/>
      <c r="FX8" s="174"/>
      <c r="FY8" s="174"/>
      <c r="FZ8" s="174"/>
      <c r="GA8" s="174"/>
      <c r="GB8" s="174"/>
      <c r="GC8" s="174"/>
      <c r="GD8" s="174"/>
      <c r="GE8" s="174"/>
      <c r="GF8" s="174"/>
      <c r="GG8" s="174"/>
      <c r="GH8" s="174"/>
      <c r="GI8" s="174"/>
      <c r="GJ8" s="174"/>
      <c r="GK8" s="174"/>
      <c r="GL8" s="174"/>
      <c r="GM8" s="174"/>
      <c r="GN8" s="174"/>
      <c r="GO8" s="174"/>
      <c r="GP8" s="174"/>
      <c r="GQ8" s="174"/>
      <c r="GR8" s="174"/>
      <c r="GS8" s="174"/>
      <c r="GT8" s="174"/>
      <c r="GU8" s="174"/>
      <c r="GV8" s="174"/>
      <c r="GW8" s="174"/>
      <c r="GX8" s="174"/>
      <c r="GY8" s="174"/>
      <c r="GZ8" s="174"/>
      <c r="HA8" s="174"/>
      <c r="HB8" s="174"/>
      <c r="HC8" s="174"/>
      <c r="HD8" s="174"/>
      <c r="HE8" s="174"/>
      <c r="HF8" s="174"/>
      <c r="HG8" s="174"/>
      <c r="HH8" s="174"/>
      <c r="HI8" s="174"/>
      <c r="HJ8" s="174"/>
      <c r="HK8" s="174"/>
      <c r="HL8" s="174"/>
      <c r="HM8" s="174"/>
      <c r="HN8" s="174"/>
      <c r="HO8" s="174"/>
      <c r="HP8" s="174"/>
      <c r="HQ8" s="174"/>
      <c r="HR8" s="174"/>
      <c r="HS8" s="174"/>
      <c r="HT8" s="174"/>
      <c r="HU8" s="174"/>
      <c r="HV8" s="174"/>
      <c r="HW8" s="174"/>
      <c r="HX8" s="174"/>
      <c r="HY8" s="174"/>
      <c r="HZ8" s="174"/>
      <c r="IA8" s="174"/>
      <c r="IB8" s="174"/>
      <c r="IC8" s="174"/>
      <c r="ID8" s="174"/>
      <c r="IE8" s="174"/>
      <c r="IF8" s="174"/>
      <c r="IG8" s="174"/>
      <c r="IH8" s="174"/>
      <c r="II8" s="174"/>
      <c r="IJ8" s="174"/>
      <c r="IK8" s="174"/>
      <c r="IL8" s="174"/>
      <c r="IM8" s="174"/>
      <c r="IN8" s="174"/>
      <c r="IO8" s="174"/>
      <c r="IP8" s="174"/>
      <c r="IQ8" s="174"/>
      <c r="IR8" s="174"/>
      <c r="IS8" s="174"/>
      <c r="IT8" s="174"/>
      <c r="IU8" s="174"/>
      <c r="IV8" s="174"/>
      <c r="IW8" s="174"/>
    </row>
    <row r="9" spans="1:257" s="176" customFormat="1" ht="18.649999999999999" customHeight="1">
      <c r="A9" s="313" t="s">
        <v>242</v>
      </c>
      <c r="B9" s="291">
        <v>2.2999999999999998</v>
      </c>
      <c r="C9" s="291">
        <v>2.2999999999999998</v>
      </c>
      <c r="D9" s="291">
        <v>4.5999999999999996</v>
      </c>
      <c r="E9" s="291">
        <v>9.1</v>
      </c>
      <c r="F9" s="291">
        <v>19.600000000000001</v>
      </c>
      <c r="G9" s="291">
        <v>15.9</v>
      </c>
      <c r="H9" s="291">
        <v>19.600000000000001</v>
      </c>
      <c r="I9" s="291">
        <v>22.2</v>
      </c>
      <c r="J9" s="291">
        <v>18.8</v>
      </c>
      <c r="K9" s="291">
        <v>23</v>
      </c>
      <c r="L9" s="291">
        <v>32.799999999999997</v>
      </c>
      <c r="M9" s="291">
        <v>33</v>
      </c>
      <c r="N9" s="291">
        <v>67</v>
      </c>
      <c r="O9" s="291">
        <v>49.6</v>
      </c>
      <c r="P9" s="291">
        <v>55.9</v>
      </c>
      <c r="Q9" s="291">
        <v>71.400000000000006</v>
      </c>
      <c r="R9" s="291">
        <v>68.5</v>
      </c>
      <c r="S9" s="291">
        <v>82.2</v>
      </c>
      <c r="T9" s="291">
        <v>104.9</v>
      </c>
      <c r="U9" s="291">
        <v>108.2</v>
      </c>
      <c r="V9" s="291">
        <v>108.2</v>
      </c>
      <c r="W9" s="291">
        <v>101.1</v>
      </c>
      <c r="X9" s="291">
        <v>137.1</v>
      </c>
      <c r="Y9" s="291">
        <v>140.69999999999999</v>
      </c>
      <c r="Z9" s="291">
        <v>137.9</v>
      </c>
      <c r="AA9" s="291">
        <v>135.80000000000001</v>
      </c>
      <c r="AB9" s="293">
        <v>137.9</v>
      </c>
      <c r="AC9" s="294">
        <v>139.482</v>
      </c>
      <c r="AD9" s="294">
        <v>148.89743393999996</v>
      </c>
      <c r="AE9" s="294">
        <v>177.85944282999998</v>
      </c>
      <c r="AF9" s="294">
        <v>199.58221303000002</v>
      </c>
      <c r="AG9" s="294">
        <v>221.05362423999992</v>
      </c>
      <c r="AH9" s="295">
        <v>248.93</v>
      </c>
      <c r="AI9" s="296">
        <v>239</v>
      </c>
      <c r="AJ9" s="296">
        <v>231.80148199999996</v>
      </c>
      <c r="AK9" s="297">
        <v>258.17721182999998</v>
      </c>
      <c r="AL9" s="297">
        <v>258.14218992999997</v>
      </c>
      <c r="AM9" s="297">
        <v>254.7</v>
      </c>
      <c r="AN9" s="297">
        <v>258.70465134000005</v>
      </c>
      <c r="AO9" s="297">
        <v>240.38390317</v>
      </c>
      <c r="AP9" s="297">
        <v>238.07312463000002</v>
      </c>
      <c r="AQ9" s="297">
        <v>253.6</v>
      </c>
      <c r="AR9" s="297">
        <v>249.43191873000001</v>
      </c>
      <c r="AS9" s="297">
        <v>260.89999999999998</v>
      </c>
      <c r="AT9" s="297">
        <v>270.8</v>
      </c>
      <c r="AU9" s="174"/>
      <c r="AV9" s="178"/>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c r="DR9" s="174"/>
      <c r="DS9" s="174"/>
      <c r="DT9" s="174"/>
      <c r="DU9" s="174"/>
      <c r="DV9" s="174"/>
      <c r="DW9" s="174"/>
      <c r="DX9" s="174"/>
      <c r="DY9" s="174"/>
      <c r="DZ9" s="174"/>
      <c r="EA9" s="174"/>
      <c r="EB9" s="174"/>
      <c r="EC9" s="174"/>
      <c r="ED9" s="174"/>
      <c r="EE9" s="174"/>
      <c r="EF9" s="174"/>
      <c r="EG9" s="174"/>
      <c r="EH9" s="174"/>
      <c r="EI9" s="174"/>
      <c r="EJ9" s="174"/>
      <c r="EK9" s="174"/>
      <c r="EL9" s="174"/>
      <c r="EM9" s="174"/>
      <c r="EN9" s="174"/>
      <c r="EO9" s="174"/>
      <c r="EP9" s="174"/>
      <c r="EQ9" s="174"/>
      <c r="ER9" s="174"/>
      <c r="ES9" s="174"/>
      <c r="ET9" s="174"/>
      <c r="EU9" s="174"/>
      <c r="EV9" s="174"/>
      <c r="EW9" s="174"/>
      <c r="EX9" s="174"/>
      <c r="EY9" s="174"/>
      <c r="EZ9" s="174"/>
      <c r="FA9" s="174"/>
      <c r="FB9" s="174"/>
      <c r="FC9" s="174"/>
      <c r="FD9" s="174"/>
      <c r="FE9" s="174"/>
      <c r="FF9" s="174"/>
      <c r="FG9" s="174"/>
      <c r="FH9" s="174"/>
      <c r="FI9" s="174"/>
      <c r="FJ9" s="174"/>
      <c r="FK9" s="174"/>
      <c r="FL9" s="174"/>
      <c r="FM9" s="174"/>
      <c r="FN9" s="174"/>
      <c r="FO9" s="174"/>
      <c r="FP9" s="174"/>
      <c r="FQ9" s="174"/>
      <c r="FR9" s="174"/>
      <c r="FS9" s="174"/>
      <c r="FT9" s="174"/>
      <c r="FU9" s="174"/>
      <c r="FV9" s="174"/>
      <c r="FW9" s="174"/>
      <c r="FX9" s="174"/>
      <c r="FY9" s="174"/>
      <c r="FZ9" s="174"/>
      <c r="GA9" s="174"/>
      <c r="GB9" s="174"/>
      <c r="GC9" s="174"/>
      <c r="GD9" s="174"/>
      <c r="GE9" s="174"/>
      <c r="GF9" s="174"/>
      <c r="GG9" s="174"/>
      <c r="GH9" s="174"/>
      <c r="GI9" s="174"/>
      <c r="GJ9" s="174"/>
      <c r="GK9" s="174"/>
      <c r="GL9" s="174"/>
      <c r="GM9" s="174"/>
      <c r="GN9" s="174"/>
      <c r="GO9" s="174"/>
      <c r="GP9" s="174"/>
      <c r="GQ9" s="174"/>
      <c r="GR9" s="174"/>
      <c r="GS9" s="174"/>
      <c r="GT9" s="174"/>
      <c r="GU9" s="174"/>
      <c r="GV9" s="174"/>
      <c r="GW9" s="174"/>
      <c r="GX9" s="174"/>
      <c r="GY9" s="174"/>
      <c r="GZ9" s="174"/>
      <c r="HA9" s="174"/>
      <c r="HB9" s="174"/>
      <c r="HC9" s="174"/>
      <c r="HD9" s="174"/>
      <c r="HE9" s="174"/>
      <c r="HF9" s="174"/>
      <c r="HG9" s="174"/>
      <c r="HH9" s="174"/>
      <c r="HI9" s="174"/>
      <c r="HJ9" s="174"/>
      <c r="HK9" s="174"/>
      <c r="HL9" s="174"/>
      <c r="HM9" s="174"/>
      <c r="HN9" s="174"/>
      <c r="HO9" s="174"/>
      <c r="HP9" s="174"/>
      <c r="HQ9" s="174"/>
      <c r="HR9" s="174"/>
      <c r="HS9" s="174"/>
      <c r="HT9" s="174"/>
      <c r="HU9" s="174"/>
      <c r="HV9" s="174"/>
      <c r="HW9" s="174"/>
      <c r="HX9" s="174"/>
      <c r="HY9" s="174"/>
      <c r="HZ9" s="174"/>
      <c r="IA9" s="174"/>
      <c r="IB9" s="174"/>
      <c r="IC9" s="174"/>
      <c r="ID9" s="174"/>
      <c r="IE9" s="174"/>
      <c r="IF9" s="174"/>
      <c r="IG9" s="174"/>
      <c r="IH9" s="174"/>
      <c r="II9" s="174"/>
      <c r="IJ9" s="174"/>
      <c r="IK9" s="174"/>
      <c r="IL9" s="174"/>
      <c r="IM9" s="174"/>
      <c r="IN9" s="174"/>
      <c r="IO9" s="174"/>
      <c r="IP9" s="174"/>
      <c r="IQ9" s="174"/>
      <c r="IR9" s="174"/>
      <c r="IS9" s="174"/>
      <c r="IT9" s="174"/>
      <c r="IU9" s="174"/>
      <c r="IV9" s="174"/>
      <c r="IW9" s="174"/>
    </row>
    <row r="10" spans="1:257" s="176" customFormat="1" ht="18.649999999999999" customHeight="1">
      <c r="A10" s="313" t="s">
        <v>332</v>
      </c>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293"/>
      <c r="AC10" s="294"/>
      <c r="AD10" s="294"/>
      <c r="AE10" s="294"/>
      <c r="AF10" s="294"/>
      <c r="AG10" s="294"/>
      <c r="AH10" s="295"/>
      <c r="AI10" s="296">
        <v>0.2</v>
      </c>
      <c r="AJ10" s="296">
        <v>0.3</v>
      </c>
      <c r="AK10" s="297">
        <v>0.12382228999999997</v>
      </c>
      <c r="AL10" s="297">
        <v>1.3212650000000003E-2</v>
      </c>
      <c r="AM10" s="297">
        <v>0</v>
      </c>
      <c r="AN10" s="297">
        <v>6.6416380000000011E-2</v>
      </c>
      <c r="AO10" s="297">
        <v>6.3245499999999991E-3</v>
      </c>
      <c r="AP10" s="297">
        <v>8.0871199999999997E-3</v>
      </c>
      <c r="AQ10" s="297">
        <v>0</v>
      </c>
      <c r="AR10" s="297">
        <v>0.2</v>
      </c>
      <c r="AS10" s="297">
        <v>1</v>
      </c>
      <c r="AT10" s="297">
        <v>1.4</v>
      </c>
      <c r="AU10" s="174"/>
      <c r="AV10" s="174"/>
      <c r="AW10" s="174"/>
      <c r="AX10" s="174"/>
      <c r="AY10" s="174"/>
      <c r="AZ10" s="174"/>
      <c r="BA10" s="174"/>
      <c r="BB10" s="174"/>
      <c r="BC10" s="174"/>
      <c r="BD10" s="174"/>
      <c r="BE10" s="174"/>
      <c r="BF10" s="174"/>
      <c r="BG10" s="174"/>
      <c r="BH10" s="174"/>
      <c r="BI10" s="174"/>
      <c r="BJ10" s="174"/>
      <c r="BK10" s="174"/>
      <c r="BL10" s="174"/>
      <c r="BM10" s="174"/>
      <c r="BN10" s="174"/>
      <c r="BO10" s="174"/>
      <c r="BP10" s="174"/>
      <c r="BQ10" s="174"/>
      <c r="BR10" s="174"/>
      <c r="BS10" s="174"/>
      <c r="BT10" s="174"/>
      <c r="BU10" s="174"/>
      <c r="BV10" s="174"/>
      <c r="BW10" s="174"/>
      <c r="BX10" s="174"/>
      <c r="BY10" s="174"/>
      <c r="BZ10" s="174"/>
      <c r="CA10" s="174"/>
      <c r="CB10" s="174"/>
      <c r="CC10" s="174"/>
      <c r="CD10" s="174"/>
      <c r="CE10" s="174"/>
      <c r="CF10" s="174"/>
      <c r="CG10" s="174"/>
      <c r="CH10" s="174"/>
      <c r="CI10" s="174"/>
      <c r="CJ10" s="174"/>
      <c r="CK10" s="174"/>
      <c r="CL10" s="174"/>
      <c r="CM10" s="174"/>
      <c r="CN10" s="174"/>
      <c r="CO10" s="174"/>
      <c r="CP10" s="174"/>
      <c r="CQ10" s="174"/>
      <c r="CR10" s="174"/>
      <c r="CS10" s="174"/>
      <c r="CT10" s="174"/>
      <c r="CU10" s="174"/>
      <c r="CV10" s="174"/>
      <c r="CW10" s="174"/>
      <c r="CX10" s="174"/>
      <c r="CY10" s="174"/>
      <c r="CZ10" s="174"/>
      <c r="DA10" s="174"/>
      <c r="DB10" s="174"/>
      <c r="DC10" s="174"/>
      <c r="DD10" s="174"/>
      <c r="DE10" s="174"/>
      <c r="DF10" s="174"/>
      <c r="DG10" s="174"/>
      <c r="DH10" s="174"/>
      <c r="DI10" s="174"/>
      <c r="DJ10" s="174"/>
      <c r="DK10" s="174"/>
      <c r="DL10" s="174"/>
      <c r="DM10" s="174"/>
      <c r="DN10" s="174"/>
      <c r="DO10" s="174"/>
      <c r="DP10" s="174"/>
      <c r="DQ10" s="174"/>
      <c r="DR10" s="174"/>
      <c r="DS10" s="174"/>
      <c r="DT10" s="174"/>
      <c r="DU10" s="174"/>
      <c r="DV10" s="174"/>
      <c r="DW10" s="174"/>
      <c r="DX10" s="174"/>
      <c r="DY10" s="174"/>
      <c r="DZ10" s="174"/>
      <c r="EA10" s="174"/>
      <c r="EB10" s="174"/>
      <c r="EC10" s="174"/>
      <c r="ED10" s="174"/>
      <c r="EE10" s="174"/>
      <c r="EF10" s="174"/>
      <c r="EG10" s="174"/>
      <c r="EH10" s="174"/>
      <c r="EI10" s="174"/>
      <c r="EJ10" s="174"/>
      <c r="EK10" s="174"/>
      <c r="EL10" s="174"/>
      <c r="EM10" s="174"/>
      <c r="EN10" s="174"/>
      <c r="EO10" s="174"/>
      <c r="EP10" s="174"/>
      <c r="EQ10" s="174"/>
      <c r="ER10" s="174"/>
      <c r="ES10" s="174"/>
      <c r="ET10" s="174"/>
      <c r="EU10" s="174"/>
      <c r="EV10" s="174"/>
      <c r="EW10" s="174"/>
      <c r="EX10" s="174"/>
      <c r="EY10" s="174"/>
      <c r="EZ10" s="174"/>
      <c r="FA10" s="174"/>
      <c r="FB10" s="174"/>
      <c r="FC10" s="174"/>
      <c r="FD10" s="174"/>
      <c r="FE10" s="174"/>
      <c r="FF10" s="174"/>
      <c r="FG10" s="174"/>
      <c r="FH10" s="174"/>
      <c r="FI10" s="174"/>
      <c r="FJ10" s="174"/>
      <c r="FK10" s="174"/>
      <c r="FL10" s="174"/>
      <c r="FM10" s="174"/>
      <c r="FN10" s="174"/>
      <c r="FO10" s="174"/>
      <c r="FP10" s="174"/>
      <c r="FQ10" s="174"/>
      <c r="FR10" s="174"/>
      <c r="FS10" s="174"/>
      <c r="FT10" s="174"/>
      <c r="FU10" s="174"/>
      <c r="FV10" s="174"/>
      <c r="FW10" s="174"/>
      <c r="FX10" s="174"/>
      <c r="FY10" s="174"/>
      <c r="FZ10" s="174"/>
      <c r="GA10" s="174"/>
      <c r="GB10" s="174"/>
      <c r="GC10" s="174"/>
      <c r="GD10" s="174"/>
      <c r="GE10" s="174"/>
      <c r="GF10" s="174"/>
      <c r="GG10" s="174"/>
      <c r="GH10" s="174"/>
      <c r="GI10" s="174"/>
      <c r="GJ10" s="174"/>
      <c r="GK10" s="174"/>
      <c r="GL10" s="174"/>
      <c r="GM10" s="174"/>
      <c r="GN10" s="174"/>
      <c r="GO10" s="174"/>
      <c r="GP10" s="174"/>
      <c r="GQ10" s="174"/>
      <c r="GR10" s="174"/>
      <c r="GS10" s="174"/>
      <c r="GT10" s="174"/>
      <c r="GU10" s="174"/>
      <c r="GV10" s="174"/>
      <c r="GW10" s="174"/>
      <c r="GX10" s="174"/>
      <c r="GY10" s="174"/>
      <c r="GZ10" s="174"/>
      <c r="HA10" s="174"/>
      <c r="HB10" s="174"/>
      <c r="HC10" s="174"/>
      <c r="HD10" s="174"/>
      <c r="HE10" s="174"/>
      <c r="HF10" s="174"/>
      <c r="HG10" s="174"/>
      <c r="HH10" s="174"/>
      <c r="HI10" s="174"/>
      <c r="HJ10" s="174"/>
      <c r="HK10" s="174"/>
      <c r="HL10" s="174"/>
      <c r="HM10" s="174"/>
      <c r="HN10" s="174"/>
      <c r="HO10" s="174"/>
      <c r="HP10" s="174"/>
      <c r="HQ10" s="174"/>
      <c r="HR10" s="174"/>
      <c r="HS10" s="174"/>
      <c r="HT10" s="174"/>
      <c r="HU10" s="174"/>
      <c r="HV10" s="174"/>
      <c r="HW10" s="174"/>
      <c r="HX10" s="174"/>
      <c r="HY10" s="174"/>
      <c r="HZ10" s="174"/>
      <c r="IA10" s="174"/>
      <c r="IB10" s="174"/>
      <c r="IC10" s="174"/>
      <c r="ID10" s="174"/>
      <c r="IE10" s="174"/>
      <c r="IF10" s="174"/>
      <c r="IG10" s="174"/>
      <c r="IH10" s="174"/>
      <c r="II10" s="174"/>
      <c r="IJ10" s="174"/>
      <c r="IK10" s="174"/>
      <c r="IL10" s="174"/>
      <c r="IM10" s="174"/>
      <c r="IN10" s="174"/>
      <c r="IO10" s="174"/>
      <c r="IP10" s="174"/>
      <c r="IQ10" s="174"/>
      <c r="IR10" s="174"/>
      <c r="IS10" s="174"/>
      <c r="IT10" s="174"/>
      <c r="IU10" s="174"/>
      <c r="IV10" s="174"/>
      <c r="IW10" s="174"/>
    </row>
    <row r="11" spans="1:257" s="176" customFormat="1" ht="18.649999999999999" customHeight="1">
      <c r="A11" s="313" t="s">
        <v>425</v>
      </c>
      <c r="B11" s="309">
        <v>0</v>
      </c>
      <c r="C11" s="309">
        <v>0</v>
      </c>
      <c r="D11" s="309">
        <v>0</v>
      </c>
      <c r="E11" s="309">
        <v>0</v>
      </c>
      <c r="F11" s="309">
        <v>0</v>
      </c>
      <c r="G11" s="309">
        <v>0</v>
      </c>
      <c r="H11" s="309">
        <v>0</v>
      </c>
      <c r="I11" s="309">
        <v>0</v>
      </c>
      <c r="J11" s="309">
        <v>0</v>
      </c>
      <c r="K11" s="309">
        <v>0</v>
      </c>
      <c r="L11" s="309">
        <v>0</v>
      </c>
      <c r="M11" s="309">
        <v>0</v>
      </c>
      <c r="N11" s="309">
        <v>0</v>
      </c>
      <c r="O11" s="309">
        <v>0</v>
      </c>
      <c r="P11" s="309">
        <v>0</v>
      </c>
      <c r="Q11" s="309"/>
      <c r="R11" s="309"/>
      <c r="S11" s="309"/>
      <c r="T11" s="309"/>
      <c r="U11" s="309"/>
      <c r="V11" s="309"/>
      <c r="W11" s="309">
        <v>2.9</v>
      </c>
      <c r="X11" s="309">
        <v>7.1</v>
      </c>
      <c r="Y11" s="309">
        <v>6.5</v>
      </c>
      <c r="Z11" s="309">
        <v>7.8</v>
      </c>
      <c r="AA11" s="309">
        <v>0.01</v>
      </c>
      <c r="AB11" s="293">
        <v>0</v>
      </c>
      <c r="AC11" s="294">
        <v>0</v>
      </c>
      <c r="AD11" s="294">
        <v>0</v>
      </c>
      <c r="AE11" s="294">
        <v>0</v>
      </c>
      <c r="AF11" s="294">
        <v>0</v>
      </c>
      <c r="AG11" s="294">
        <v>0</v>
      </c>
      <c r="AH11" s="295">
        <v>0</v>
      </c>
      <c r="AI11" s="296">
        <v>0</v>
      </c>
      <c r="AJ11" s="296">
        <v>0</v>
      </c>
      <c r="AK11" s="297">
        <v>0</v>
      </c>
      <c r="AL11" s="297">
        <v>0</v>
      </c>
      <c r="AM11" s="297">
        <v>0</v>
      </c>
      <c r="AN11" s="297">
        <v>0</v>
      </c>
      <c r="AO11" s="297">
        <v>0</v>
      </c>
      <c r="AP11" s="297">
        <v>0</v>
      </c>
      <c r="AQ11" s="297">
        <v>0</v>
      </c>
      <c r="AR11" s="297">
        <v>0</v>
      </c>
      <c r="AS11" s="297">
        <v>0</v>
      </c>
      <c r="AT11" s="297">
        <v>0</v>
      </c>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74"/>
      <c r="DW11" s="174"/>
      <c r="DX11" s="174"/>
      <c r="DY11" s="174"/>
      <c r="DZ11" s="174"/>
      <c r="EA11" s="174"/>
      <c r="EB11" s="174"/>
      <c r="EC11" s="174"/>
      <c r="ED11" s="174"/>
      <c r="EE11" s="174"/>
      <c r="EF11" s="174"/>
      <c r="EG11" s="174"/>
      <c r="EH11" s="174"/>
      <c r="EI11" s="174"/>
      <c r="EJ11" s="174"/>
      <c r="EK11" s="174"/>
      <c r="EL11" s="174"/>
      <c r="EM11" s="174"/>
      <c r="EN11" s="174"/>
      <c r="EO11" s="174"/>
      <c r="EP11" s="174"/>
      <c r="EQ11" s="174"/>
      <c r="ER11" s="174"/>
      <c r="ES11" s="174"/>
      <c r="ET11" s="174"/>
      <c r="EU11" s="174"/>
      <c r="EV11" s="174"/>
      <c r="EW11" s="174"/>
      <c r="EX11" s="174"/>
      <c r="EY11" s="174"/>
      <c r="EZ11" s="174"/>
      <c r="FA11" s="174"/>
      <c r="FB11" s="174"/>
      <c r="FC11" s="174"/>
      <c r="FD11" s="174"/>
      <c r="FE11" s="174"/>
      <c r="FF11" s="174"/>
      <c r="FG11" s="174"/>
      <c r="FH11" s="174"/>
      <c r="FI11" s="174"/>
      <c r="FJ11" s="174"/>
      <c r="FK11" s="174"/>
      <c r="FL11" s="174"/>
      <c r="FM11" s="174"/>
      <c r="FN11" s="174"/>
      <c r="FO11" s="174"/>
      <c r="FP11" s="174"/>
      <c r="FQ11" s="174"/>
      <c r="FR11" s="174"/>
      <c r="FS11" s="174"/>
      <c r="FT11" s="174"/>
      <c r="FU11" s="174"/>
      <c r="FV11" s="174"/>
      <c r="FW11" s="174"/>
      <c r="FX11" s="174"/>
      <c r="FY11" s="174"/>
      <c r="FZ11" s="174"/>
      <c r="GA11" s="174"/>
      <c r="GB11" s="174"/>
      <c r="GC11" s="174"/>
      <c r="GD11" s="174"/>
      <c r="GE11" s="174"/>
      <c r="GF11" s="174"/>
      <c r="GG11" s="174"/>
      <c r="GH11" s="174"/>
      <c r="GI11" s="174"/>
      <c r="GJ11" s="174"/>
      <c r="GK11" s="174"/>
      <c r="GL11" s="174"/>
      <c r="GM11" s="174"/>
      <c r="GN11" s="174"/>
      <c r="GO11" s="174"/>
      <c r="GP11" s="174"/>
      <c r="GQ11" s="174"/>
      <c r="GR11" s="174"/>
      <c r="GS11" s="174"/>
      <c r="GT11" s="174"/>
      <c r="GU11" s="174"/>
      <c r="GV11" s="174"/>
      <c r="GW11" s="174"/>
      <c r="GX11" s="174"/>
      <c r="GY11" s="174"/>
      <c r="GZ11" s="174"/>
      <c r="HA11" s="174"/>
      <c r="HB11" s="174"/>
      <c r="HC11" s="174"/>
      <c r="HD11" s="174"/>
      <c r="HE11" s="174"/>
      <c r="HF11" s="174"/>
      <c r="HG11" s="174"/>
      <c r="HH11" s="174"/>
      <c r="HI11" s="174"/>
      <c r="HJ11" s="174"/>
      <c r="HK11" s="174"/>
      <c r="HL11" s="174"/>
      <c r="HM11" s="174"/>
      <c r="HN11" s="174"/>
      <c r="HO11" s="174"/>
      <c r="HP11" s="174"/>
      <c r="HQ11" s="174"/>
      <c r="HR11" s="174"/>
      <c r="HS11" s="174"/>
      <c r="HT11" s="174"/>
      <c r="HU11" s="174"/>
      <c r="HV11" s="174"/>
      <c r="HW11" s="174"/>
      <c r="HX11" s="174"/>
      <c r="HY11" s="174"/>
      <c r="HZ11" s="174"/>
      <c r="IA11" s="174"/>
      <c r="IB11" s="174"/>
      <c r="IC11" s="174"/>
      <c r="ID11" s="174"/>
      <c r="IE11" s="174"/>
      <c r="IF11" s="174"/>
      <c r="IG11" s="174"/>
      <c r="IH11" s="174"/>
      <c r="II11" s="174"/>
      <c r="IJ11" s="174"/>
      <c r="IK11" s="174"/>
      <c r="IL11" s="174"/>
      <c r="IM11" s="174"/>
      <c r="IN11" s="174"/>
      <c r="IO11" s="174"/>
      <c r="IP11" s="174"/>
      <c r="IQ11" s="174"/>
      <c r="IR11" s="174"/>
      <c r="IS11" s="174"/>
      <c r="IT11" s="174"/>
      <c r="IU11" s="174"/>
      <c r="IV11" s="174"/>
      <c r="IW11" s="174"/>
    </row>
    <row r="12" spans="1:257" s="176" customFormat="1" ht="18.649999999999999" customHeight="1">
      <c r="A12" s="313" t="s">
        <v>426</v>
      </c>
      <c r="B12" s="291">
        <v>0</v>
      </c>
      <c r="C12" s="291">
        <v>0</v>
      </c>
      <c r="D12" s="291">
        <v>0</v>
      </c>
      <c r="E12" s="291">
        <v>0</v>
      </c>
      <c r="F12" s="291">
        <v>0</v>
      </c>
      <c r="G12" s="291">
        <v>0</v>
      </c>
      <c r="H12" s="291">
        <v>0</v>
      </c>
      <c r="I12" s="291">
        <v>0</v>
      </c>
      <c r="J12" s="291">
        <v>0</v>
      </c>
      <c r="K12" s="291">
        <v>0</v>
      </c>
      <c r="L12" s="291">
        <v>0</v>
      </c>
      <c r="M12" s="291">
        <v>0</v>
      </c>
      <c r="N12" s="291">
        <v>0</v>
      </c>
      <c r="O12" s="291">
        <v>0</v>
      </c>
      <c r="P12" s="291">
        <v>0</v>
      </c>
      <c r="Q12" s="291"/>
      <c r="R12" s="291"/>
      <c r="S12" s="291"/>
      <c r="T12" s="291"/>
      <c r="U12" s="291"/>
      <c r="V12" s="291"/>
      <c r="W12" s="291"/>
      <c r="X12" s="291"/>
      <c r="Y12" s="291"/>
      <c r="Z12" s="291"/>
      <c r="AA12" s="291"/>
      <c r="AB12" s="293"/>
      <c r="AC12" s="289"/>
      <c r="AD12" s="289"/>
      <c r="AE12" s="289"/>
      <c r="AF12" s="289"/>
      <c r="AG12" s="289"/>
      <c r="AH12" s="314"/>
      <c r="AI12" s="315"/>
      <c r="AJ12" s="315"/>
      <c r="AK12" s="289"/>
      <c r="AL12" s="289"/>
      <c r="AM12" s="289"/>
      <c r="AN12" s="289"/>
      <c r="AO12" s="289"/>
      <c r="AP12" s="289"/>
      <c r="AQ12" s="289"/>
      <c r="AR12" s="289"/>
      <c r="AS12" s="289"/>
      <c r="AT12" s="289"/>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S12" s="174"/>
      <c r="FT12" s="174"/>
      <c r="FU12" s="174"/>
      <c r="FV12" s="174"/>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174"/>
      <c r="HK12" s="174"/>
      <c r="HL12" s="174"/>
      <c r="HM12" s="174"/>
      <c r="HN12" s="174"/>
      <c r="HO12" s="174"/>
      <c r="HP12" s="174"/>
      <c r="HQ12" s="174"/>
      <c r="HR12" s="174"/>
      <c r="HS12" s="174"/>
      <c r="HT12" s="174"/>
      <c r="HU12" s="174"/>
      <c r="HV12" s="174"/>
      <c r="HW12" s="174"/>
      <c r="HX12" s="174"/>
      <c r="HY12" s="174"/>
      <c r="HZ12" s="174"/>
      <c r="IA12" s="174"/>
      <c r="IB12" s="174"/>
      <c r="IC12" s="174"/>
      <c r="ID12" s="174"/>
      <c r="IE12" s="174"/>
      <c r="IF12" s="174"/>
      <c r="IG12" s="174"/>
      <c r="IH12" s="174"/>
      <c r="II12" s="174"/>
      <c r="IJ12" s="174"/>
      <c r="IK12" s="174"/>
      <c r="IL12" s="174"/>
      <c r="IM12" s="174"/>
      <c r="IN12" s="174"/>
      <c r="IO12" s="174"/>
      <c r="IP12" s="174"/>
      <c r="IQ12" s="174"/>
      <c r="IR12" s="174"/>
      <c r="IS12" s="174"/>
      <c r="IT12" s="174"/>
      <c r="IU12" s="174"/>
      <c r="IV12" s="174"/>
      <c r="IW12" s="174"/>
    </row>
    <row r="13" spans="1:257" s="176" customFormat="1" ht="18.649999999999999" customHeight="1">
      <c r="A13" s="290" t="s">
        <v>333</v>
      </c>
      <c r="B13" s="291">
        <v>0</v>
      </c>
      <c r="C13" s="291">
        <v>0.5</v>
      </c>
      <c r="D13" s="291">
        <v>1</v>
      </c>
      <c r="E13" s="291">
        <v>2.2000000000000002</v>
      </c>
      <c r="F13" s="291">
        <v>3.6</v>
      </c>
      <c r="G13" s="291">
        <v>5.4</v>
      </c>
      <c r="H13" s="291">
        <v>4.9000000000000004</v>
      </c>
      <c r="I13" s="291">
        <v>5.8</v>
      </c>
      <c r="J13" s="291">
        <v>5.0999999999999996</v>
      </c>
      <c r="K13" s="291">
        <v>7.6</v>
      </c>
      <c r="L13" s="291">
        <v>8.3000000000000007</v>
      </c>
      <c r="M13" s="291">
        <v>8.6999999999999993</v>
      </c>
      <c r="N13" s="291">
        <v>11.2</v>
      </c>
      <c r="O13" s="291">
        <v>11.2</v>
      </c>
      <c r="P13" s="291">
        <v>12.4</v>
      </c>
      <c r="Q13" s="291">
        <v>12.7</v>
      </c>
      <c r="R13" s="291">
        <v>11.5</v>
      </c>
      <c r="S13" s="291">
        <v>11.8</v>
      </c>
      <c r="T13" s="291">
        <v>11.44</v>
      </c>
      <c r="U13" s="291">
        <v>13</v>
      </c>
      <c r="V13" s="291">
        <v>12.4</v>
      </c>
      <c r="W13" s="291">
        <v>12.7</v>
      </c>
      <c r="X13" s="291">
        <v>14.9</v>
      </c>
      <c r="Y13" s="291">
        <v>15.115</v>
      </c>
      <c r="Z13" s="291">
        <v>17.3</v>
      </c>
      <c r="AA13" s="291">
        <v>17.2</v>
      </c>
      <c r="AB13" s="293">
        <v>20.100000000000001</v>
      </c>
      <c r="AC13" s="294">
        <v>19.27</v>
      </c>
      <c r="AD13" s="294">
        <v>19.399999999999999</v>
      </c>
      <c r="AE13" s="294">
        <v>20.77</v>
      </c>
      <c r="AF13" s="294">
        <v>23.300685000000005</v>
      </c>
      <c r="AG13" s="294">
        <v>24.5</v>
      </c>
      <c r="AH13" s="295">
        <v>21.99</v>
      </c>
      <c r="AI13" s="296">
        <v>28.7</v>
      </c>
      <c r="AJ13" s="296">
        <v>31</v>
      </c>
      <c r="AK13" s="297">
        <v>30.930388000000001</v>
      </c>
      <c r="AL13" s="297">
        <v>28.64534832</v>
      </c>
      <c r="AM13" s="297">
        <v>26</v>
      </c>
      <c r="AN13" s="297">
        <v>31.391885770000005</v>
      </c>
      <c r="AO13" s="297">
        <v>26.667754219999999</v>
      </c>
      <c r="AP13" s="297">
        <v>31.852091000000001</v>
      </c>
      <c r="AQ13" s="297">
        <v>30.7</v>
      </c>
      <c r="AR13" s="297">
        <v>33</v>
      </c>
      <c r="AS13" s="297">
        <v>34.9</v>
      </c>
      <c r="AT13" s="297">
        <v>40.200000000000003</v>
      </c>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174"/>
      <c r="ET13" s="174"/>
      <c r="EU13" s="174"/>
      <c r="EV13" s="174"/>
      <c r="EW13" s="174"/>
      <c r="EX13" s="174"/>
      <c r="EY13" s="174"/>
      <c r="EZ13" s="174"/>
      <c r="FA13" s="174"/>
      <c r="FB13" s="174"/>
      <c r="FC13" s="174"/>
      <c r="FD13" s="174"/>
      <c r="FE13" s="174"/>
      <c r="FF13" s="174"/>
      <c r="FG13" s="174"/>
      <c r="FH13" s="174"/>
      <c r="FI13" s="174"/>
      <c r="FJ13" s="174"/>
      <c r="FK13" s="174"/>
      <c r="FL13" s="174"/>
      <c r="FM13" s="174"/>
      <c r="FN13" s="174"/>
      <c r="FO13" s="174"/>
      <c r="FP13" s="174"/>
      <c r="FQ13" s="174"/>
      <c r="FR13" s="174"/>
      <c r="FS13" s="174"/>
      <c r="FT13" s="174"/>
      <c r="FU13" s="174"/>
      <c r="FV13" s="174"/>
      <c r="FW13" s="174"/>
      <c r="FX13" s="174"/>
      <c r="FY13" s="174"/>
      <c r="FZ13" s="174"/>
      <c r="GA13" s="174"/>
      <c r="GB13" s="174"/>
      <c r="GC13" s="174"/>
      <c r="GD13" s="174"/>
      <c r="GE13" s="174"/>
      <c r="GF13" s="174"/>
      <c r="GG13" s="174"/>
      <c r="GH13" s="174"/>
      <c r="GI13" s="174"/>
      <c r="GJ13" s="174"/>
      <c r="GK13" s="174"/>
      <c r="GL13" s="174"/>
      <c r="GM13" s="174"/>
      <c r="GN13" s="174"/>
      <c r="GO13" s="174"/>
      <c r="GP13" s="174"/>
      <c r="GQ13" s="174"/>
      <c r="GR13" s="174"/>
      <c r="GS13" s="174"/>
      <c r="GT13" s="174"/>
      <c r="GU13" s="174"/>
      <c r="GV13" s="174"/>
      <c r="GW13" s="174"/>
      <c r="GX13" s="174"/>
      <c r="GY13" s="174"/>
      <c r="GZ13" s="174"/>
      <c r="HA13" s="174"/>
      <c r="HB13" s="174"/>
      <c r="HC13" s="174"/>
      <c r="HD13" s="174"/>
      <c r="HE13" s="174"/>
      <c r="HF13" s="174"/>
      <c r="HG13" s="174"/>
      <c r="HH13" s="174"/>
      <c r="HI13" s="174"/>
      <c r="HJ13" s="174"/>
      <c r="HK13" s="174"/>
      <c r="HL13" s="174"/>
      <c r="HM13" s="174"/>
      <c r="HN13" s="174"/>
      <c r="HO13" s="174"/>
      <c r="HP13" s="174"/>
      <c r="HQ13" s="174"/>
      <c r="HR13" s="174"/>
      <c r="HS13" s="174"/>
      <c r="HT13" s="174"/>
      <c r="HU13" s="174"/>
      <c r="HV13" s="174"/>
      <c r="HW13" s="174"/>
      <c r="HX13" s="174"/>
      <c r="HY13" s="174"/>
      <c r="HZ13" s="174"/>
      <c r="IA13" s="174"/>
      <c r="IB13" s="174"/>
      <c r="IC13" s="174"/>
      <c r="ID13" s="174"/>
      <c r="IE13" s="174"/>
      <c r="IF13" s="174"/>
      <c r="IG13" s="174"/>
      <c r="IH13" s="174"/>
      <c r="II13" s="174"/>
      <c r="IJ13" s="174"/>
      <c r="IK13" s="174"/>
      <c r="IL13" s="174"/>
      <c r="IM13" s="174"/>
      <c r="IN13" s="174"/>
      <c r="IO13" s="174"/>
      <c r="IP13" s="174"/>
      <c r="IQ13" s="174"/>
      <c r="IR13" s="174"/>
      <c r="IS13" s="174"/>
      <c r="IT13" s="174"/>
      <c r="IU13" s="174"/>
      <c r="IV13" s="174"/>
      <c r="IW13" s="174"/>
    </row>
    <row r="14" spans="1:257" s="176" customFormat="1" ht="18.649999999999999" customHeight="1">
      <c r="A14" s="290" t="s">
        <v>243</v>
      </c>
      <c r="B14" s="291">
        <v>15</v>
      </c>
      <c r="C14" s="291">
        <v>5.4</v>
      </c>
      <c r="D14" s="291">
        <v>7.6</v>
      </c>
      <c r="E14" s="291">
        <v>9.1</v>
      </c>
      <c r="F14" s="291">
        <v>10</v>
      </c>
      <c r="G14" s="291">
        <v>11.4</v>
      </c>
      <c r="H14" s="291">
        <v>15.8</v>
      </c>
      <c r="I14" s="291">
        <v>20.7</v>
      </c>
      <c r="J14" s="291">
        <v>10.5</v>
      </c>
      <c r="K14" s="291">
        <v>12.3</v>
      </c>
      <c r="L14" s="291">
        <v>11.5</v>
      </c>
      <c r="M14" s="291">
        <v>11.8</v>
      </c>
      <c r="N14" s="291">
        <v>13.3</v>
      </c>
      <c r="O14" s="291">
        <v>14</v>
      </c>
      <c r="P14" s="291">
        <v>16.899999999999999</v>
      </c>
      <c r="Q14" s="291">
        <v>17.8</v>
      </c>
      <c r="R14" s="291">
        <v>18.2</v>
      </c>
      <c r="S14" s="291">
        <v>18.899999999999999</v>
      </c>
      <c r="T14" s="291">
        <v>18.54</v>
      </c>
      <c r="U14" s="291">
        <v>19.899999999999999</v>
      </c>
      <c r="V14" s="291">
        <v>19.7</v>
      </c>
      <c r="W14" s="291">
        <v>23.1</v>
      </c>
      <c r="X14" s="291">
        <v>28.23</v>
      </c>
      <c r="Y14" s="291">
        <v>30.32</v>
      </c>
      <c r="Z14" s="291">
        <v>32.299999999999997</v>
      </c>
      <c r="AA14" s="291">
        <v>32.5</v>
      </c>
      <c r="AB14" s="293">
        <v>31.8</v>
      </c>
      <c r="AC14" s="294">
        <v>32.9</v>
      </c>
      <c r="AD14" s="294">
        <v>34.4</v>
      </c>
      <c r="AE14" s="294">
        <v>34.299999999999997</v>
      </c>
      <c r="AF14" s="294">
        <v>36.515000000000001</v>
      </c>
      <c r="AG14" s="294">
        <v>40.299999999999997</v>
      </c>
      <c r="AH14" s="295">
        <v>41.1</v>
      </c>
      <c r="AI14" s="296">
        <v>39.200000000000003</v>
      </c>
      <c r="AJ14" s="296">
        <v>47.8</v>
      </c>
      <c r="AK14" s="297">
        <v>46.4</v>
      </c>
      <c r="AL14" s="297">
        <v>48.195</v>
      </c>
      <c r="AM14" s="297">
        <v>46.8</v>
      </c>
      <c r="AN14" s="297">
        <v>47.5</v>
      </c>
      <c r="AO14" s="297">
        <v>48.9</v>
      </c>
      <c r="AP14" s="297">
        <v>46.347048999999998</v>
      </c>
      <c r="AQ14" s="297">
        <v>48.3</v>
      </c>
      <c r="AR14" s="297">
        <v>47.4</v>
      </c>
      <c r="AS14" s="297">
        <v>46</v>
      </c>
      <c r="AT14" s="297">
        <v>51.1</v>
      </c>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4"/>
      <c r="CC14" s="174"/>
      <c r="CD14" s="174"/>
      <c r="CE14" s="174"/>
      <c r="CF14" s="174"/>
      <c r="CG14" s="174"/>
      <c r="CH14" s="174"/>
      <c r="CI14" s="174"/>
      <c r="CJ14" s="174"/>
      <c r="CK14" s="174"/>
      <c r="CL14" s="174"/>
      <c r="CM14" s="174"/>
      <c r="CN14" s="174"/>
      <c r="CO14" s="174"/>
      <c r="CP14" s="174"/>
      <c r="CQ14" s="174"/>
      <c r="CR14" s="174"/>
      <c r="CS14" s="174"/>
      <c r="CT14" s="174"/>
      <c r="CU14" s="174"/>
      <c r="CV14" s="174"/>
      <c r="CW14" s="174"/>
      <c r="CX14" s="174"/>
      <c r="CY14" s="174"/>
      <c r="CZ14" s="174"/>
      <c r="DA14" s="174"/>
      <c r="DB14" s="174"/>
      <c r="DC14" s="174"/>
      <c r="DD14" s="174"/>
      <c r="DE14" s="174"/>
      <c r="DF14" s="174"/>
      <c r="DG14" s="174"/>
      <c r="DH14" s="174"/>
      <c r="DI14" s="174"/>
      <c r="DJ14" s="174"/>
      <c r="DK14" s="174"/>
      <c r="DL14" s="174"/>
      <c r="DM14" s="174"/>
      <c r="DN14" s="174"/>
      <c r="DO14" s="174"/>
      <c r="DP14" s="174"/>
      <c r="DQ14" s="174"/>
      <c r="DR14" s="174"/>
      <c r="DS14" s="174"/>
      <c r="DT14" s="174"/>
      <c r="DU14" s="174"/>
      <c r="DV14" s="174"/>
      <c r="DW14" s="174"/>
      <c r="DX14" s="174"/>
      <c r="DY14" s="174"/>
      <c r="DZ14" s="174"/>
      <c r="EA14" s="174"/>
      <c r="EB14" s="174"/>
      <c r="EC14" s="174"/>
      <c r="ED14" s="174"/>
      <c r="EE14" s="174"/>
      <c r="EF14" s="174"/>
      <c r="EG14" s="174"/>
      <c r="EH14" s="174"/>
      <c r="EI14" s="174"/>
      <c r="EJ14" s="174"/>
      <c r="EK14" s="174"/>
      <c r="EL14" s="174"/>
      <c r="EM14" s="174"/>
      <c r="EN14" s="174"/>
      <c r="EO14" s="174"/>
      <c r="EP14" s="174"/>
      <c r="EQ14" s="174"/>
      <c r="ER14" s="174"/>
      <c r="ES14" s="174"/>
      <c r="ET14" s="174"/>
      <c r="EU14" s="174"/>
      <c r="EV14" s="174"/>
      <c r="EW14" s="174"/>
      <c r="EX14" s="174"/>
      <c r="EY14" s="174"/>
      <c r="EZ14" s="174"/>
      <c r="FA14" s="174"/>
      <c r="FB14" s="174"/>
      <c r="FC14" s="174"/>
      <c r="FD14" s="174"/>
      <c r="FE14" s="174"/>
      <c r="FF14" s="174"/>
      <c r="FG14" s="174"/>
      <c r="FH14" s="174"/>
      <c r="FI14" s="174"/>
      <c r="FJ14" s="174"/>
      <c r="FK14" s="174"/>
      <c r="FL14" s="174"/>
      <c r="FM14" s="174"/>
      <c r="FN14" s="174"/>
      <c r="FO14" s="174"/>
      <c r="FP14" s="174"/>
      <c r="FQ14" s="174"/>
      <c r="FR14" s="174"/>
      <c r="FS14" s="174"/>
      <c r="FT14" s="174"/>
      <c r="FU14" s="174"/>
      <c r="FV14" s="174"/>
      <c r="FW14" s="174"/>
      <c r="FX14" s="174"/>
      <c r="FY14" s="174"/>
      <c r="FZ14" s="174"/>
      <c r="GA14" s="174"/>
      <c r="GB14" s="174"/>
      <c r="GC14" s="174"/>
      <c r="GD14" s="174"/>
      <c r="GE14" s="174"/>
      <c r="GF14" s="174"/>
      <c r="GG14" s="174"/>
      <c r="GH14" s="174"/>
      <c r="GI14" s="174"/>
      <c r="GJ14" s="174"/>
      <c r="GK14" s="174"/>
      <c r="GL14" s="174"/>
      <c r="GM14" s="174"/>
      <c r="GN14" s="174"/>
      <c r="GO14" s="174"/>
      <c r="GP14" s="174"/>
      <c r="GQ14" s="174"/>
      <c r="GR14" s="174"/>
      <c r="GS14" s="174"/>
      <c r="GT14" s="174"/>
      <c r="GU14" s="174"/>
      <c r="GV14" s="174"/>
      <c r="GW14" s="174"/>
      <c r="GX14" s="174"/>
      <c r="GY14" s="174"/>
      <c r="GZ14" s="174"/>
      <c r="HA14" s="174"/>
      <c r="HB14" s="174"/>
      <c r="HC14" s="174"/>
      <c r="HD14" s="174"/>
      <c r="HE14" s="174"/>
      <c r="HF14" s="174"/>
      <c r="HG14" s="174"/>
      <c r="HH14" s="174"/>
      <c r="HI14" s="174"/>
      <c r="HJ14" s="174"/>
      <c r="HK14" s="174"/>
      <c r="HL14" s="174"/>
      <c r="HM14" s="174"/>
      <c r="HN14" s="174"/>
      <c r="HO14" s="174"/>
      <c r="HP14" s="174"/>
      <c r="HQ14" s="174"/>
      <c r="HR14" s="174"/>
      <c r="HS14" s="174"/>
      <c r="HT14" s="174"/>
      <c r="HU14" s="174"/>
      <c r="HV14" s="174"/>
      <c r="HW14" s="174"/>
      <c r="HX14" s="174"/>
      <c r="HY14" s="174"/>
      <c r="HZ14" s="174"/>
      <c r="IA14" s="174"/>
      <c r="IB14" s="174"/>
      <c r="IC14" s="174"/>
      <c r="ID14" s="174"/>
      <c r="IE14" s="174"/>
      <c r="IF14" s="174"/>
      <c r="IG14" s="174"/>
      <c r="IH14" s="174"/>
      <c r="II14" s="174"/>
      <c r="IJ14" s="174"/>
      <c r="IK14" s="174"/>
      <c r="IL14" s="174"/>
      <c r="IM14" s="174"/>
      <c r="IN14" s="174"/>
      <c r="IO14" s="174"/>
      <c r="IP14" s="174"/>
      <c r="IQ14" s="174"/>
      <c r="IR14" s="174"/>
      <c r="IS14" s="174"/>
      <c r="IT14" s="174"/>
      <c r="IU14" s="174"/>
      <c r="IV14" s="174"/>
      <c r="IW14" s="174"/>
    </row>
    <row r="15" spans="1:257" s="176" customFormat="1" ht="18.649999999999999" customHeight="1">
      <c r="A15" s="290" t="s">
        <v>244</v>
      </c>
      <c r="B15" s="291">
        <v>0</v>
      </c>
      <c r="C15" s="291">
        <v>0</v>
      </c>
      <c r="D15" s="291">
        <v>0</v>
      </c>
      <c r="E15" s="291">
        <v>0</v>
      </c>
      <c r="F15" s="291">
        <v>0</v>
      </c>
      <c r="G15" s="291">
        <v>0</v>
      </c>
      <c r="H15" s="291">
        <v>0</v>
      </c>
      <c r="I15" s="291">
        <v>0</v>
      </c>
      <c r="J15" s="291">
        <v>0</v>
      </c>
      <c r="K15" s="291">
        <v>0</v>
      </c>
      <c r="L15" s="291">
        <v>0</v>
      </c>
      <c r="M15" s="291">
        <v>0</v>
      </c>
      <c r="N15" s="291">
        <v>0</v>
      </c>
      <c r="O15" s="291">
        <v>1.2</v>
      </c>
      <c r="P15" s="291">
        <v>1.3</v>
      </c>
      <c r="Q15" s="291">
        <v>1.3</v>
      </c>
      <c r="R15" s="291">
        <v>1.5</v>
      </c>
      <c r="S15" s="291">
        <v>1.5</v>
      </c>
      <c r="T15" s="291">
        <v>2.7</v>
      </c>
      <c r="U15" s="291">
        <v>2.6</v>
      </c>
      <c r="V15" s="291">
        <v>1.8</v>
      </c>
      <c r="W15" s="291">
        <v>3</v>
      </c>
      <c r="X15" s="291">
        <v>3.78</v>
      </c>
      <c r="Y15" s="291">
        <v>3.12</v>
      </c>
      <c r="Z15" s="291">
        <v>3.9</v>
      </c>
      <c r="AA15" s="291">
        <v>3.92</v>
      </c>
      <c r="AB15" s="293">
        <v>4.5</v>
      </c>
      <c r="AC15" s="294">
        <v>3.9</v>
      </c>
      <c r="AD15" s="294">
        <v>4.3</v>
      </c>
      <c r="AE15" s="294">
        <v>4.5</v>
      </c>
      <c r="AF15" s="294">
        <v>5.2329999999999997</v>
      </c>
      <c r="AG15" s="294">
        <v>5</v>
      </c>
      <c r="AH15" s="295">
        <v>5.3</v>
      </c>
      <c r="AI15" s="296">
        <v>5.6</v>
      </c>
      <c r="AJ15" s="296">
        <v>6.6</v>
      </c>
      <c r="AK15" s="297">
        <v>2.6</v>
      </c>
      <c r="AL15" s="297">
        <v>5.9850000000000003</v>
      </c>
      <c r="AM15" s="297">
        <v>7</v>
      </c>
      <c r="AN15" s="297">
        <v>5.5</v>
      </c>
      <c r="AO15" s="297">
        <v>8.6999999999999993</v>
      </c>
      <c r="AP15" s="297">
        <v>5.7902050000000003</v>
      </c>
      <c r="AQ15" s="297">
        <v>6.5</v>
      </c>
      <c r="AR15" s="297">
        <v>7.2</v>
      </c>
      <c r="AS15" s="297">
        <v>6.5</v>
      </c>
      <c r="AT15" s="297">
        <v>7.4</v>
      </c>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74"/>
      <c r="CG15" s="174"/>
      <c r="CH15" s="174"/>
      <c r="CI15" s="174"/>
      <c r="CJ15" s="174"/>
      <c r="CK15" s="174"/>
      <c r="CL15" s="174"/>
      <c r="CM15" s="174"/>
      <c r="CN15" s="174"/>
      <c r="CO15" s="174"/>
      <c r="CP15" s="174"/>
      <c r="CQ15" s="174"/>
      <c r="CR15" s="174"/>
      <c r="CS15" s="174"/>
      <c r="CT15" s="174"/>
      <c r="CU15" s="174"/>
      <c r="CV15" s="174"/>
      <c r="CW15" s="174"/>
      <c r="CX15" s="174"/>
      <c r="CY15" s="174"/>
      <c r="CZ15" s="174"/>
      <c r="DA15" s="174"/>
      <c r="DB15" s="174"/>
      <c r="DC15" s="174"/>
      <c r="DD15" s="174"/>
      <c r="DE15" s="174"/>
      <c r="DF15" s="174"/>
      <c r="DG15" s="174"/>
      <c r="DH15" s="174"/>
      <c r="DI15" s="174"/>
      <c r="DJ15" s="174"/>
      <c r="DK15" s="174"/>
      <c r="DL15" s="174"/>
      <c r="DM15" s="174"/>
      <c r="DN15" s="174"/>
      <c r="DO15" s="174"/>
      <c r="DP15" s="174"/>
      <c r="DQ15" s="174"/>
      <c r="DR15" s="174"/>
      <c r="DS15" s="174"/>
      <c r="DT15" s="174"/>
      <c r="DU15" s="174"/>
      <c r="DV15" s="174"/>
      <c r="DW15" s="174"/>
      <c r="DX15" s="174"/>
      <c r="DY15" s="174"/>
      <c r="DZ15" s="174"/>
      <c r="EA15" s="174"/>
      <c r="EB15" s="174"/>
      <c r="EC15" s="174"/>
      <c r="ED15" s="174"/>
      <c r="EE15" s="174"/>
      <c r="EF15" s="174"/>
      <c r="EG15" s="174"/>
      <c r="EH15" s="174"/>
      <c r="EI15" s="174"/>
      <c r="EJ15" s="174"/>
      <c r="EK15" s="174"/>
      <c r="EL15" s="174"/>
      <c r="EM15" s="174"/>
      <c r="EN15" s="174"/>
      <c r="EO15" s="174"/>
      <c r="EP15" s="174"/>
      <c r="EQ15" s="174"/>
      <c r="ER15" s="174"/>
      <c r="ES15" s="174"/>
      <c r="ET15" s="174"/>
      <c r="EU15" s="174"/>
      <c r="EV15" s="174"/>
      <c r="EW15" s="174"/>
      <c r="EX15" s="174"/>
      <c r="EY15" s="174"/>
      <c r="EZ15" s="174"/>
      <c r="FA15" s="174"/>
      <c r="FB15" s="174"/>
      <c r="FC15" s="174"/>
      <c r="FD15" s="174"/>
      <c r="FE15" s="174"/>
      <c r="FF15" s="174"/>
      <c r="FG15" s="174"/>
      <c r="FH15" s="174"/>
      <c r="FI15" s="174"/>
      <c r="FJ15" s="174"/>
      <c r="FK15" s="174"/>
      <c r="FL15" s="174"/>
      <c r="FM15" s="174"/>
      <c r="FN15" s="174"/>
      <c r="FO15" s="174"/>
      <c r="FP15" s="174"/>
      <c r="FQ15" s="174"/>
      <c r="FR15" s="174"/>
      <c r="FS15" s="174"/>
      <c r="FT15" s="174"/>
      <c r="FU15" s="174"/>
      <c r="FV15" s="174"/>
      <c r="FW15" s="174"/>
      <c r="FX15" s="174"/>
      <c r="FY15" s="174"/>
      <c r="FZ15" s="174"/>
      <c r="GA15" s="174"/>
      <c r="GB15" s="174"/>
      <c r="GC15" s="174"/>
      <c r="GD15" s="174"/>
      <c r="GE15" s="174"/>
      <c r="GF15" s="174"/>
      <c r="GG15" s="174"/>
      <c r="GH15" s="174"/>
      <c r="GI15" s="174"/>
      <c r="GJ15" s="174"/>
      <c r="GK15" s="174"/>
      <c r="GL15" s="174"/>
      <c r="GM15" s="174"/>
      <c r="GN15" s="174"/>
      <c r="GO15" s="174"/>
      <c r="GP15" s="174"/>
      <c r="GQ15" s="174"/>
      <c r="GR15" s="174"/>
      <c r="GS15" s="174"/>
      <c r="GT15" s="174"/>
      <c r="GU15" s="174"/>
      <c r="GV15" s="174"/>
      <c r="GW15" s="174"/>
      <c r="GX15" s="174"/>
      <c r="GY15" s="174"/>
      <c r="GZ15" s="174"/>
      <c r="HA15" s="174"/>
      <c r="HB15" s="174"/>
      <c r="HC15" s="174"/>
      <c r="HD15" s="174"/>
      <c r="HE15" s="174"/>
      <c r="HF15" s="174"/>
      <c r="HG15" s="174"/>
      <c r="HH15" s="174"/>
      <c r="HI15" s="174"/>
      <c r="HJ15" s="174"/>
      <c r="HK15" s="174"/>
      <c r="HL15" s="174"/>
      <c r="HM15" s="174"/>
      <c r="HN15" s="174"/>
      <c r="HO15" s="174"/>
      <c r="HP15" s="174"/>
      <c r="HQ15" s="174"/>
      <c r="HR15" s="174"/>
      <c r="HS15" s="174"/>
      <c r="HT15" s="174"/>
      <c r="HU15" s="174"/>
      <c r="HV15" s="174"/>
      <c r="HW15" s="174"/>
      <c r="HX15" s="174"/>
      <c r="HY15" s="174"/>
      <c r="HZ15" s="174"/>
      <c r="IA15" s="174"/>
      <c r="IB15" s="174"/>
      <c r="IC15" s="174"/>
      <c r="ID15" s="174"/>
      <c r="IE15" s="174"/>
      <c r="IF15" s="174"/>
      <c r="IG15" s="174"/>
      <c r="IH15" s="174"/>
      <c r="II15" s="174"/>
      <c r="IJ15" s="174"/>
      <c r="IK15" s="174"/>
      <c r="IL15" s="174"/>
      <c r="IM15" s="174"/>
      <c r="IN15" s="174"/>
      <c r="IO15" s="174"/>
      <c r="IP15" s="174"/>
      <c r="IQ15" s="174"/>
      <c r="IR15" s="174"/>
      <c r="IS15" s="174"/>
      <c r="IT15" s="174"/>
      <c r="IU15" s="174"/>
      <c r="IV15" s="174"/>
      <c r="IW15" s="174"/>
    </row>
    <row r="16" spans="1:257" s="176" customFormat="1" ht="18.649999999999999" customHeight="1" thickBot="1">
      <c r="A16" s="298" t="s">
        <v>245</v>
      </c>
      <c r="B16" s="299">
        <v>0</v>
      </c>
      <c r="C16" s="299">
        <v>0.2</v>
      </c>
      <c r="D16" s="299">
        <v>2.9</v>
      </c>
      <c r="E16" s="299">
        <v>2.9</v>
      </c>
      <c r="F16" s="299">
        <v>2.4</v>
      </c>
      <c r="G16" s="299">
        <v>3.1</v>
      </c>
      <c r="H16" s="299">
        <v>3</v>
      </c>
      <c r="I16" s="299">
        <v>3.2</v>
      </c>
      <c r="J16" s="299">
        <v>3.4</v>
      </c>
      <c r="K16" s="299">
        <v>3.7</v>
      </c>
      <c r="L16" s="299">
        <v>3.6</v>
      </c>
      <c r="M16" s="299">
        <v>3.8</v>
      </c>
      <c r="N16" s="299">
        <v>3.9</v>
      </c>
      <c r="O16" s="299">
        <v>4.0999999999999996</v>
      </c>
      <c r="P16" s="299">
        <v>4.3</v>
      </c>
      <c r="Q16" s="299">
        <v>4.3</v>
      </c>
      <c r="R16" s="299">
        <v>4.2</v>
      </c>
      <c r="S16" s="299">
        <v>3.7</v>
      </c>
      <c r="T16" s="299">
        <v>3.7</v>
      </c>
      <c r="U16" s="299">
        <v>3.4</v>
      </c>
      <c r="V16" s="299">
        <v>3.7</v>
      </c>
      <c r="W16" s="299">
        <v>3.7</v>
      </c>
      <c r="X16" s="299">
        <v>4</v>
      </c>
      <c r="Y16" s="299">
        <v>4</v>
      </c>
      <c r="Z16" s="299">
        <v>3.7</v>
      </c>
      <c r="AA16" s="299">
        <v>4.3</v>
      </c>
      <c r="AB16" s="300">
        <v>4.25</v>
      </c>
      <c r="AC16" s="316">
        <v>4.1950000000000003</v>
      </c>
      <c r="AD16" s="316">
        <f>8.245/2</f>
        <v>4.1224999999999996</v>
      </c>
      <c r="AE16" s="316">
        <v>4.7</v>
      </c>
      <c r="AF16" s="316">
        <v>4.6523023600000002</v>
      </c>
      <c r="AG16" s="316">
        <v>4.4651007800000002</v>
      </c>
      <c r="AH16" s="317">
        <v>4.62</v>
      </c>
      <c r="AI16" s="318">
        <v>5</v>
      </c>
      <c r="AJ16" s="318">
        <v>4.9000000000000004</v>
      </c>
      <c r="AK16" s="319">
        <v>4.9350975000000004</v>
      </c>
      <c r="AL16" s="320">
        <v>5.36</v>
      </c>
      <c r="AM16" s="320">
        <v>5.4</v>
      </c>
      <c r="AN16" s="320">
        <v>5.4847033149999991</v>
      </c>
      <c r="AO16" s="320">
        <v>5.6375000000000002</v>
      </c>
      <c r="AP16" s="320">
        <v>5.59</v>
      </c>
      <c r="AQ16" s="320">
        <v>5.5</v>
      </c>
      <c r="AR16" s="320">
        <v>6</v>
      </c>
      <c r="AS16" s="320">
        <v>5.9</v>
      </c>
      <c r="AT16" s="320">
        <v>5.0999999999999996</v>
      </c>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74"/>
      <c r="CG16" s="174"/>
      <c r="CH16" s="174"/>
      <c r="CI16" s="174"/>
      <c r="CJ16" s="174"/>
      <c r="CK16" s="174"/>
      <c r="CL16" s="174"/>
      <c r="CM16" s="174"/>
      <c r="CN16" s="174"/>
      <c r="CO16" s="174"/>
      <c r="CP16" s="174"/>
      <c r="CQ16" s="174"/>
      <c r="CR16" s="174"/>
      <c r="CS16" s="174"/>
      <c r="CT16" s="174"/>
      <c r="CU16" s="174"/>
      <c r="CV16" s="174"/>
      <c r="CW16" s="174"/>
      <c r="CX16" s="174"/>
      <c r="CY16" s="174"/>
      <c r="CZ16" s="174"/>
      <c r="DA16" s="174"/>
      <c r="DB16" s="174"/>
      <c r="DC16" s="174"/>
      <c r="DD16" s="174"/>
      <c r="DE16" s="174"/>
      <c r="DF16" s="174"/>
      <c r="DG16" s="174"/>
      <c r="DH16" s="174"/>
      <c r="DI16" s="174"/>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4"/>
      <c r="EW16" s="174"/>
      <c r="EX16" s="174"/>
      <c r="EY16" s="174"/>
      <c r="EZ16" s="174"/>
      <c r="FA16" s="174"/>
      <c r="FB16" s="174"/>
      <c r="FC16" s="174"/>
      <c r="FD16" s="174"/>
      <c r="FE16" s="174"/>
      <c r="FF16" s="174"/>
      <c r="FG16" s="174"/>
      <c r="FH16" s="174"/>
      <c r="FI16" s="174"/>
      <c r="FJ16" s="174"/>
      <c r="FK16" s="174"/>
      <c r="FL16" s="174"/>
      <c r="FM16" s="174"/>
      <c r="FN16" s="174"/>
      <c r="FO16" s="174"/>
      <c r="FP16" s="174"/>
      <c r="FQ16" s="174"/>
      <c r="FR16" s="174"/>
      <c r="FS16" s="174"/>
      <c r="FT16" s="174"/>
      <c r="FU16" s="174"/>
      <c r="FV16" s="174"/>
      <c r="FW16" s="174"/>
      <c r="FX16" s="174"/>
      <c r="FY16" s="174"/>
      <c r="FZ16" s="174"/>
      <c r="GA16" s="174"/>
      <c r="GB16" s="174"/>
      <c r="GC16" s="174"/>
      <c r="GD16" s="174"/>
      <c r="GE16" s="174"/>
      <c r="GF16" s="174"/>
      <c r="GG16" s="174"/>
      <c r="GH16" s="174"/>
      <c r="GI16" s="174"/>
      <c r="GJ16" s="174"/>
      <c r="GK16" s="174"/>
      <c r="GL16" s="174"/>
      <c r="GM16" s="174"/>
      <c r="GN16" s="174"/>
      <c r="GO16" s="174"/>
      <c r="GP16" s="174"/>
      <c r="GQ16" s="174"/>
      <c r="GR16" s="174"/>
      <c r="GS16" s="174"/>
      <c r="GT16" s="174"/>
      <c r="GU16" s="174"/>
      <c r="GV16" s="174"/>
      <c r="GW16" s="174"/>
      <c r="GX16" s="174"/>
      <c r="GY16" s="174"/>
      <c r="GZ16" s="174"/>
      <c r="HA16" s="174"/>
      <c r="HB16" s="174"/>
      <c r="HC16" s="174"/>
      <c r="HD16" s="174"/>
      <c r="HE16" s="174"/>
      <c r="HF16" s="174"/>
      <c r="HG16" s="174"/>
      <c r="HH16" s="174"/>
      <c r="HI16" s="174"/>
      <c r="HJ16" s="174"/>
      <c r="HK16" s="174"/>
      <c r="HL16" s="174"/>
      <c r="HM16" s="174"/>
      <c r="HN16" s="174"/>
      <c r="HO16" s="174"/>
      <c r="HP16" s="174"/>
      <c r="HQ16" s="174"/>
      <c r="HR16" s="174"/>
      <c r="HS16" s="174"/>
      <c r="HT16" s="174"/>
      <c r="HU16" s="174"/>
      <c r="HV16" s="174"/>
      <c r="HW16" s="174"/>
      <c r="HX16" s="174"/>
      <c r="HY16" s="174"/>
      <c r="HZ16" s="174"/>
      <c r="IA16" s="174"/>
      <c r="IB16" s="174"/>
      <c r="IC16" s="174"/>
      <c r="ID16" s="174"/>
      <c r="IE16" s="174"/>
      <c r="IF16" s="174"/>
      <c r="IG16" s="174"/>
      <c r="IH16" s="174"/>
      <c r="II16" s="174"/>
      <c r="IJ16" s="174"/>
      <c r="IK16" s="174"/>
      <c r="IL16" s="174"/>
      <c r="IM16" s="174"/>
      <c r="IN16" s="174"/>
      <c r="IO16" s="174"/>
      <c r="IP16" s="174"/>
      <c r="IQ16" s="174"/>
      <c r="IR16" s="174"/>
      <c r="IS16" s="174"/>
      <c r="IT16" s="174"/>
      <c r="IU16" s="174"/>
      <c r="IV16" s="174"/>
      <c r="IW16" s="174"/>
    </row>
    <row r="17" spans="1:257" s="176" customFormat="1" ht="18.649999999999999" customHeight="1" thickTop="1" thickBot="1">
      <c r="A17" s="321" t="s">
        <v>246</v>
      </c>
      <c r="B17" s="322">
        <v>15</v>
      </c>
      <c r="C17" s="322">
        <v>6.1</v>
      </c>
      <c r="D17" s="322">
        <v>11.5</v>
      </c>
      <c r="E17" s="322">
        <v>14.2</v>
      </c>
      <c r="F17" s="322">
        <v>16</v>
      </c>
      <c r="G17" s="322">
        <v>19.899999999999999</v>
      </c>
      <c r="H17" s="322">
        <v>23.7</v>
      </c>
      <c r="I17" s="322">
        <v>29.7</v>
      </c>
      <c r="J17" s="322">
        <v>19</v>
      </c>
      <c r="K17" s="322">
        <v>23.6</v>
      </c>
      <c r="L17" s="322">
        <v>23.4</v>
      </c>
      <c r="M17" s="322">
        <v>24.3</v>
      </c>
      <c r="N17" s="322">
        <v>28.4</v>
      </c>
      <c r="O17" s="322">
        <v>30.5</v>
      </c>
      <c r="P17" s="322">
        <v>34.9</v>
      </c>
      <c r="Q17" s="322">
        <f t="shared" ref="Q17:AM17" si="3">SUM(Q13:Q16)</f>
        <v>36.1</v>
      </c>
      <c r="R17" s="322">
        <f t="shared" si="3"/>
        <v>35.4</v>
      </c>
      <c r="S17" s="322">
        <f t="shared" si="3"/>
        <v>35.900000000000006</v>
      </c>
      <c r="T17" s="322">
        <f t="shared" si="3"/>
        <v>36.380000000000003</v>
      </c>
      <c r="U17" s="322">
        <f t="shared" si="3"/>
        <v>38.9</v>
      </c>
      <c r="V17" s="322">
        <f t="shared" si="3"/>
        <v>37.6</v>
      </c>
      <c r="W17" s="322">
        <f t="shared" si="3"/>
        <v>42.5</v>
      </c>
      <c r="X17" s="322">
        <f t="shared" si="3"/>
        <v>50.910000000000004</v>
      </c>
      <c r="Y17" s="322">
        <f t="shared" si="3"/>
        <v>52.555</v>
      </c>
      <c r="Z17" s="322">
        <f t="shared" si="3"/>
        <v>57.199999999999996</v>
      </c>
      <c r="AA17" s="322">
        <f t="shared" si="3"/>
        <v>57.92</v>
      </c>
      <c r="AB17" s="323">
        <f t="shared" si="3"/>
        <v>60.650000000000006</v>
      </c>
      <c r="AC17" s="323">
        <f t="shared" si="3"/>
        <v>60.265000000000001</v>
      </c>
      <c r="AD17" s="323">
        <f t="shared" si="3"/>
        <v>62.222499999999997</v>
      </c>
      <c r="AE17" s="323">
        <f t="shared" si="3"/>
        <v>64.27</v>
      </c>
      <c r="AF17" s="323">
        <f t="shared" si="3"/>
        <v>69.700987359999999</v>
      </c>
      <c r="AG17" s="323">
        <f t="shared" si="3"/>
        <v>74.265100779999997</v>
      </c>
      <c r="AH17" s="324">
        <f t="shared" si="3"/>
        <v>73.010000000000005</v>
      </c>
      <c r="AI17" s="324">
        <f t="shared" si="3"/>
        <v>78.5</v>
      </c>
      <c r="AJ17" s="324">
        <f t="shared" si="3"/>
        <v>90.3</v>
      </c>
      <c r="AK17" s="324">
        <f t="shared" si="3"/>
        <v>84.865485499999991</v>
      </c>
      <c r="AL17" s="324">
        <f t="shared" si="3"/>
        <v>88.185348320000003</v>
      </c>
      <c r="AM17" s="324">
        <f t="shared" si="3"/>
        <v>85.2</v>
      </c>
      <c r="AN17" s="324">
        <v>89.876589085000006</v>
      </c>
      <c r="AO17" s="324">
        <v>89.905254220000003</v>
      </c>
      <c r="AP17" s="324">
        <f t="shared" ref="AP17:AT17" si="4">SUM(AP13:AP16)</f>
        <v>89.579345000000004</v>
      </c>
      <c r="AQ17" s="324">
        <f t="shared" si="4"/>
        <v>91</v>
      </c>
      <c r="AR17" s="324">
        <f t="shared" si="4"/>
        <v>93.600000000000009</v>
      </c>
      <c r="AS17" s="324">
        <f t="shared" si="4"/>
        <v>93.300000000000011</v>
      </c>
      <c r="AT17" s="324">
        <f t="shared" si="4"/>
        <v>103.80000000000001</v>
      </c>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4"/>
      <c r="DD17" s="174"/>
      <c r="DE17" s="174"/>
      <c r="DF17" s="174"/>
      <c r="DG17" s="174"/>
      <c r="DH17" s="174"/>
      <c r="DI17" s="174"/>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c r="EN17" s="174"/>
      <c r="EO17" s="174"/>
      <c r="EP17" s="174"/>
      <c r="EQ17" s="174"/>
      <c r="ER17" s="174"/>
      <c r="ES17" s="174"/>
      <c r="ET17" s="174"/>
      <c r="EU17" s="174"/>
      <c r="EV17" s="174"/>
      <c r="EW17" s="174"/>
      <c r="EX17" s="174"/>
      <c r="EY17" s="174"/>
      <c r="EZ17" s="174"/>
      <c r="FA17" s="174"/>
      <c r="FB17" s="174"/>
      <c r="FC17" s="174"/>
      <c r="FD17" s="174"/>
      <c r="FE17" s="174"/>
      <c r="FF17" s="174"/>
      <c r="FG17" s="174"/>
      <c r="FH17" s="174"/>
      <c r="FI17" s="174"/>
      <c r="FJ17" s="174"/>
      <c r="FK17" s="174"/>
      <c r="FL17" s="174"/>
      <c r="FM17" s="174"/>
      <c r="FN17" s="174"/>
      <c r="FO17" s="174"/>
      <c r="FP17" s="174"/>
      <c r="FQ17" s="174"/>
      <c r="FR17" s="174"/>
      <c r="FS17" s="174"/>
      <c r="FT17" s="174"/>
      <c r="FU17" s="174"/>
      <c r="FV17" s="174"/>
      <c r="FW17" s="174"/>
      <c r="FX17" s="174"/>
      <c r="FY17" s="174"/>
      <c r="FZ17" s="174"/>
      <c r="GA17" s="174"/>
      <c r="GB17" s="174"/>
      <c r="GC17" s="174"/>
      <c r="GD17" s="174"/>
      <c r="GE17" s="174"/>
      <c r="GF17" s="174"/>
      <c r="GG17" s="174"/>
      <c r="GH17" s="174"/>
      <c r="GI17" s="174"/>
      <c r="GJ17" s="174"/>
      <c r="GK17" s="174"/>
      <c r="GL17" s="174"/>
      <c r="GM17" s="174"/>
      <c r="GN17" s="174"/>
      <c r="GO17" s="174"/>
      <c r="GP17" s="174"/>
      <c r="GQ17" s="174"/>
      <c r="GR17" s="174"/>
      <c r="GS17" s="174"/>
      <c r="GT17" s="174"/>
      <c r="GU17" s="174"/>
      <c r="GV17" s="174"/>
      <c r="GW17" s="174"/>
      <c r="GX17" s="174"/>
      <c r="GY17" s="174"/>
      <c r="GZ17" s="174"/>
      <c r="HA17" s="174"/>
      <c r="HB17" s="174"/>
      <c r="HC17" s="174"/>
      <c r="HD17" s="174"/>
      <c r="HE17" s="174"/>
      <c r="HF17" s="174"/>
      <c r="HG17" s="174"/>
      <c r="HH17" s="174"/>
      <c r="HI17" s="174"/>
      <c r="HJ17" s="174"/>
      <c r="HK17" s="174"/>
      <c r="HL17" s="174"/>
      <c r="HM17" s="174"/>
      <c r="HN17" s="174"/>
      <c r="HO17" s="174"/>
      <c r="HP17" s="174"/>
      <c r="HQ17" s="174"/>
      <c r="HR17" s="174"/>
      <c r="HS17" s="174"/>
      <c r="HT17" s="174"/>
      <c r="HU17" s="174"/>
      <c r="HV17" s="174"/>
      <c r="HW17" s="174"/>
      <c r="HX17" s="174"/>
      <c r="HY17" s="174"/>
      <c r="HZ17" s="174"/>
      <c r="IA17" s="174"/>
      <c r="IB17" s="174"/>
      <c r="IC17" s="174"/>
      <c r="ID17" s="174"/>
      <c r="IE17" s="174"/>
      <c r="IF17" s="174"/>
      <c r="IG17" s="174"/>
      <c r="IH17" s="174"/>
      <c r="II17" s="174"/>
      <c r="IJ17" s="174"/>
      <c r="IK17" s="174"/>
      <c r="IL17" s="174"/>
      <c r="IM17" s="174"/>
      <c r="IN17" s="174"/>
      <c r="IO17" s="174"/>
      <c r="IP17" s="174"/>
      <c r="IQ17" s="174"/>
      <c r="IR17" s="174"/>
      <c r="IS17" s="174"/>
      <c r="IT17" s="174"/>
      <c r="IU17" s="174"/>
      <c r="IV17" s="174"/>
      <c r="IW17" s="174"/>
    </row>
    <row r="18" spans="1:257" s="179" customFormat="1" ht="18.649999999999999" customHeight="1" thickBot="1">
      <c r="A18" s="305" t="s">
        <v>247</v>
      </c>
      <c r="B18" s="306">
        <f t="shared" ref="B18:AH18" si="5">B9+B11+B17</f>
        <v>17.3</v>
      </c>
      <c r="C18" s="306">
        <f t="shared" si="5"/>
        <v>8.3999999999999986</v>
      </c>
      <c r="D18" s="306">
        <f t="shared" si="5"/>
        <v>16.100000000000001</v>
      </c>
      <c r="E18" s="306">
        <f t="shared" si="5"/>
        <v>23.299999999999997</v>
      </c>
      <c r="F18" s="306">
        <f t="shared" si="5"/>
        <v>35.6</v>
      </c>
      <c r="G18" s="306">
        <f t="shared" si="5"/>
        <v>35.799999999999997</v>
      </c>
      <c r="H18" s="306">
        <f t="shared" si="5"/>
        <v>43.3</v>
      </c>
      <c r="I18" s="306">
        <f t="shared" si="5"/>
        <v>51.9</v>
      </c>
      <c r="J18" s="306">
        <f t="shared" si="5"/>
        <v>37.799999999999997</v>
      </c>
      <c r="K18" s="306">
        <f t="shared" si="5"/>
        <v>46.6</v>
      </c>
      <c r="L18" s="306">
        <f t="shared" si="5"/>
        <v>56.199999999999996</v>
      </c>
      <c r="M18" s="306">
        <f t="shared" si="5"/>
        <v>57.3</v>
      </c>
      <c r="N18" s="306">
        <f t="shared" si="5"/>
        <v>95.4</v>
      </c>
      <c r="O18" s="306">
        <f t="shared" si="5"/>
        <v>80.099999999999994</v>
      </c>
      <c r="P18" s="306">
        <f t="shared" si="5"/>
        <v>90.8</v>
      </c>
      <c r="Q18" s="306">
        <f t="shared" si="5"/>
        <v>107.5</v>
      </c>
      <c r="R18" s="306">
        <f t="shared" si="5"/>
        <v>103.9</v>
      </c>
      <c r="S18" s="306">
        <f t="shared" si="5"/>
        <v>118.10000000000001</v>
      </c>
      <c r="T18" s="306">
        <f t="shared" si="5"/>
        <v>141.28</v>
      </c>
      <c r="U18" s="306">
        <f t="shared" si="5"/>
        <v>147.1</v>
      </c>
      <c r="V18" s="306">
        <f t="shared" si="5"/>
        <v>145.80000000000001</v>
      </c>
      <c r="W18" s="306">
        <f t="shared" si="5"/>
        <v>146.5</v>
      </c>
      <c r="X18" s="306">
        <f t="shared" si="5"/>
        <v>195.10999999999999</v>
      </c>
      <c r="Y18" s="306">
        <f t="shared" si="5"/>
        <v>199.755</v>
      </c>
      <c r="Z18" s="306">
        <f t="shared" si="5"/>
        <v>202.9</v>
      </c>
      <c r="AA18" s="306">
        <f t="shared" si="5"/>
        <v>193.73000000000002</v>
      </c>
      <c r="AB18" s="307">
        <f t="shared" si="5"/>
        <v>198.55</v>
      </c>
      <c r="AC18" s="307">
        <f t="shared" si="5"/>
        <v>199.74700000000001</v>
      </c>
      <c r="AD18" s="307">
        <f t="shared" si="5"/>
        <v>211.11993393999995</v>
      </c>
      <c r="AE18" s="307">
        <f t="shared" si="5"/>
        <v>242.12944282999996</v>
      </c>
      <c r="AF18" s="307">
        <f t="shared" si="5"/>
        <v>269.28320039000005</v>
      </c>
      <c r="AG18" s="307">
        <f t="shared" si="5"/>
        <v>295.31872501999993</v>
      </c>
      <c r="AH18" s="308">
        <f t="shared" si="5"/>
        <v>321.94</v>
      </c>
      <c r="AI18" s="325">
        <f t="shared" ref="AI18:AM18" si="6">AI9+AI10+AI17</f>
        <v>317.7</v>
      </c>
      <c r="AJ18" s="325">
        <f t="shared" si="6"/>
        <v>322.40148199999999</v>
      </c>
      <c r="AK18" s="325">
        <f t="shared" si="6"/>
        <v>343.16651961999997</v>
      </c>
      <c r="AL18" s="325">
        <f t="shared" si="6"/>
        <v>346.34075089999999</v>
      </c>
      <c r="AM18" s="325">
        <f t="shared" si="6"/>
        <v>339.9</v>
      </c>
      <c r="AN18" s="325">
        <v>348.64765680500011</v>
      </c>
      <c r="AO18" s="325">
        <v>330.29548194</v>
      </c>
      <c r="AP18" s="325">
        <f t="shared" ref="AP18:AT18" si="7">AP9+AP10+AP17</f>
        <v>327.66055675000001</v>
      </c>
      <c r="AQ18" s="325">
        <f t="shared" si="7"/>
        <v>344.6</v>
      </c>
      <c r="AR18" s="325">
        <f t="shared" si="7"/>
        <v>343.23191873000002</v>
      </c>
      <c r="AS18" s="325">
        <f t="shared" si="7"/>
        <v>355.2</v>
      </c>
      <c r="AT18" s="325">
        <f t="shared" si="7"/>
        <v>376</v>
      </c>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c r="GS18" s="174"/>
      <c r="GT18" s="174"/>
      <c r="GU18" s="174"/>
      <c r="GV18" s="174"/>
      <c r="GW18" s="174"/>
      <c r="GX18" s="174"/>
      <c r="GY18" s="174"/>
      <c r="GZ18" s="174"/>
      <c r="HA18" s="174"/>
      <c r="HB18" s="174"/>
      <c r="HC18" s="174"/>
      <c r="HD18" s="174"/>
      <c r="HE18" s="174"/>
      <c r="HF18" s="174"/>
      <c r="HG18" s="174"/>
      <c r="HH18" s="174"/>
      <c r="HI18" s="174"/>
      <c r="HJ18" s="174"/>
      <c r="HK18" s="174"/>
      <c r="HL18" s="174"/>
      <c r="HM18" s="174"/>
      <c r="HN18" s="174"/>
      <c r="HO18" s="174"/>
      <c r="HP18" s="174"/>
      <c r="HQ18" s="174"/>
      <c r="HR18" s="174"/>
      <c r="HS18" s="174"/>
      <c r="HT18" s="174"/>
      <c r="HU18" s="174"/>
      <c r="HV18" s="174"/>
      <c r="HW18" s="174"/>
      <c r="HX18" s="174"/>
      <c r="HY18" s="174"/>
      <c r="HZ18" s="174"/>
      <c r="IA18" s="174"/>
      <c r="IB18" s="174"/>
      <c r="IC18" s="174"/>
      <c r="ID18" s="174"/>
      <c r="IE18" s="174"/>
      <c r="IF18" s="174"/>
      <c r="IG18" s="174"/>
      <c r="IH18" s="174"/>
      <c r="II18" s="174"/>
      <c r="IJ18" s="174"/>
      <c r="IK18" s="174"/>
      <c r="IL18" s="174"/>
      <c r="IM18" s="174"/>
      <c r="IN18" s="174"/>
      <c r="IO18" s="174"/>
      <c r="IP18" s="174"/>
      <c r="IQ18" s="174"/>
      <c r="IR18" s="174"/>
      <c r="IS18" s="174"/>
      <c r="IT18" s="174"/>
      <c r="IU18" s="174"/>
      <c r="IV18" s="174"/>
      <c r="IW18" s="174"/>
    </row>
    <row r="19" spans="1:257" s="176" customFormat="1" ht="18.649999999999999" customHeight="1">
      <c r="A19" s="326" t="s">
        <v>427</v>
      </c>
      <c r="B19" s="309">
        <v>0</v>
      </c>
      <c r="C19" s="309">
        <v>0</v>
      </c>
      <c r="D19" s="309">
        <v>0</v>
      </c>
      <c r="E19" s="309">
        <v>0</v>
      </c>
      <c r="F19" s="309">
        <v>0</v>
      </c>
      <c r="G19" s="309">
        <v>0</v>
      </c>
      <c r="H19" s="309">
        <v>0</v>
      </c>
      <c r="I19" s="309">
        <v>0</v>
      </c>
      <c r="J19" s="309">
        <v>0</v>
      </c>
      <c r="K19" s="309">
        <v>0</v>
      </c>
      <c r="L19" s="309">
        <v>0</v>
      </c>
      <c r="M19" s="309">
        <v>0</v>
      </c>
      <c r="N19" s="309">
        <v>0</v>
      </c>
      <c r="O19" s="309">
        <v>0</v>
      </c>
      <c r="P19" s="309">
        <v>0</v>
      </c>
      <c r="Q19" s="309"/>
      <c r="R19" s="309"/>
      <c r="S19" s="309"/>
      <c r="T19" s="309"/>
      <c r="U19" s="309"/>
      <c r="V19" s="309"/>
      <c r="W19" s="309"/>
      <c r="X19" s="309"/>
      <c r="Y19" s="309"/>
      <c r="Z19" s="309"/>
      <c r="AA19" s="309"/>
      <c r="AB19" s="310"/>
      <c r="AC19" s="311"/>
      <c r="AD19" s="311"/>
      <c r="AE19" s="311"/>
      <c r="AF19" s="311"/>
      <c r="AG19" s="311"/>
      <c r="AH19" s="312"/>
      <c r="AI19" s="311"/>
      <c r="AJ19" s="311"/>
      <c r="AK19" s="311"/>
      <c r="AL19" s="311"/>
      <c r="AM19" s="311"/>
      <c r="AN19" s="311"/>
      <c r="AO19" s="311"/>
      <c r="AP19" s="311"/>
      <c r="AQ19" s="311"/>
      <c r="AR19" s="311"/>
      <c r="AS19" s="311"/>
      <c r="AT19" s="311"/>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74"/>
      <c r="CG19" s="174"/>
      <c r="CH19" s="174"/>
      <c r="CI19" s="174"/>
      <c r="CJ19" s="174"/>
      <c r="CK19" s="174"/>
      <c r="CL19" s="174"/>
      <c r="CM19" s="174"/>
      <c r="CN19" s="174"/>
      <c r="CO19" s="174"/>
      <c r="CP19" s="174"/>
      <c r="CQ19" s="174"/>
      <c r="CR19" s="174"/>
      <c r="CS19" s="174"/>
      <c r="CT19" s="174"/>
      <c r="CU19" s="174"/>
      <c r="CV19" s="174"/>
      <c r="CW19" s="174"/>
      <c r="CX19" s="174"/>
      <c r="CY19" s="174"/>
      <c r="CZ19" s="174"/>
      <c r="DA19" s="174"/>
      <c r="DB19" s="174"/>
      <c r="DC19" s="174"/>
      <c r="DD19" s="174"/>
      <c r="DE19" s="174"/>
      <c r="DF19" s="174"/>
      <c r="DG19" s="174"/>
      <c r="DH19" s="174"/>
      <c r="DI19" s="174"/>
      <c r="DJ19" s="174"/>
      <c r="DK19" s="174"/>
      <c r="DL19" s="174"/>
      <c r="DM19" s="174"/>
      <c r="DN19" s="174"/>
      <c r="DO19" s="174"/>
      <c r="DP19" s="174"/>
      <c r="DQ19" s="174"/>
      <c r="DR19" s="174"/>
      <c r="DS19" s="174"/>
      <c r="DT19" s="174"/>
      <c r="DU19" s="174"/>
      <c r="DV19" s="174"/>
      <c r="DW19" s="174"/>
      <c r="DX19" s="174"/>
      <c r="DY19" s="174"/>
      <c r="DZ19" s="174"/>
      <c r="EA19" s="174"/>
      <c r="EB19" s="174"/>
      <c r="EC19" s="174"/>
      <c r="ED19" s="174"/>
      <c r="EE19" s="174"/>
      <c r="EF19" s="174"/>
      <c r="EG19" s="174"/>
      <c r="EH19" s="174"/>
      <c r="EI19" s="174"/>
      <c r="EJ19" s="174"/>
      <c r="EK19" s="174"/>
      <c r="EL19" s="174"/>
      <c r="EM19" s="174"/>
      <c r="EN19" s="174"/>
      <c r="EO19" s="174"/>
      <c r="EP19" s="174"/>
      <c r="EQ19" s="174"/>
      <c r="ER19" s="174"/>
      <c r="ES19" s="174"/>
      <c r="ET19" s="174"/>
      <c r="EU19" s="174"/>
      <c r="EV19" s="174"/>
      <c r="EW19" s="174"/>
      <c r="EX19" s="174"/>
      <c r="EY19" s="174"/>
      <c r="EZ19" s="174"/>
      <c r="FA19" s="174"/>
      <c r="FB19" s="174"/>
      <c r="FC19" s="174"/>
      <c r="FD19" s="174"/>
      <c r="FE19" s="174"/>
      <c r="FF19" s="174"/>
      <c r="FG19" s="174"/>
      <c r="FH19" s="174"/>
      <c r="FI19" s="174"/>
      <c r="FJ19" s="174"/>
      <c r="FK19" s="174"/>
      <c r="FL19" s="174"/>
      <c r="FM19" s="174"/>
      <c r="FN19" s="174"/>
      <c r="FO19" s="174"/>
      <c r="FP19" s="174"/>
      <c r="FQ19" s="174"/>
      <c r="FR19" s="174"/>
      <c r="FS19" s="174"/>
      <c r="FT19" s="174"/>
      <c r="FU19" s="174"/>
      <c r="FV19" s="174"/>
      <c r="FW19" s="174"/>
      <c r="FX19" s="174"/>
      <c r="FY19" s="174"/>
      <c r="FZ19" s="174"/>
      <c r="GA19" s="174"/>
      <c r="GB19" s="174"/>
      <c r="GC19" s="174"/>
      <c r="GD19" s="174"/>
      <c r="GE19" s="174"/>
      <c r="GF19" s="174"/>
      <c r="GG19" s="174"/>
      <c r="GH19" s="174"/>
      <c r="GI19" s="174"/>
      <c r="GJ19" s="174"/>
      <c r="GK19" s="174"/>
      <c r="GL19" s="174"/>
      <c r="GM19" s="174"/>
      <c r="GN19" s="174"/>
      <c r="GO19" s="174"/>
      <c r="GP19" s="174"/>
      <c r="GQ19" s="174"/>
      <c r="GR19" s="174"/>
      <c r="GS19" s="174"/>
      <c r="GT19" s="174"/>
      <c r="GU19" s="174"/>
      <c r="GV19" s="174"/>
      <c r="GW19" s="174"/>
      <c r="GX19" s="174"/>
      <c r="GY19" s="174"/>
      <c r="GZ19" s="174"/>
      <c r="HA19" s="174"/>
      <c r="HB19" s="174"/>
      <c r="HC19" s="174"/>
      <c r="HD19" s="174"/>
      <c r="HE19" s="174"/>
      <c r="HF19" s="174"/>
      <c r="HG19" s="174"/>
      <c r="HH19" s="174"/>
      <c r="HI19" s="174"/>
      <c r="HJ19" s="174"/>
      <c r="HK19" s="174"/>
      <c r="HL19" s="174"/>
      <c r="HM19" s="174"/>
      <c r="HN19" s="174"/>
      <c r="HO19" s="174"/>
      <c r="HP19" s="174"/>
      <c r="HQ19" s="174"/>
      <c r="HR19" s="174"/>
      <c r="HS19" s="174"/>
      <c r="HT19" s="174"/>
      <c r="HU19" s="174"/>
      <c r="HV19" s="174"/>
      <c r="HW19" s="174"/>
      <c r="HX19" s="174"/>
      <c r="HY19" s="174"/>
      <c r="HZ19" s="174"/>
      <c r="IA19" s="174"/>
      <c r="IB19" s="174"/>
      <c r="IC19" s="174"/>
      <c r="ID19" s="174"/>
      <c r="IE19" s="174"/>
      <c r="IF19" s="174"/>
      <c r="IG19" s="174"/>
      <c r="IH19" s="174"/>
      <c r="II19" s="174"/>
      <c r="IJ19" s="174"/>
      <c r="IK19" s="174"/>
      <c r="IL19" s="174"/>
      <c r="IM19" s="174"/>
      <c r="IN19" s="174"/>
      <c r="IO19" s="174"/>
      <c r="IP19" s="174"/>
      <c r="IQ19" s="174"/>
      <c r="IR19" s="174"/>
      <c r="IS19" s="174"/>
      <c r="IT19" s="174"/>
      <c r="IU19" s="174"/>
      <c r="IV19" s="174"/>
      <c r="IW19" s="174"/>
    </row>
    <row r="20" spans="1:257" s="176" customFormat="1" ht="18.649999999999999" customHeight="1">
      <c r="A20" s="327" t="s">
        <v>248</v>
      </c>
      <c r="B20" s="291">
        <v>15</v>
      </c>
      <c r="C20" s="291">
        <v>6.4</v>
      </c>
      <c r="D20" s="291">
        <v>9.1999999999999993</v>
      </c>
      <c r="E20" s="291">
        <v>12.1</v>
      </c>
      <c r="F20" s="291">
        <v>12.7</v>
      </c>
      <c r="G20" s="291">
        <v>15.3</v>
      </c>
      <c r="H20" s="291">
        <v>17.100000000000001</v>
      </c>
      <c r="I20" s="291">
        <v>22.2</v>
      </c>
      <c r="J20" s="291">
        <v>24.3</v>
      </c>
      <c r="K20" s="291">
        <v>24.5</v>
      </c>
      <c r="L20" s="291">
        <v>26</v>
      </c>
      <c r="M20" s="291">
        <v>29.2</v>
      </c>
      <c r="N20" s="291">
        <v>31.4</v>
      </c>
      <c r="O20" s="291">
        <v>40.6</v>
      </c>
      <c r="P20" s="291">
        <v>46.1</v>
      </c>
      <c r="Q20" s="291">
        <v>44.9</v>
      </c>
      <c r="R20" s="291">
        <v>51.1</v>
      </c>
      <c r="S20" s="291">
        <v>52.4</v>
      </c>
      <c r="T20" s="291">
        <v>48.9</v>
      </c>
      <c r="U20" s="291">
        <v>49.4</v>
      </c>
      <c r="V20" s="291">
        <v>48.4</v>
      </c>
      <c r="W20" s="291">
        <v>49.1</v>
      </c>
      <c r="X20" s="291">
        <v>48.5</v>
      </c>
      <c r="Y20" s="291">
        <v>49.9</v>
      </c>
      <c r="Z20" s="291">
        <v>53.3</v>
      </c>
      <c r="AA20" s="291">
        <v>56.4</v>
      </c>
      <c r="AB20" s="293">
        <v>53.4</v>
      </c>
      <c r="AC20" s="294">
        <v>76.009</v>
      </c>
      <c r="AD20" s="294">
        <v>76.900000000000006</v>
      </c>
      <c r="AE20" s="294">
        <v>78.7</v>
      </c>
      <c r="AF20" s="294">
        <v>80.530576881176245</v>
      </c>
      <c r="AG20" s="294">
        <v>79.209488511332921</v>
      </c>
      <c r="AH20" s="295">
        <v>80.599999999999994</v>
      </c>
      <c r="AI20" s="296">
        <v>89.1</v>
      </c>
      <c r="AJ20" s="296">
        <v>83.4</v>
      </c>
      <c r="AK20" s="297">
        <v>89.190742819737665</v>
      </c>
      <c r="AL20" s="297">
        <v>85.597791098136184</v>
      </c>
      <c r="AM20" s="297">
        <v>58.6</v>
      </c>
      <c r="AN20" s="297">
        <v>40.96293249063028</v>
      </c>
      <c r="AO20" s="297">
        <v>39.749498006875612</v>
      </c>
      <c r="AP20" s="297">
        <v>32.529644248456414</v>
      </c>
      <c r="AQ20" s="297">
        <v>29.3</v>
      </c>
      <c r="AR20" s="297">
        <v>29.4</v>
      </c>
      <c r="AS20" s="297">
        <v>30.3</v>
      </c>
      <c r="AT20" s="297">
        <v>24.7</v>
      </c>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4"/>
      <c r="DD20" s="174"/>
      <c r="DE20" s="174"/>
      <c r="DF20" s="174"/>
      <c r="DG20" s="174"/>
      <c r="DH20" s="174"/>
      <c r="DI20" s="174"/>
      <c r="DJ20" s="174"/>
      <c r="DK20" s="174"/>
      <c r="DL20" s="174"/>
      <c r="DM20" s="174"/>
      <c r="DN20" s="174"/>
      <c r="DO20" s="174"/>
      <c r="DP20" s="174"/>
      <c r="DQ20" s="174"/>
      <c r="DR20" s="174"/>
      <c r="DS20" s="174"/>
      <c r="DT20" s="174"/>
      <c r="DU20" s="174"/>
      <c r="DV20" s="174"/>
      <c r="DW20" s="174"/>
      <c r="DX20" s="174"/>
      <c r="DY20" s="174"/>
      <c r="DZ20" s="174"/>
      <c r="EA20" s="174"/>
      <c r="EB20" s="174"/>
      <c r="EC20" s="174"/>
      <c r="ED20" s="174"/>
      <c r="EE20" s="174"/>
      <c r="EF20" s="174"/>
      <c r="EG20" s="174"/>
      <c r="EH20" s="174"/>
      <c r="EI20" s="174"/>
      <c r="EJ20" s="174"/>
      <c r="EK20" s="174"/>
      <c r="EL20" s="174"/>
      <c r="EM20" s="174"/>
      <c r="EN20" s="174"/>
      <c r="EO20" s="174"/>
      <c r="EP20" s="174"/>
      <c r="EQ20" s="174"/>
      <c r="ER20" s="174"/>
      <c r="ES20" s="174"/>
      <c r="ET20" s="174"/>
      <c r="EU20" s="174"/>
      <c r="EV20" s="174"/>
      <c r="EW20" s="174"/>
      <c r="EX20" s="174"/>
      <c r="EY20" s="174"/>
      <c r="EZ20" s="174"/>
      <c r="FA20" s="174"/>
      <c r="FB20" s="174"/>
      <c r="FC20" s="174"/>
      <c r="FD20" s="174"/>
      <c r="FE20" s="174"/>
      <c r="FF20" s="174"/>
      <c r="FG20" s="174"/>
      <c r="FH20" s="174"/>
      <c r="FI20" s="174"/>
      <c r="FJ20" s="174"/>
      <c r="FK20" s="174"/>
      <c r="FL20" s="174"/>
      <c r="FM20" s="174"/>
      <c r="FN20" s="174"/>
      <c r="FO20" s="174"/>
      <c r="FP20" s="174"/>
      <c r="FQ20" s="174"/>
      <c r="FR20" s="174"/>
      <c r="FS20" s="174"/>
      <c r="FT20" s="174"/>
      <c r="FU20" s="174"/>
      <c r="FV20" s="174"/>
      <c r="FW20" s="174"/>
      <c r="FX20" s="174"/>
      <c r="FY20" s="174"/>
      <c r="FZ20" s="174"/>
      <c r="GA20" s="174"/>
      <c r="GB20" s="174"/>
      <c r="GC20" s="174"/>
      <c r="GD20" s="174"/>
      <c r="GE20" s="174"/>
      <c r="GF20" s="174"/>
      <c r="GG20" s="174"/>
      <c r="GH20" s="174"/>
      <c r="GI20" s="174"/>
      <c r="GJ20" s="174"/>
      <c r="GK20" s="174"/>
      <c r="GL20" s="174"/>
      <c r="GM20" s="174"/>
      <c r="GN20" s="174"/>
      <c r="GO20" s="174"/>
      <c r="GP20" s="174"/>
      <c r="GQ20" s="174"/>
      <c r="GR20" s="174"/>
      <c r="GS20" s="174"/>
      <c r="GT20" s="174"/>
      <c r="GU20" s="174"/>
      <c r="GV20" s="174"/>
      <c r="GW20" s="174"/>
      <c r="GX20" s="174"/>
      <c r="GY20" s="174"/>
      <c r="GZ20" s="174"/>
      <c r="HA20" s="174"/>
      <c r="HB20" s="174"/>
      <c r="HC20" s="174"/>
      <c r="HD20" s="174"/>
      <c r="HE20" s="174"/>
      <c r="HF20" s="174"/>
      <c r="HG20" s="174"/>
      <c r="HH20" s="174"/>
      <c r="HI20" s="174"/>
      <c r="HJ20" s="174"/>
      <c r="HK20" s="174"/>
      <c r="HL20" s="174"/>
      <c r="HM20" s="174"/>
      <c r="HN20" s="174"/>
      <c r="HO20" s="174"/>
      <c r="HP20" s="174"/>
      <c r="HQ20" s="174"/>
      <c r="HR20" s="174"/>
      <c r="HS20" s="174"/>
      <c r="HT20" s="174"/>
      <c r="HU20" s="174"/>
      <c r="HV20" s="174"/>
      <c r="HW20" s="174"/>
      <c r="HX20" s="174"/>
      <c r="HY20" s="174"/>
      <c r="HZ20" s="174"/>
      <c r="IA20" s="174"/>
      <c r="IB20" s="174"/>
      <c r="IC20" s="174"/>
      <c r="ID20" s="174"/>
      <c r="IE20" s="174"/>
      <c r="IF20" s="174"/>
      <c r="IG20" s="174"/>
      <c r="IH20" s="174"/>
      <c r="II20" s="174"/>
      <c r="IJ20" s="174"/>
      <c r="IK20" s="174"/>
      <c r="IL20" s="174"/>
      <c r="IM20" s="174"/>
      <c r="IN20" s="174"/>
      <c r="IO20" s="174"/>
      <c r="IP20" s="174"/>
      <c r="IQ20" s="174"/>
      <c r="IR20" s="174"/>
      <c r="IS20" s="174"/>
      <c r="IT20" s="174"/>
      <c r="IU20" s="174"/>
      <c r="IV20" s="174"/>
      <c r="IW20" s="174"/>
    </row>
    <row r="21" spans="1:257" s="176" customFormat="1" ht="18.649999999999999" customHeight="1">
      <c r="A21" s="327" t="s">
        <v>249</v>
      </c>
      <c r="B21" s="291">
        <v>0</v>
      </c>
      <c r="C21" s="291">
        <v>0</v>
      </c>
      <c r="D21" s="291">
        <v>0</v>
      </c>
      <c r="E21" s="291">
        <v>0</v>
      </c>
      <c r="F21" s="291">
        <v>0</v>
      </c>
      <c r="G21" s="291">
        <v>0.1</v>
      </c>
      <c r="H21" s="291">
        <v>0.5</v>
      </c>
      <c r="I21" s="291">
        <v>0.8</v>
      </c>
      <c r="J21" s="291">
        <v>1.1000000000000001</v>
      </c>
      <c r="K21" s="291">
        <v>1.7</v>
      </c>
      <c r="L21" s="291">
        <v>2.4</v>
      </c>
      <c r="M21" s="291">
        <v>3.6</v>
      </c>
      <c r="N21" s="291">
        <v>4.8</v>
      </c>
      <c r="O21" s="291">
        <v>5.5</v>
      </c>
      <c r="P21" s="291">
        <v>6.8</v>
      </c>
      <c r="Q21" s="291">
        <v>8.5</v>
      </c>
      <c r="R21" s="291">
        <v>10.6</v>
      </c>
      <c r="S21" s="291">
        <v>12.4</v>
      </c>
      <c r="T21" s="291">
        <v>14.1</v>
      </c>
      <c r="U21" s="291">
        <v>15.3</v>
      </c>
      <c r="V21" s="291">
        <v>16.100000000000001</v>
      </c>
      <c r="W21" s="291">
        <v>16.8</v>
      </c>
      <c r="X21" s="291">
        <v>17.2</v>
      </c>
      <c r="Y21" s="291">
        <v>17.399999999999999</v>
      </c>
      <c r="Z21" s="291">
        <v>17.5</v>
      </c>
      <c r="AA21" s="291">
        <v>17.399999999999999</v>
      </c>
      <c r="AB21" s="293">
        <v>17.399999999999999</v>
      </c>
      <c r="AC21" s="294">
        <v>22.885000000000002</v>
      </c>
      <c r="AD21" s="294">
        <v>24.4</v>
      </c>
      <c r="AE21" s="294">
        <v>24.6</v>
      </c>
      <c r="AF21" s="294">
        <v>24.957999999999998</v>
      </c>
      <c r="AG21" s="294">
        <v>28.347999999999999</v>
      </c>
      <c r="AH21" s="295">
        <v>30.2</v>
      </c>
      <c r="AI21" s="296">
        <v>35.700000000000003</v>
      </c>
      <c r="AJ21" s="296">
        <v>38.700000000000003</v>
      </c>
      <c r="AK21" s="297">
        <v>41.33590118</v>
      </c>
      <c r="AL21" s="297">
        <v>42.480182859999999</v>
      </c>
      <c r="AM21" s="297">
        <v>42.5</v>
      </c>
      <c r="AN21" s="297">
        <v>43.360067620000002</v>
      </c>
      <c r="AO21" s="297">
        <v>45.052117350000003</v>
      </c>
      <c r="AP21" s="297">
        <v>46.68507893999999</v>
      </c>
      <c r="AQ21" s="297">
        <v>47.4</v>
      </c>
      <c r="AR21" s="297">
        <v>56</v>
      </c>
      <c r="AS21" s="297">
        <v>54.9</v>
      </c>
      <c r="AT21" s="297">
        <v>54.3</v>
      </c>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4"/>
      <c r="DD21" s="174"/>
      <c r="DE21" s="174"/>
      <c r="DF21" s="174"/>
      <c r="DG21" s="174"/>
      <c r="DH21" s="174"/>
      <c r="DI21" s="174"/>
      <c r="DJ21" s="174"/>
      <c r="DK21" s="174"/>
      <c r="DL21" s="174"/>
      <c r="DM21" s="174"/>
      <c r="DN21" s="174"/>
      <c r="DO21" s="174"/>
      <c r="DP21" s="174"/>
      <c r="DQ21" s="174"/>
      <c r="DR21" s="174"/>
      <c r="DS21" s="174"/>
      <c r="DT21" s="174"/>
      <c r="DU21" s="174"/>
      <c r="DV21" s="174"/>
      <c r="DW21" s="174"/>
      <c r="DX21" s="174"/>
      <c r="DY21" s="174"/>
      <c r="DZ21" s="174"/>
      <c r="EA21" s="174"/>
      <c r="EB21" s="174"/>
      <c r="EC21" s="174"/>
      <c r="ED21" s="174"/>
      <c r="EE21" s="174"/>
      <c r="EF21" s="174"/>
      <c r="EG21" s="174"/>
      <c r="EH21" s="174"/>
      <c r="EI21" s="174"/>
      <c r="EJ21" s="174"/>
      <c r="EK21" s="174"/>
      <c r="EL21" s="174"/>
      <c r="EM21" s="174"/>
      <c r="EN21" s="174"/>
      <c r="EO21" s="174"/>
      <c r="EP21" s="174"/>
      <c r="EQ21" s="174"/>
      <c r="ER21" s="174"/>
      <c r="ES21" s="174"/>
      <c r="ET21" s="174"/>
      <c r="EU21" s="174"/>
      <c r="EV21" s="174"/>
      <c r="EW21" s="174"/>
      <c r="EX21" s="174"/>
      <c r="EY21" s="174"/>
      <c r="EZ21" s="174"/>
      <c r="FA21" s="174"/>
      <c r="FB21" s="174"/>
      <c r="FC21" s="174"/>
      <c r="FD21" s="174"/>
      <c r="FE21" s="174"/>
      <c r="FF21" s="174"/>
      <c r="FG21" s="174"/>
      <c r="FH21" s="174"/>
      <c r="FI21" s="174"/>
      <c r="FJ21" s="174"/>
      <c r="FK21" s="174"/>
      <c r="FL21" s="174"/>
      <c r="FM21" s="174"/>
      <c r="FN21" s="174"/>
      <c r="FO21" s="174"/>
      <c r="FP21" s="174"/>
      <c r="FQ21" s="174"/>
      <c r="FR21" s="174"/>
      <c r="FS21" s="174"/>
      <c r="FT21" s="174"/>
      <c r="FU21" s="174"/>
      <c r="FV21" s="174"/>
      <c r="FW21" s="174"/>
      <c r="FX21" s="174"/>
      <c r="FY21" s="174"/>
      <c r="FZ21" s="174"/>
      <c r="GA21" s="174"/>
      <c r="GB21" s="174"/>
      <c r="GC21" s="174"/>
      <c r="GD21" s="174"/>
      <c r="GE21" s="174"/>
      <c r="GF21" s="174"/>
      <c r="GG21" s="174"/>
      <c r="GH21" s="174"/>
      <c r="GI21" s="174"/>
      <c r="GJ21" s="174"/>
      <c r="GK21" s="174"/>
      <c r="GL21" s="174"/>
      <c r="GM21" s="174"/>
      <c r="GN21" s="174"/>
      <c r="GO21" s="174"/>
      <c r="GP21" s="174"/>
      <c r="GQ21" s="174"/>
      <c r="GR21" s="174"/>
      <c r="GS21" s="174"/>
      <c r="GT21" s="174"/>
      <c r="GU21" s="174"/>
      <c r="GV21" s="174"/>
      <c r="GW21" s="174"/>
      <c r="GX21" s="174"/>
      <c r="GY21" s="174"/>
      <c r="GZ21" s="174"/>
      <c r="HA21" s="174"/>
      <c r="HB21" s="174"/>
      <c r="HC21" s="174"/>
      <c r="HD21" s="174"/>
      <c r="HE21" s="174"/>
      <c r="HF21" s="174"/>
      <c r="HG21" s="174"/>
      <c r="HH21" s="174"/>
      <c r="HI21" s="174"/>
      <c r="HJ21" s="174"/>
      <c r="HK21" s="174"/>
      <c r="HL21" s="174"/>
      <c r="HM21" s="174"/>
      <c r="HN21" s="174"/>
      <c r="HO21" s="174"/>
      <c r="HP21" s="174"/>
      <c r="HQ21" s="174"/>
      <c r="HR21" s="174"/>
      <c r="HS21" s="174"/>
      <c r="HT21" s="174"/>
      <c r="HU21" s="174"/>
      <c r="HV21" s="174"/>
      <c r="HW21" s="174"/>
      <c r="HX21" s="174"/>
      <c r="HY21" s="174"/>
      <c r="HZ21" s="174"/>
      <c r="IA21" s="174"/>
      <c r="IB21" s="174"/>
      <c r="IC21" s="174"/>
      <c r="ID21" s="174"/>
      <c r="IE21" s="174"/>
      <c r="IF21" s="174"/>
      <c r="IG21" s="174"/>
      <c r="IH21" s="174"/>
      <c r="II21" s="174"/>
      <c r="IJ21" s="174"/>
      <c r="IK21" s="174"/>
      <c r="IL21" s="174"/>
      <c r="IM21" s="174"/>
      <c r="IN21" s="174"/>
      <c r="IO21" s="174"/>
      <c r="IP21" s="174"/>
      <c r="IQ21" s="174"/>
      <c r="IR21" s="174"/>
      <c r="IS21" s="174"/>
      <c r="IT21" s="174"/>
      <c r="IU21" s="174"/>
      <c r="IV21" s="174"/>
      <c r="IW21" s="174"/>
    </row>
    <row r="22" spans="1:257" s="176" customFormat="1" ht="18.649999999999999" customHeight="1">
      <c r="A22" s="328" t="s">
        <v>250</v>
      </c>
      <c r="B22" s="299">
        <v>9</v>
      </c>
      <c r="C22" s="299">
        <v>2.4</v>
      </c>
      <c r="D22" s="299">
        <v>3.2</v>
      </c>
      <c r="E22" s="299">
        <v>3.8</v>
      </c>
      <c r="F22" s="299">
        <v>3.9</v>
      </c>
      <c r="G22" s="299">
        <v>4.3</v>
      </c>
      <c r="H22" s="299">
        <v>4.5</v>
      </c>
      <c r="I22" s="299">
        <v>5.5</v>
      </c>
      <c r="J22" s="299">
        <v>5.6</v>
      </c>
      <c r="K22" s="299">
        <v>5.7</v>
      </c>
      <c r="L22" s="299">
        <v>5.9</v>
      </c>
      <c r="M22" s="299">
        <v>5.4</v>
      </c>
      <c r="N22" s="299">
        <v>5.7</v>
      </c>
      <c r="O22" s="299">
        <v>7.5</v>
      </c>
      <c r="P22" s="299">
        <v>8.4</v>
      </c>
      <c r="Q22" s="299">
        <v>10.199999999999999</v>
      </c>
      <c r="R22" s="299">
        <v>11.4</v>
      </c>
      <c r="S22" s="299">
        <v>11.5</v>
      </c>
      <c r="T22" s="299">
        <v>11.1</v>
      </c>
      <c r="U22" s="299">
        <v>11.4</v>
      </c>
      <c r="V22" s="299">
        <v>11.8</v>
      </c>
      <c r="W22" s="299">
        <v>12.3</v>
      </c>
      <c r="X22" s="299">
        <v>12.5</v>
      </c>
      <c r="Y22" s="299">
        <v>13.2</v>
      </c>
      <c r="Z22" s="299">
        <v>14.6</v>
      </c>
      <c r="AA22" s="299">
        <v>15.9</v>
      </c>
      <c r="AB22" s="293">
        <v>16.7</v>
      </c>
      <c r="AC22" s="294">
        <v>14.016</v>
      </c>
      <c r="AD22" s="294">
        <v>14.9</v>
      </c>
      <c r="AE22" s="294">
        <v>16.7</v>
      </c>
      <c r="AF22" s="294">
        <v>18.027533333333334</v>
      </c>
      <c r="AG22" s="294">
        <v>19.615093333333334</v>
      </c>
      <c r="AH22" s="295">
        <v>20.7</v>
      </c>
      <c r="AI22" s="296">
        <v>18.600000000000001</v>
      </c>
      <c r="AJ22" s="296">
        <v>19.2</v>
      </c>
      <c r="AK22" s="297">
        <v>20.052135293333333</v>
      </c>
      <c r="AL22" s="297">
        <v>20.139013176666666</v>
      </c>
      <c r="AM22" s="297">
        <v>20.3</v>
      </c>
      <c r="AN22" s="297">
        <v>20.750098586666667</v>
      </c>
      <c r="AO22" s="297">
        <v>21.025147253333333</v>
      </c>
      <c r="AP22" s="297">
        <v>21.130393066666663</v>
      </c>
      <c r="AQ22" s="297">
        <v>22</v>
      </c>
      <c r="AR22" s="297">
        <v>22</v>
      </c>
      <c r="AS22" s="297">
        <v>22.1</v>
      </c>
      <c r="AT22" s="297">
        <v>22.2</v>
      </c>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74"/>
      <c r="FM22" s="174"/>
      <c r="FN22" s="174"/>
      <c r="FO22" s="174"/>
      <c r="FP22" s="174"/>
      <c r="FQ22" s="174"/>
      <c r="FR22" s="174"/>
      <c r="FS22" s="174"/>
      <c r="FT22" s="174"/>
      <c r="FU22" s="174"/>
      <c r="FV22" s="174"/>
      <c r="FW22" s="174"/>
      <c r="FX22" s="174"/>
      <c r="FY22" s="174"/>
      <c r="FZ22" s="174"/>
      <c r="GA22" s="174"/>
      <c r="GB22" s="174"/>
      <c r="GC22" s="174"/>
      <c r="GD22" s="174"/>
      <c r="GE22" s="174"/>
      <c r="GF22" s="174"/>
      <c r="GG22" s="174"/>
      <c r="GH22" s="174"/>
      <c r="GI22" s="174"/>
      <c r="GJ22" s="174"/>
      <c r="GK22" s="174"/>
      <c r="GL22" s="174"/>
      <c r="GM22" s="174"/>
      <c r="GN22" s="174"/>
      <c r="GO22" s="174"/>
      <c r="GP22" s="174"/>
      <c r="GQ22" s="174"/>
      <c r="GR22" s="174"/>
      <c r="GS22" s="174"/>
      <c r="GT22" s="174"/>
      <c r="GU22" s="174"/>
      <c r="GV22" s="174"/>
      <c r="GW22" s="174"/>
      <c r="GX22" s="174"/>
      <c r="GY22" s="174"/>
      <c r="GZ22" s="174"/>
      <c r="HA22" s="174"/>
      <c r="HB22" s="174"/>
      <c r="HC22" s="174"/>
      <c r="HD22" s="174"/>
      <c r="HE22" s="174"/>
      <c r="HF22" s="174"/>
      <c r="HG22" s="174"/>
      <c r="HH22" s="174"/>
      <c r="HI22" s="174"/>
      <c r="HJ22" s="174"/>
      <c r="HK22" s="174"/>
      <c r="HL22" s="174"/>
      <c r="HM22" s="174"/>
      <c r="HN22" s="174"/>
      <c r="HO22" s="174"/>
      <c r="HP22" s="174"/>
      <c r="HQ22" s="174"/>
      <c r="HR22" s="174"/>
      <c r="HS22" s="174"/>
      <c r="HT22" s="174"/>
      <c r="HU22" s="174"/>
      <c r="HV22" s="174"/>
      <c r="HW22" s="174"/>
      <c r="HX22" s="174"/>
      <c r="HY22" s="174"/>
      <c r="HZ22" s="174"/>
      <c r="IA22" s="174"/>
      <c r="IB22" s="174"/>
      <c r="IC22" s="174"/>
      <c r="ID22" s="174"/>
      <c r="IE22" s="174"/>
      <c r="IF22" s="174"/>
      <c r="IG22" s="174"/>
      <c r="IH22" s="174"/>
      <c r="II22" s="174"/>
      <c r="IJ22" s="174"/>
      <c r="IK22" s="174"/>
      <c r="IL22" s="174"/>
      <c r="IM22" s="174"/>
      <c r="IN22" s="174"/>
      <c r="IO22" s="174"/>
      <c r="IP22" s="174"/>
      <c r="IQ22" s="174"/>
      <c r="IR22" s="174"/>
      <c r="IS22" s="174"/>
      <c r="IT22" s="174"/>
      <c r="IU22" s="174"/>
      <c r="IV22" s="174"/>
      <c r="IW22" s="174"/>
    </row>
    <row r="23" spans="1:257" s="177" customFormat="1" ht="18.649999999999999" customHeight="1" thickBot="1">
      <c r="A23" s="329" t="s">
        <v>251</v>
      </c>
      <c r="B23" s="330">
        <f t="shared" ref="B23:AM23" si="8">SUM(B20:B22)</f>
        <v>24</v>
      </c>
      <c r="C23" s="330">
        <f t="shared" si="8"/>
        <v>8.8000000000000007</v>
      </c>
      <c r="D23" s="330">
        <f t="shared" si="8"/>
        <v>12.399999999999999</v>
      </c>
      <c r="E23" s="330">
        <f t="shared" si="8"/>
        <v>15.899999999999999</v>
      </c>
      <c r="F23" s="330">
        <f t="shared" si="8"/>
        <v>16.599999999999998</v>
      </c>
      <c r="G23" s="330">
        <f t="shared" si="8"/>
        <v>19.7</v>
      </c>
      <c r="H23" s="330">
        <f t="shared" si="8"/>
        <v>22.1</v>
      </c>
      <c r="I23" s="330">
        <f t="shared" si="8"/>
        <v>28.5</v>
      </c>
      <c r="J23" s="330">
        <f t="shared" si="8"/>
        <v>31</v>
      </c>
      <c r="K23" s="330">
        <f t="shared" si="8"/>
        <v>31.9</v>
      </c>
      <c r="L23" s="330">
        <f t="shared" si="8"/>
        <v>34.299999999999997</v>
      </c>
      <c r="M23" s="330">
        <f t="shared" si="8"/>
        <v>38.199999999999996</v>
      </c>
      <c r="N23" s="330">
        <f t="shared" si="8"/>
        <v>41.9</v>
      </c>
      <c r="O23" s="330">
        <f t="shared" si="8"/>
        <v>53.6</v>
      </c>
      <c r="P23" s="330">
        <f t="shared" si="8"/>
        <v>61.3</v>
      </c>
      <c r="Q23" s="330">
        <f t="shared" si="8"/>
        <v>63.599999999999994</v>
      </c>
      <c r="R23" s="330">
        <f t="shared" si="8"/>
        <v>73.100000000000009</v>
      </c>
      <c r="S23" s="330">
        <f t="shared" si="8"/>
        <v>76.3</v>
      </c>
      <c r="T23" s="330">
        <f t="shared" si="8"/>
        <v>74.099999999999994</v>
      </c>
      <c r="U23" s="330">
        <f t="shared" si="8"/>
        <v>76.100000000000009</v>
      </c>
      <c r="V23" s="330">
        <f t="shared" si="8"/>
        <v>76.3</v>
      </c>
      <c r="W23" s="330">
        <f t="shared" si="8"/>
        <v>78.2</v>
      </c>
      <c r="X23" s="330">
        <f t="shared" si="8"/>
        <v>78.2</v>
      </c>
      <c r="Y23" s="330">
        <f t="shared" si="8"/>
        <v>80.5</v>
      </c>
      <c r="Z23" s="330">
        <f t="shared" si="8"/>
        <v>85.399999999999991</v>
      </c>
      <c r="AA23" s="330">
        <f t="shared" si="8"/>
        <v>89.7</v>
      </c>
      <c r="AB23" s="331">
        <f t="shared" si="8"/>
        <v>87.5</v>
      </c>
      <c r="AC23" s="331">
        <f t="shared" si="8"/>
        <v>112.91000000000001</v>
      </c>
      <c r="AD23" s="331">
        <f t="shared" si="8"/>
        <v>116.20000000000002</v>
      </c>
      <c r="AE23" s="331">
        <f t="shared" si="8"/>
        <v>120.00000000000001</v>
      </c>
      <c r="AF23" s="331">
        <f t="shared" si="8"/>
        <v>123.51611021450958</v>
      </c>
      <c r="AG23" s="331">
        <f t="shared" si="8"/>
        <v>127.17258184466625</v>
      </c>
      <c r="AH23" s="332">
        <f t="shared" si="8"/>
        <v>131.5</v>
      </c>
      <c r="AI23" s="331">
        <f t="shared" si="8"/>
        <v>143.4</v>
      </c>
      <c r="AJ23" s="331">
        <f t="shared" si="8"/>
        <v>141.30000000000001</v>
      </c>
      <c r="AK23" s="331">
        <f t="shared" si="8"/>
        <v>150.57877929307099</v>
      </c>
      <c r="AL23" s="331">
        <f t="shared" si="8"/>
        <v>148.21698713480282</v>
      </c>
      <c r="AM23" s="331">
        <f t="shared" si="8"/>
        <v>121.39999999999999</v>
      </c>
      <c r="AN23" s="331">
        <v>105.07309869729696</v>
      </c>
      <c r="AO23" s="331">
        <v>105.82676261020895</v>
      </c>
      <c r="AP23" s="331">
        <f t="shared" ref="AP23:AT23" si="9">SUM(AP20:AP22)</f>
        <v>100.34511625512306</v>
      </c>
      <c r="AQ23" s="331">
        <f t="shared" si="9"/>
        <v>98.7</v>
      </c>
      <c r="AR23" s="331">
        <f t="shared" si="9"/>
        <v>107.4</v>
      </c>
      <c r="AS23" s="331">
        <f t="shared" si="9"/>
        <v>107.30000000000001</v>
      </c>
      <c r="AT23" s="331">
        <f t="shared" si="9"/>
        <v>101.2</v>
      </c>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74"/>
      <c r="FM23" s="174"/>
      <c r="FN23" s="174"/>
      <c r="FO23" s="174"/>
      <c r="FP23" s="174"/>
      <c r="FQ23" s="174"/>
      <c r="FR23" s="174"/>
      <c r="FS23" s="174"/>
      <c r="FT23" s="174"/>
      <c r="FU23" s="174"/>
      <c r="FV23" s="174"/>
      <c r="FW23" s="174"/>
      <c r="FX23" s="174"/>
      <c r="FY23" s="174"/>
      <c r="FZ23" s="174"/>
      <c r="GA23" s="174"/>
      <c r="GB23" s="174"/>
      <c r="GC23" s="174"/>
      <c r="GD23" s="174"/>
      <c r="GE23" s="174"/>
      <c r="GF23" s="174"/>
      <c r="GG23" s="174"/>
      <c r="GH23" s="174"/>
      <c r="GI23" s="174"/>
      <c r="GJ23" s="174"/>
      <c r="GK23" s="174"/>
      <c r="GL23" s="174"/>
      <c r="GM23" s="174"/>
      <c r="GN23" s="174"/>
      <c r="GO23" s="174"/>
      <c r="GP23" s="174"/>
      <c r="GQ23" s="174"/>
      <c r="GR23" s="174"/>
      <c r="GS23" s="174"/>
      <c r="GT23" s="174"/>
      <c r="GU23" s="174"/>
      <c r="GV23" s="174"/>
      <c r="GW23" s="174"/>
      <c r="GX23" s="174"/>
      <c r="GY23" s="174"/>
      <c r="GZ23" s="174"/>
      <c r="HA23" s="174"/>
      <c r="HB23" s="174"/>
      <c r="HC23" s="174"/>
      <c r="HD23" s="174"/>
      <c r="HE23" s="174"/>
      <c r="HF23" s="174"/>
      <c r="HG23" s="174"/>
      <c r="HH23" s="174"/>
      <c r="HI23" s="174"/>
      <c r="HJ23" s="174"/>
      <c r="HK23" s="174"/>
      <c r="HL23" s="174"/>
      <c r="HM23" s="174"/>
      <c r="HN23" s="174"/>
      <c r="HO23" s="174"/>
      <c r="HP23" s="174"/>
      <c r="HQ23" s="174"/>
      <c r="HR23" s="174"/>
      <c r="HS23" s="174"/>
      <c r="HT23" s="174"/>
      <c r="HU23" s="174"/>
      <c r="HV23" s="174"/>
      <c r="HW23" s="174"/>
      <c r="HX23" s="174"/>
      <c r="HY23" s="174"/>
      <c r="HZ23" s="174"/>
      <c r="IA23" s="174"/>
      <c r="IB23" s="174"/>
      <c r="IC23" s="174"/>
      <c r="ID23" s="174"/>
      <c r="IE23" s="174"/>
      <c r="IF23" s="174"/>
      <c r="IG23" s="174"/>
      <c r="IH23" s="174"/>
      <c r="II23" s="174"/>
      <c r="IJ23" s="174"/>
      <c r="IK23" s="174"/>
      <c r="IL23" s="174"/>
      <c r="IM23" s="174"/>
      <c r="IN23" s="174"/>
      <c r="IO23" s="174"/>
      <c r="IP23" s="174"/>
      <c r="IQ23" s="174"/>
      <c r="IR23" s="174"/>
      <c r="IS23" s="174"/>
      <c r="IT23" s="174"/>
      <c r="IU23" s="174"/>
      <c r="IV23" s="174"/>
      <c r="IW23" s="174"/>
    </row>
    <row r="24" spans="1:257" s="177" customFormat="1" ht="18.649999999999999" customHeight="1" thickBot="1">
      <c r="A24" s="305" t="s">
        <v>252</v>
      </c>
      <c r="B24" s="306">
        <f t="shared" ref="B24:AM24" si="10">B18+B23</f>
        <v>41.3</v>
      </c>
      <c r="C24" s="306">
        <f t="shared" si="10"/>
        <v>17.2</v>
      </c>
      <c r="D24" s="306">
        <f t="shared" si="10"/>
        <v>28.5</v>
      </c>
      <c r="E24" s="306">
        <f t="shared" si="10"/>
        <v>39.199999999999996</v>
      </c>
      <c r="F24" s="306">
        <f t="shared" si="10"/>
        <v>52.2</v>
      </c>
      <c r="G24" s="306">
        <f t="shared" si="10"/>
        <v>55.5</v>
      </c>
      <c r="H24" s="306">
        <f t="shared" si="10"/>
        <v>65.400000000000006</v>
      </c>
      <c r="I24" s="306">
        <f t="shared" si="10"/>
        <v>80.400000000000006</v>
      </c>
      <c r="J24" s="306">
        <f t="shared" si="10"/>
        <v>68.8</v>
      </c>
      <c r="K24" s="306">
        <f t="shared" si="10"/>
        <v>78.5</v>
      </c>
      <c r="L24" s="306">
        <f t="shared" si="10"/>
        <v>90.5</v>
      </c>
      <c r="M24" s="306">
        <f t="shared" si="10"/>
        <v>95.5</v>
      </c>
      <c r="N24" s="306">
        <f t="shared" si="10"/>
        <v>137.30000000000001</v>
      </c>
      <c r="O24" s="306">
        <f t="shared" si="10"/>
        <v>133.69999999999999</v>
      </c>
      <c r="P24" s="306">
        <f t="shared" si="10"/>
        <v>152.1</v>
      </c>
      <c r="Q24" s="306">
        <f t="shared" si="10"/>
        <v>171.1</v>
      </c>
      <c r="R24" s="306">
        <f t="shared" si="10"/>
        <v>177</v>
      </c>
      <c r="S24" s="306">
        <f t="shared" si="10"/>
        <v>194.4</v>
      </c>
      <c r="T24" s="306">
        <f t="shared" si="10"/>
        <v>215.38</v>
      </c>
      <c r="U24" s="306">
        <f t="shared" si="10"/>
        <v>223.2</v>
      </c>
      <c r="V24" s="306">
        <f t="shared" si="10"/>
        <v>222.10000000000002</v>
      </c>
      <c r="W24" s="306">
        <f t="shared" si="10"/>
        <v>224.7</v>
      </c>
      <c r="X24" s="306">
        <f t="shared" si="10"/>
        <v>273.31</v>
      </c>
      <c r="Y24" s="306">
        <f t="shared" si="10"/>
        <v>280.255</v>
      </c>
      <c r="Z24" s="306">
        <f t="shared" si="10"/>
        <v>288.3</v>
      </c>
      <c r="AA24" s="306">
        <f t="shared" si="10"/>
        <v>283.43</v>
      </c>
      <c r="AB24" s="307">
        <f t="shared" si="10"/>
        <v>286.05</v>
      </c>
      <c r="AC24" s="307">
        <f t="shared" si="10"/>
        <v>312.65700000000004</v>
      </c>
      <c r="AD24" s="307">
        <f t="shared" si="10"/>
        <v>327.31993393999994</v>
      </c>
      <c r="AE24" s="307">
        <f t="shared" si="10"/>
        <v>362.12944282999996</v>
      </c>
      <c r="AF24" s="307">
        <f t="shared" si="10"/>
        <v>392.79931060450963</v>
      </c>
      <c r="AG24" s="307">
        <f t="shared" si="10"/>
        <v>422.49130686466617</v>
      </c>
      <c r="AH24" s="308">
        <f t="shared" si="10"/>
        <v>453.44</v>
      </c>
      <c r="AI24" s="308">
        <f t="shared" si="10"/>
        <v>461.1</v>
      </c>
      <c r="AJ24" s="308">
        <f t="shared" si="10"/>
        <v>463.701482</v>
      </c>
      <c r="AK24" s="308">
        <f t="shared" si="10"/>
        <v>493.745298913071</v>
      </c>
      <c r="AL24" s="308">
        <f t="shared" si="10"/>
        <v>494.55773803480281</v>
      </c>
      <c r="AM24" s="308">
        <f t="shared" si="10"/>
        <v>461.29999999999995</v>
      </c>
      <c r="AN24" s="308">
        <v>453.72075550229704</v>
      </c>
      <c r="AO24" s="308">
        <v>436.12224455020896</v>
      </c>
      <c r="AP24" s="308">
        <f t="shared" ref="AP24:AT24" si="11">AP18+AP23</f>
        <v>428.00567300512307</v>
      </c>
      <c r="AQ24" s="308">
        <f t="shared" si="11"/>
        <v>443.3</v>
      </c>
      <c r="AR24" s="308">
        <f t="shared" si="11"/>
        <v>450.63191873000005</v>
      </c>
      <c r="AS24" s="308">
        <f t="shared" si="11"/>
        <v>462.5</v>
      </c>
      <c r="AT24" s="308">
        <f t="shared" si="11"/>
        <v>477.2</v>
      </c>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74"/>
      <c r="CG24" s="174"/>
      <c r="CH24" s="174"/>
      <c r="CI24" s="174"/>
      <c r="CJ24" s="174"/>
      <c r="CK24" s="174"/>
      <c r="CL24" s="174"/>
      <c r="CM24" s="174"/>
      <c r="CN24" s="174"/>
      <c r="CO24" s="174"/>
      <c r="CP24" s="174"/>
      <c r="CQ24" s="174"/>
      <c r="CR24" s="174"/>
      <c r="CS24" s="174"/>
      <c r="CT24" s="174"/>
      <c r="CU24" s="174"/>
      <c r="CV24" s="174"/>
      <c r="CW24" s="174"/>
      <c r="CX24" s="174"/>
      <c r="CY24" s="174"/>
      <c r="CZ24" s="174"/>
      <c r="DA24" s="174"/>
      <c r="DB24" s="174"/>
      <c r="DC24" s="174"/>
      <c r="DD24" s="174"/>
      <c r="DE24" s="174"/>
      <c r="DF24" s="174"/>
      <c r="DG24" s="174"/>
      <c r="DH24" s="174"/>
      <c r="DI24" s="174"/>
      <c r="DJ24" s="174"/>
      <c r="DK24" s="174"/>
      <c r="DL24" s="174"/>
      <c r="DM24" s="174"/>
      <c r="DN24" s="174"/>
      <c r="DO24" s="174"/>
      <c r="DP24" s="174"/>
      <c r="DQ24" s="174"/>
      <c r="DR24" s="174"/>
      <c r="DS24" s="174"/>
      <c r="DT24" s="174"/>
      <c r="DU24" s="174"/>
      <c r="DV24" s="174"/>
      <c r="DW24" s="174"/>
      <c r="DX24" s="174"/>
      <c r="DY24" s="174"/>
      <c r="DZ24" s="174"/>
      <c r="EA24" s="174"/>
      <c r="EB24" s="174"/>
      <c r="EC24" s="174"/>
      <c r="ED24" s="174"/>
      <c r="EE24" s="174"/>
      <c r="EF24" s="174"/>
      <c r="EG24" s="174"/>
      <c r="EH24" s="174"/>
      <c r="EI24" s="174"/>
      <c r="EJ24" s="174"/>
      <c r="EK24" s="174"/>
      <c r="EL24" s="174"/>
      <c r="EM24" s="174"/>
      <c r="EN24" s="174"/>
      <c r="EO24" s="174"/>
      <c r="EP24" s="174"/>
      <c r="EQ24" s="174"/>
      <c r="ER24" s="174"/>
      <c r="ES24" s="174"/>
      <c r="ET24" s="174"/>
      <c r="EU24" s="174"/>
      <c r="EV24" s="174"/>
      <c r="EW24" s="174"/>
      <c r="EX24" s="174"/>
      <c r="EY24" s="174"/>
      <c r="EZ24" s="174"/>
      <c r="FA24" s="174"/>
      <c r="FB24" s="174"/>
      <c r="FC24" s="174"/>
      <c r="FD24" s="174"/>
      <c r="FE24" s="174"/>
      <c r="FF24" s="174"/>
      <c r="FG24" s="174"/>
      <c r="FH24" s="174"/>
      <c r="FI24" s="174"/>
      <c r="FJ24" s="174"/>
      <c r="FK24" s="174"/>
      <c r="FL24" s="174"/>
      <c r="FM24" s="174"/>
      <c r="FN24" s="174"/>
      <c r="FO24" s="174"/>
      <c r="FP24" s="174"/>
      <c r="FQ24" s="174"/>
      <c r="FR24" s="174"/>
      <c r="FS24" s="174"/>
      <c r="FT24" s="174"/>
      <c r="FU24" s="174"/>
      <c r="FV24" s="174"/>
      <c r="FW24" s="174"/>
      <c r="FX24" s="174"/>
      <c r="FY24" s="174"/>
      <c r="FZ24" s="174"/>
      <c r="GA24" s="174"/>
      <c r="GB24" s="174"/>
      <c r="GC24" s="174"/>
      <c r="GD24" s="174"/>
      <c r="GE24" s="174"/>
      <c r="GF24" s="174"/>
      <c r="GG24" s="174"/>
      <c r="GH24" s="174"/>
      <c r="GI24" s="174"/>
      <c r="GJ24" s="174"/>
      <c r="GK24" s="174"/>
      <c r="GL24" s="174"/>
      <c r="GM24" s="174"/>
      <c r="GN24" s="174"/>
      <c r="GO24" s="174"/>
      <c r="GP24" s="174"/>
      <c r="GQ24" s="174"/>
      <c r="GR24" s="174"/>
      <c r="GS24" s="174"/>
      <c r="GT24" s="174"/>
      <c r="GU24" s="174"/>
      <c r="GV24" s="174"/>
      <c r="GW24" s="174"/>
      <c r="GX24" s="174"/>
      <c r="GY24" s="174"/>
      <c r="GZ24" s="174"/>
      <c r="HA24" s="174"/>
      <c r="HB24" s="174"/>
      <c r="HC24" s="174"/>
      <c r="HD24" s="174"/>
      <c r="HE24" s="174"/>
      <c r="HF24" s="174"/>
      <c r="HG24" s="174"/>
      <c r="HH24" s="174"/>
      <c r="HI24" s="174"/>
      <c r="HJ24" s="174"/>
      <c r="HK24" s="174"/>
      <c r="HL24" s="174"/>
      <c r="HM24" s="174"/>
      <c r="HN24" s="174"/>
      <c r="HO24" s="174"/>
      <c r="HP24" s="174"/>
      <c r="HQ24" s="174"/>
      <c r="HR24" s="174"/>
      <c r="HS24" s="174"/>
      <c r="HT24" s="174"/>
      <c r="HU24" s="174"/>
      <c r="HV24" s="174"/>
      <c r="HW24" s="174"/>
      <c r="HX24" s="174"/>
      <c r="HY24" s="174"/>
      <c r="HZ24" s="174"/>
      <c r="IA24" s="174"/>
      <c r="IB24" s="174"/>
      <c r="IC24" s="174"/>
      <c r="ID24" s="174"/>
      <c r="IE24" s="174"/>
      <c r="IF24" s="174"/>
      <c r="IG24" s="174"/>
      <c r="IH24" s="174"/>
      <c r="II24" s="174"/>
      <c r="IJ24" s="174"/>
      <c r="IK24" s="174"/>
      <c r="IL24" s="174"/>
      <c r="IM24" s="174"/>
      <c r="IN24" s="174"/>
      <c r="IO24" s="174"/>
      <c r="IP24" s="174"/>
      <c r="IQ24" s="174"/>
      <c r="IR24" s="174"/>
      <c r="IS24" s="174"/>
      <c r="IT24" s="174"/>
      <c r="IU24" s="174"/>
      <c r="IV24" s="174"/>
      <c r="IW24" s="174"/>
    </row>
    <row r="25" spans="1:257" s="177" customFormat="1" ht="18.649999999999999" customHeight="1">
      <c r="A25" s="285" t="s">
        <v>253</v>
      </c>
      <c r="B25" s="333">
        <v>0</v>
      </c>
      <c r="C25" s="333">
        <v>0</v>
      </c>
      <c r="D25" s="333">
        <v>0</v>
      </c>
      <c r="E25" s="333">
        <v>0</v>
      </c>
      <c r="F25" s="333">
        <v>0</v>
      </c>
      <c r="G25" s="333">
        <v>0</v>
      </c>
      <c r="H25" s="333">
        <v>0</v>
      </c>
      <c r="I25" s="333">
        <v>0</v>
      </c>
      <c r="J25" s="333">
        <v>0</v>
      </c>
      <c r="K25" s="333">
        <v>0</v>
      </c>
      <c r="L25" s="333">
        <v>0</v>
      </c>
      <c r="M25" s="333">
        <v>0</v>
      </c>
      <c r="N25" s="333">
        <v>0</v>
      </c>
      <c r="O25" s="333">
        <v>0</v>
      </c>
      <c r="P25" s="333">
        <v>0</v>
      </c>
      <c r="Q25" s="333"/>
      <c r="R25" s="333"/>
      <c r="S25" s="333"/>
      <c r="T25" s="333"/>
      <c r="U25" s="333"/>
      <c r="V25" s="333"/>
      <c r="W25" s="333"/>
      <c r="X25" s="333"/>
      <c r="Y25" s="333"/>
      <c r="Z25" s="333"/>
      <c r="AA25" s="333"/>
      <c r="AB25" s="334"/>
      <c r="AC25" s="289"/>
      <c r="AD25" s="289"/>
      <c r="AE25" s="289"/>
      <c r="AF25" s="289"/>
      <c r="AG25" s="289"/>
      <c r="AH25" s="314"/>
      <c r="AI25" s="289"/>
      <c r="AJ25" s="289"/>
      <c r="AK25" s="289"/>
      <c r="AL25" s="289"/>
      <c r="AM25" s="289"/>
      <c r="AN25" s="289"/>
      <c r="AO25" s="289"/>
      <c r="AP25" s="289"/>
      <c r="AQ25" s="289"/>
      <c r="AR25" s="289"/>
      <c r="AS25" s="289"/>
      <c r="AT25" s="289"/>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4"/>
      <c r="FQ25" s="174"/>
      <c r="FR25" s="174"/>
      <c r="FS25" s="174"/>
      <c r="FT25" s="174"/>
      <c r="FU25" s="174"/>
      <c r="FV25" s="174"/>
      <c r="FW25" s="174"/>
      <c r="FX25" s="174"/>
      <c r="FY25" s="174"/>
      <c r="FZ25" s="174"/>
      <c r="GA25" s="174"/>
      <c r="GB25" s="174"/>
      <c r="GC25" s="174"/>
      <c r="GD25" s="174"/>
      <c r="GE25" s="174"/>
      <c r="GF25" s="174"/>
      <c r="GG25" s="174"/>
      <c r="GH25" s="174"/>
      <c r="GI25" s="174"/>
      <c r="GJ25" s="174"/>
      <c r="GK25" s="174"/>
      <c r="GL25" s="174"/>
      <c r="GM25" s="174"/>
      <c r="GN25" s="174"/>
      <c r="GO25" s="174"/>
      <c r="GP25" s="174"/>
      <c r="GQ25" s="174"/>
      <c r="GR25" s="174"/>
      <c r="GS25" s="174"/>
      <c r="GT25" s="174"/>
      <c r="GU25" s="174"/>
      <c r="GV25" s="174"/>
      <c r="GW25" s="174"/>
      <c r="GX25" s="174"/>
      <c r="GY25" s="174"/>
      <c r="GZ25" s="174"/>
      <c r="HA25" s="174"/>
      <c r="HB25" s="174"/>
      <c r="HC25" s="174"/>
      <c r="HD25" s="174"/>
      <c r="HE25" s="174"/>
      <c r="HF25" s="174"/>
      <c r="HG25" s="174"/>
      <c r="HH25" s="174"/>
      <c r="HI25" s="174"/>
      <c r="HJ25" s="174"/>
      <c r="HK25" s="174"/>
      <c r="HL25" s="174"/>
      <c r="HM25" s="174"/>
      <c r="HN25" s="174"/>
      <c r="HO25" s="174"/>
      <c r="HP25" s="174"/>
      <c r="HQ25" s="174"/>
      <c r="HR25" s="174"/>
      <c r="HS25" s="174"/>
      <c r="HT25" s="174"/>
      <c r="HU25" s="174"/>
      <c r="HV25" s="174"/>
      <c r="HW25" s="174"/>
      <c r="HX25" s="174"/>
      <c r="HY25" s="174"/>
      <c r="HZ25" s="174"/>
      <c r="IA25" s="174"/>
      <c r="IB25" s="174"/>
      <c r="IC25" s="174"/>
      <c r="ID25" s="174"/>
      <c r="IE25" s="174"/>
      <c r="IF25" s="174"/>
      <c r="IG25" s="174"/>
      <c r="IH25" s="174"/>
      <c r="II25" s="174"/>
      <c r="IJ25" s="174"/>
      <c r="IK25" s="174"/>
      <c r="IL25" s="174"/>
      <c r="IM25" s="174"/>
      <c r="IN25" s="174"/>
      <c r="IO25" s="174"/>
      <c r="IP25" s="174"/>
      <c r="IQ25" s="174"/>
      <c r="IR25" s="174"/>
      <c r="IS25" s="174"/>
      <c r="IT25" s="174"/>
      <c r="IU25" s="174"/>
      <c r="IV25" s="174"/>
      <c r="IW25" s="174"/>
    </row>
    <row r="26" spans="1:257" s="177" customFormat="1" ht="18.649999999999999" customHeight="1">
      <c r="A26" s="313" t="s">
        <v>334</v>
      </c>
      <c r="B26" s="291">
        <v>0</v>
      </c>
      <c r="C26" s="291">
        <v>3</v>
      </c>
      <c r="D26" s="291">
        <v>14</v>
      </c>
      <c r="E26" s="291">
        <v>1</v>
      </c>
      <c r="F26" s="291">
        <v>8</v>
      </c>
      <c r="G26" s="291">
        <v>27</v>
      </c>
      <c r="H26" s="291">
        <v>19</v>
      </c>
      <c r="I26" s="291">
        <v>9</v>
      </c>
      <c r="J26" s="291">
        <v>10</v>
      </c>
      <c r="K26" s="291">
        <v>15</v>
      </c>
      <c r="L26" s="291">
        <v>15</v>
      </c>
      <c r="M26" s="291">
        <v>15</v>
      </c>
      <c r="N26" s="291">
        <v>23</v>
      </c>
      <c r="O26" s="291">
        <v>45</v>
      </c>
      <c r="P26" s="291">
        <v>62</v>
      </c>
      <c r="Q26" s="291">
        <v>7.1</v>
      </c>
      <c r="R26" s="291">
        <v>81.7</v>
      </c>
      <c r="S26" s="291">
        <v>107.8</v>
      </c>
      <c r="T26" s="291">
        <v>116.5</v>
      </c>
      <c r="U26" s="291">
        <v>197.8</v>
      </c>
      <c r="V26" s="291">
        <v>193.1</v>
      </c>
      <c r="W26" s="291">
        <v>115.9</v>
      </c>
      <c r="X26" s="291">
        <v>12.6</v>
      </c>
      <c r="Y26" s="291">
        <v>79.2</v>
      </c>
      <c r="Z26" s="291">
        <v>21.7</v>
      </c>
      <c r="AA26" s="291">
        <v>182.1</v>
      </c>
      <c r="AB26" s="293">
        <v>397.43809968000011</v>
      </c>
      <c r="AC26" s="294">
        <v>282.625</v>
      </c>
      <c r="AD26" s="294">
        <v>273.51942685714278</v>
      </c>
      <c r="AE26" s="294">
        <v>142.81399999999999</v>
      </c>
      <c r="AF26" s="294">
        <v>99.430963576774104</v>
      </c>
      <c r="AG26" s="294">
        <v>156.68200350000001</v>
      </c>
      <c r="AH26" s="295">
        <v>152.19999999999999</v>
      </c>
      <c r="AI26" s="296">
        <v>135.50800000000001</v>
      </c>
      <c r="AJ26" s="296">
        <v>122.74434447903229</v>
      </c>
      <c r="AK26" s="297">
        <v>195.79544710838707</v>
      </c>
      <c r="AL26" s="297">
        <v>76.641885441290313</v>
      </c>
      <c r="AM26" s="297">
        <v>9.6</v>
      </c>
      <c r="AN26" s="297">
        <v>2.9</v>
      </c>
      <c r="AO26" s="297">
        <v>174.36280763741945</v>
      </c>
      <c r="AP26" s="297">
        <v>33.426027722903228</v>
      </c>
      <c r="AQ26" s="297">
        <v>190.6</v>
      </c>
      <c r="AR26" s="297">
        <v>251.92</v>
      </c>
      <c r="AS26" s="297">
        <v>89.3</v>
      </c>
      <c r="AT26" s="297">
        <v>36.6</v>
      </c>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c r="FA26" s="174"/>
      <c r="FB26" s="174"/>
      <c r="FC26" s="174"/>
      <c r="FD26" s="174"/>
      <c r="FE26" s="174"/>
      <c r="FF26" s="174"/>
      <c r="FG26" s="174"/>
      <c r="FH26" s="174"/>
      <c r="FI26" s="174"/>
      <c r="FJ26" s="174"/>
      <c r="FK26" s="174"/>
      <c r="FL26" s="174"/>
      <c r="FM26" s="174"/>
      <c r="FN26" s="174"/>
      <c r="FO26" s="174"/>
      <c r="FP26" s="174"/>
      <c r="FQ26" s="174"/>
      <c r="FR26" s="174"/>
      <c r="FS26" s="174"/>
      <c r="FT26" s="174"/>
      <c r="FU26" s="174"/>
      <c r="FV26" s="174"/>
      <c r="FW26" s="174"/>
      <c r="FX26" s="174"/>
      <c r="FY26" s="174"/>
      <c r="FZ26" s="174"/>
      <c r="GA26" s="174"/>
      <c r="GB26" s="174"/>
      <c r="GC26" s="174"/>
      <c r="GD26" s="174"/>
      <c r="GE26" s="174"/>
      <c r="GF26" s="174"/>
      <c r="GG26" s="174"/>
      <c r="GH26" s="174"/>
      <c r="GI26" s="174"/>
      <c r="GJ26" s="174"/>
      <c r="GK26" s="174"/>
      <c r="GL26" s="174"/>
      <c r="GM26" s="174"/>
      <c r="GN26" s="174"/>
      <c r="GO26" s="174"/>
      <c r="GP26" s="174"/>
      <c r="GQ26" s="174"/>
      <c r="GR26" s="174"/>
      <c r="GS26" s="174"/>
      <c r="GT26" s="174"/>
      <c r="GU26" s="174"/>
      <c r="GV26" s="174"/>
      <c r="GW26" s="174"/>
      <c r="GX26" s="174"/>
      <c r="GY26" s="174"/>
      <c r="GZ26" s="174"/>
      <c r="HA26" s="174"/>
      <c r="HB26" s="174"/>
      <c r="HC26" s="174"/>
      <c r="HD26" s="174"/>
      <c r="HE26" s="174"/>
      <c r="HF26" s="174"/>
      <c r="HG26" s="174"/>
      <c r="HH26" s="174"/>
      <c r="HI26" s="174"/>
      <c r="HJ26" s="174"/>
      <c r="HK26" s="174"/>
      <c r="HL26" s="174"/>
      <c r="HM26" s="174"/>
      <c r="HN26" s="174"/>
      <c r="HO26" s="174"/>
      <c r="HP26" s="174"/>
      <c r="HQ26" s="174"/>
      <c r="HR26" s="174"/>
      <c r="HS26" s="174"/>
      <c r="HT26" s="174"/>
      <c r="HU26" s="174"/>
      <c r="HV26" s="174"/>
      <c r="HW26" s="174"/>
      <c r="HX26" s="174"/>
      <c r="HY26" s="174"/>
      <c r="HZ26" s="174"/>
      <c r="IA26" s="174"/>
      <c r="IB26" s="174"/>
      <c r="IC26" s="174"/>
      <c r="ID26" s="174"/>
      <c r="IE26" s="174"/>
      <c r="IF26" s="174"/>
      <c r="IG26" s="174"/>
      <c r="IH26" s="174"/>
      <c r="II26" s="174"/>
      <c r="IJ26" s="174"/>
      <c r="IK26" s="174"/>
      <c r="IL26" s="174"/>
      <c r="IM26" s="174"/>
      <c r="IN26" s="174"/>
      <c r="IO26" s="174"/>
      <c r="IP26" s="174"/>
      <c r="IQ26" s="174"/>
      <c r="IR26" s="174"/>
      <c r="IS26" s="174"/>
      <c r="IT26" s="174"/>
      <c r="IU26" s="174"/>
      <c r="IV26" s="174"/>
      <c r="IW26" s="174"/>
    </row>
    <row r="27" spans="1:257" s="176" customFormat="1" ht="18.649999999999999" customHeight="1" thickBot="1">
      <c r="A27" s="313" t="s">
        <v>254</v>
      </c>
      <c r="B27" s="299">
        <v>0</v>
      </c>
      <c r="C27" s="299">
        <v>0</v>
      </c>
      <c r="D27" s="299">
        <v>0</v>
      </c>
      <c r="E27" s="299">
        <v>0</v>
      </c>
      <c r="F27" s="299">
        <v>12</v>
      </c>
      <c r="G27" s="299">
        <v>17</v>
      </c>
      <c r="H27" s="299">
        <v>74</v>
      </c>
      <c r="I27" s="299">
        <v>11</v>
      </c>
      <c r="J27" s="299">
        <v>40</v>
      </c>
      <c r="K27" s="299">
        <v>40</v>
      </c>
      <c r="L27" s="299">
        <v>40</v>
      </c>
      <c r="M27" s="299">
        <v>40</v>
      </c>
      <c r="N27" s="299">
        <v>59</v>
      </c>
      <c r="O27" s="299">
        <v>104</v>
      </c>
      <c r="P27" s="335">
        <v>111.7</v>
      </c>
      <c r="Q27" s="335">
        <v>63.5</v>
      </c>
      <c r="R27" s="335">
        <v>0</v>
      </c>
      <c r="S27" s="335">
        <v>0</v>
      </c>
      <c r="T27" s="335">
        <v>5.4</v>
      </c>
      <c r="U27" s="335">
        <v>47.6</v>
      </c>
      <c r="V27" s="335">
        <v>64.8</v>
      </c>
      <c r="W27" s="335">
        <v>1389.6</v>
      </c>
      <c r="X27" s="335">
        <v>147.80000000000001</v>
      </c>
      <c r="Y27" s="335">
        <v>171.1</v>
      </c>
      <c r="Z27" s="335">
        <v>191</v>
      </c>
      <c r="AA27" s="335">
        <v>110.8</v>
      </c>
      <c r="AB27" s="300">
        <v>168.17764031279995</v>
      </c>
      <c r="AC27" s="316">
        <v>120.69</v>
      </c>
      <c r="AD27" s="316">
        <v>274.94753118857147</v>
      </c>
      <c r="AE27" s="316">
        <v>240.31142110419358</v>
      </c>
      <c r="AF27" s="316">
        <v>310.06640616322585</v>
      </c>
      <c r="AG27" s="316">
        <v>70.690476160000003</v>
      </c>
      <c r="AH27" s="317">
        <v>38.450000000000003</v>
      </c>
      <c r="AI27" s="336">
        <v>85.804000000000002</v>
      </c>
      <c r="AJ27" s="336">
        <v>196.15177862000002</v>
      </c>
      <c r="AK27" s="319">
        <v>67.48132308645161</v>
      </c>
      <c r="AL27" s="319">
        <v>50.291036205161291</v>
      </c>
      <c r="AM27" s="319">
        <v>-20.536000000000001</v>
      </c>
      <c r="AN27" s="319">
        <v>24.260660996129033</v>
      </c>
      <c r="AO27" s="319">
        <v>177.62201441999997</v>
      </c>
      <c r="AP27" s="319">
        <v>150.01999826999997</v>
      </c>
      <c r="AQ27" s="319">
        <v>110.6</v>
      </c>
      <c r="AR27" s="319">
        <v>237.9</v>
      </c>
      <c r="AS27" s="319">
        <v>879.3</v>
      </c>
      <c r="AT27" s="319">
        <v>856.2</v>
      </c>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4"/>
      <c r="CZ27" s="174"/>
      <c r="DA27" s="174"/>
      <c r="DB27" s="174"/>
      <c r="DC27" s="174"/>
      <c r="DD27" s="174"/>
      <c r="DE27" s="174"/>
      <c r="DF27" s="174"/>
      <c r="DG27" s="174"/>
      <c r="DH27" s="174"/>
      <c r="DI27" s="174"/>
      <c r="DJ27" s="174"/>
      <c r="DK27" s="174"/>
      <c r="DL27" s="174"/>
      <c r="DM27" s="174"/>
      <c r="DN27" s="174"/>
      <c r="DO27" s="174"/>
      <c r="DP27" s="174"/>
      <c r="DQ27" s="174"/>
      <c r="DR27" s="174"/>
      <c r="DS27" s="174"/>
      <c r="DT27" s="174"/>
      <c r="DU27" s="174"/>
      <c r="DV27" s="174"/>
      <c r="DW27" s="174"/>
      <c r="DX27" s="174"/>
      <c r="DY27" s="174"/>
      <c r="DZ27" s="174"/>
      <c r="EA27" s="174"/>
      <c r="EB27" s="174"/>
      <c r="EC27" s="174"/>
      <c r="ED27" s="174"/>
      <c r="EE27" s="174"/>
      <c r="EF27" s="174"/>
      <c r="EG27" s="174"/>
      <c r="EH27" s="174"/>
      <c r="EI27" s="174"/>
      <c r="EJ27" s="174"/>
      <c r="EK27" s="174"/>
      <c r="EL27" s="174"/>
      <c r="EM27" s="174"/>
      <c r="EN27" s="174"/>
      <c r="EO27" s="174"/>
      <c r="EP27" s="174"/>
      <c r="EQ27" s="174"/>
      <c r="ER27" s="174"/>
      <c r="ES27" s="174"/>
      <c r="ET27" s="174"/>
      <c r="EU27" s="174"/>
      <c r="EV27" s="174"/>
      <c r="EW27" s="174"/>
      <c r="EX27" s="174"/>
      <c r="EY27" s="174"/>
      <c r="EZ27" s="174"/>
      <c r="FA27" s="174"/>
      <c r="FB27" s="174"/>
      <c r="FC27" s="174"/>
      <c r="FD27" s="174"/>
      <c r="FE27" s="174"/>
      <c r="FF27" s="174"/>
      <c r="FG27" s="174"/>
      <c r="FH27" s="174"/>
      <c r="FI27" s="174"/>
      <c r="FJ27" s="174"/>
      <c r="FK27" s="174"/>
      <c r="FL27" s="174"/>
      <c r="FM27" s="174"/>
      <c r="FN27" s="174"/>
      <c r="FO27" s="174"/>
      <c r="FP27" s="174"/>
      <c r="FQ27" s="174"/>
      <c r="FR27" s="174"/>
      <c r="FS27" s="174"/>
      <c r="FT27" s="174"/>
      <c r="FU27" s="174"/>
      <c r="FV27" s="174"/>
      <c r="FW27" s="174"/>
      <c r="FX27" s="174"/>
      <c r="FY27" s="174"/>
      <c r="FZ27" s="174"/>
      <c r="GA27" s="174"/>
      <c r="GB27" s="174"/>
      <c r="GC27" s="174"/>
      <c r="GD27" s="174"/>
      <c r="GE27" s="174"/>
      <c r="GF27" s="174"/>
      <c r="GG27" s="174"/>
      <c r="GH27" s="174"/>
      <c r="GI27" s="174"/>
      <c r="GJ27" s="174"/>
      <c r="GK27" s="174"/>
      <c r="GL27" s="174"/>
      <c r="GM27" s="174"/>
      <c r="GN27" s="174"/>
      <c r="GO27" s="174"/>
      <c r="GP27" s="174"/>
      <c r="GQ27" s="174"/>
      <c r="GR27" s="174"/>
      <c r="GS27" s="174"/>
      <c r="GT27" s="174"/>
      <c r="GU27" s="174"/>
      <c r="GV27" s="174"/>
      <c r="GW27" s="174"/>
      <c r="GX27" s="174"/>
      <c r="GY27" s="174"/>
      <c r="GZ27" s="174"/>
      <c r="HA27" s="174"/>
      <c r="HB27" s="174"/>
      <c r="HC27" s="174"/>
      <c r="HD27" s="174"/>
      <c r="HE27" s="174"/>
      <c r="HF27" s="174"/>
      <c r="HG27" s="174"/>
      <c r="HH27" s="174"/>
      <c r="HI27" s="174"/>
      <c r="HJ27" s="174"/>
      <c r="HK27" s="174"/>
      <c r="HL27" s="174"/>
      <c r="HM27" s="174"/>
      <c r="HN27" s="174"/>
      <c r="HO27" s="174"/>
      <c r="HP27" s="174"/>
      <c r="HQ27" s="174"/>
      <c r="HR27" s="174"/>
      <c r="HS27" s="174"/>
      <c r="HT27" s="174"/>
      <c r="HU27" s="174"/>
      <c r="HV27" s="174"/>
      <c r="HW27" s="174"/>
      <c r="HX27" s="174"/>
      <c r="HY27" s="174"/>
      <c r="HZ27" s="174"/>
      <c r="IA27" s="174"/>
      <c r="IB27" s="174"/>
      <c r="IC27" s="174"/>
      <c r="ID27" s="174"/>
      <c r="IE27" s="174"/>
      <c r="IF27" s="174"/>
      <c r="IG27" s="174"/>
      <c r="IH27" s="174"/>
      <c r="II27" s="174"/>
      <c r="IJ27" s="174"/>
      <c r="IK27" s="174"/>
      <c r="IL27" s="174"/>
      <c r="IM27" s="174"/>
      <c r="IN27" s="174"/>
      <c r="IO27" s="174"/>
      <c r="IP27" s="174"/>
      <c r="IQ27" s="174"/>
      <c r="IR27" s="174"/>
      <c r="IS27" s="174"/>
      <c r="IT27" s="174"/>
      <c r="IU27" s="174"/>
      <c r="IV27" s="174"/>
      <c r="IW27" s="174"/>
    </row>
    <row r="28" spans="1:257" s="177" customFormat="1" ht="18.649999999999999" customHeight="1" thickTop="1" thickBot="1">
      <c r="A28" s="337" t="s">
        <v>335</v>
      </c>
      <c r="B28" s="338">
        <f t="shared" ref="B28:AM28" si="12">B26+B27</f>
        <v>0</v>
      </c>
      <c r="C28" s="338">
        <f t="shared" si="12"/>
        <v>3</v>
      </c>
      <c r="D28" s="338">
        <f t="shared" si="12"/>
        <v>14</v>
      </c>
      <c r="E28" s="338">
        <f t="shared" si="12"/>
        <v>1</v>
      </c>
      <c r="F28" s="338">
        <f t="shared" si="12"/>
        <v>20</v>
      </c>
      <c r="G28" s="338">
        <f t="shared" si="12"/>
        <v>44</v>
      </c>
      <c r="H28" s="338">
        <f t="shared" si="12"/>
        <v>93</v>
      </c>
      <c r="I28" s="338">
        <f t="shared" si="12"/>
        <v>20</v>
      </c>
      <c r="J28" s="338">
        <f t="shared" si="12"/>
        <v>50</v>
      </c>
      <c r="K28" s="338">
        <f t="shared" si="12"/>
        <v>55</v>
      </c>
      <c r="L28" s="338">
        <f t="shared" si="12"/>
        <v>55</v>
      </c>
      <c r="M28" s="338">
        <f t="shared" si="12"/>
        <v>55</v>
      </c>
      <c r="N28" s="338">
        <f t="shared" si="12"/>
        <v>82</v>
      </c>
      <c r="O28" s="338">
        <f t="shared" si="12"/>
        <v>149</v>
      </c>
      <c r="P28" s="338">
        <f t="shared" si="12"/>
        <v>173.7</v>
      </c>
      <c r="Q28" s="338">
        <f t="shared" si="12"/>
        <v>70.599999999999994</v>
      </c>
      <c r="R28" s="338">
        <f t="shared" si="12"/>
        <v>81.7</v>
      </c>
      <c r="S28" s="338">
        <f t="shared" si="12"/>
        <v>107.8</v>
      </c>
      <c r="T28" s="338">
        <f t="shared" si="12"/>
        <v>121.9</v>
      </c>
      <c r="U28" s="338">
        <f t="shared" si="12"/>
        <v>245.4</v>
      </c>
      <c r="V28" s="338">
        <f t="shared" si="12"/>
        <v>257.89999999999998</v>
      </c>
      <c r="W28" s="338">
        <f t="shared" si="12"/>
        <v>1505.5</v>
      </c>
      <c r="X28" s="338">
        <f t="shared" si="12"/>
        <v>160.4</v>
      </c>
      <c r="Y28" s="338">
        <f t="shared" si="12"/>
        <v>250.3</v>
      </c>
      <c r="Z28" s="338">
        <f t="shared" si="12"/>
        <v>212.7</v>
      </c>
      <c r="AA28" s="338">
        <f t="shared" si="12"/>
        <v>292.89999999999998</v>
      </c>
      <c r="AB28" s="339">
        <f t="shared" si="12"/>
        <v>565.61573999280006</v>
      </c>
      <c r="AC28" s="339">
        <f t="shared" si="12"/>
        <v>403.315</v>
      </c>
      <c r="AD28" s="339">
        <f t="shared" si="12"/>
        <v>548.46695804571425</v>
      </c>
      <c r="AE28" s="339">
        <f t="shared" si="12"/>
        <v>383.12542110419361</v>
      </c>
      <c r="AF28" s="339">
        <f t="shared" si="12"/>
        <v>409.49736973999995</v>
      </c>
      <c r="AG28" s="339">
        <f t="shared" si="12"/>
        <v>227.37247966000001</v>
      </c>
      <c r="AH28" s="340">
        <f t="shared" si="12"/>
        <v>190.64999999999998</v>
      </c>
      <c r="AI28" s="340">
        <f t="shared" si="12"/>
        <v>221.31200000000001</v>
      </c>
      <c r="AJ28" s="340">
        <f t="shared" si="12"/>
        <v>318.89612309903231</v>
      </c>
      <c r="AK28" s="341">
        <f t="shared" si="12"/>
        <v>263.27677019483866</v>
      </c>
      <c r="AL28" s="341">
        <f t="shared" si="12"/>
        <v>126.9329216464516</v>
      </c>
      <c r="AM28" s="341">
        <f t="shared" si="12"/>
        <v>-10.936000000000002</v>
      </c>
      <c r="AN28" s="341">
        <v>27.160660996129032</v>
      </c>
      <c r="AO28" s="341">
        <v>351.98482205741942</v>
      </c>
      <c r="AP28" s="341">
        <f t="shared" ref="AP28:AT28" si="13">AP26+AP27</f>
        <v>183.4460259929032</v>
      </c>
      <c r="AQ28" s="341">
        <f t="shared" si="13"/>
        <v>301.2</v>
      </c>
      <c r="AR28" s="341">
        <f t="shared" si="13"/>
        <v>489.82</v>
      </c>
      <c r="AS28" s="341">
        <f t="shared" si="13"/>
        <v>968.59999999999991</v>
      </c>
      <c r="AT28" s="341">
        <f t="shared" si="13"/>
        <v>892.80000000000007</v>
      </c>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74"/>
      <c r="DJ28" s="174"/>
      <c r="DK28" s="174"/>
      <c r="DL28" s="174"/>
      <c r="DM28" s="174"/>
      <c r="DN28" s="174"/>
      <c r="DO28" s="174"/>
      <c r="DP28" s="174"/>
      <c r="DQ28" s="174"/>
      <c r="DR28" s="174"/>
      <c r="DS28" s="174"/>
      <c r="DT28" s="174"/>
      <c r="DU28" s="174"/>
      <c r="DV28" s="174"/>
      <c r="DW28" s="174"/>
      <c r="DX28" s="174"/>
      <c r="DY28" s="174"/>
      <c r="DZ28" s="174"/>
      <c r="EA28" s="174"/>
      <c r="EB28" s="174"/>
      <c r="EC28" s="174"/>
      <c r="ED28" s="174"/>
      <c r="EE28" s="174"/>
      <c r="EF28" s="174"/>
      <c r="EG28" s="174"/>
      <c r="EH28" s="174"/>
      <c r="EI28" s="174"/>
      <c r="EJ28" s="174"/>
      <c r="EK28" s="174"/>
      <c r="EL28" s="174"/>
      <c r="EM28" s="174"/>
      <c r="EN28" s="174"/>
      <c r="EO28" s="174"/>
      <c r="EP28" s="174"/>
      <c r="EQ28" s="174"/>
      <c r="ER28" s="174"/>
      <c r="ES28" s="174"/>
      <c r="ET28" s="174"/>
      <c r="EU28" s="174"/>
      <c r="EV28" s="174"/>
      <c r="EW28" s="174"/>
      <c r="EX28" s="174"/>
      <c r="EY28" s="174"/>
      <c r="EZ28" s="174"/>
      <c r="FA28" s="174"/>
      <c r="FB28" s="174"/>
      <c r="FC28" s="174"/>
      <c r="FD28" s="174"/>
      <c r="FE28" s="174"/>
      <c r="FF28" s="174"/>
      <c r="FG28" s="174"/>
      <c r="FH28" s="174"/>
      <c r="FI28" s="174"/>
      <c r="FJ28" s="174"/>
      <c r="FK28" s="174"/>
      <c r="FL28" s="174"/>
      <c r="FM28" s="174"/>
      <c r="FN28" s="174"/>
      <c r="FO28" s="174"/>
      <c r="FP28" s="174"/>
      <c r="FQ28" s="174"/>
      <c r="FR28" s="174"/>
      <c r="FS28" s="174"/>
      <c r="FT28" s="174"/>
      <c r="FU28" s="174"/>
      <c r="FV28" s="174"/>
      <c r="FW28" s="174"/>
      <c r="FX28" s="174"/>
      <c r="FY28" s="174"/>
      <c r="FZ28" s="174"/>
      <c r="GA28" s="174"/>
      <c r="GB28" s="174"/>
      <c r="GC28" s="174"/>
      <c r="GD28" s="174"/>
      <c r="GE28" s="174"/>
      <c r="GF28" s="174"/>
      <c r="GG28" s="174"/>
      <c r="GH28" s="174"/>
      <c r="GI28" s="174"/>
      <c r="GJ28" s="174"/>
      <c r="GK28" s="174"/>
      <c r="GL28" s="174"/>
      <c r="GM28" s="174"/>
      <c r="GN28" s="174"/>
      <c r="GO28" s="174"/>
      <c r="GP28" s="174"/>
      <c r="GQ28" s="174"/>
      <c r="GR28" s="174"/>
      <c r="GS28" s="174"/>
      <c r="GT28" s="174"/>
      <c r="GU28" s="174"/>
      <c r="GV28" s="174"/>
      <c r="GW28" s="174"/>
      <c r="GX28" s="174"/>
      <c r="GY28" s="174"/>
      <c r="GZ28" s="174"/>
      <c r="HA28" s="174"/>
      <c r="HB28" s="174"/>
      <c r="HC28" s="174"/>
      <c r="HD28" s="174"/>
      <c r="HE28" s="174"/>
      <c r="HF28" s="174"/>
      <c r="HG28" s="174"/>
      <c r="HH28" s="174"/>
      <c r="HI28" s="174"/>
      <c r="HJ28" s="174"/>
      <c r="HK28" s="174"/>
      <c r="HL28" s="174"/>
      <c r="HM28" s="174"/>
      <c r="HN28" s="174"/>
      <c r="HO28" s="174"/>
      <c r="HP28" s="174"/>
      <c r="HQ28" s="174"/>
      <c r="HR28" s="174"/>
      <c r="HS28" s="174"/>
      <c r="HT28" s="174"/>
      <c r="HU28" s="174"/>
      <c r="HV28" s="174"/>
      <c r="HW28" s="174"/>
      <c r="HX28" s="174"/>
      <c r="HY28" s="174"/>
      <c r="HZ28" s="174"/>
      <c r="IA28" s="174"/>
      <c r="IB28" s="174"/>
      <c r="IC28" s="174"/>
      <c r="ID28" s="174"/>
      <c r="IE28" s="174"/>
      <c r="IF28" s="174"/>
      <c r="IG28" s="174"/>
      <c r="IH28" s="174"/>
      <c r="II28" s="174"/>
      <c r="IJ28" s="174"/>
      <c r="IK28" s="174"/>
      <c r="IL28" s="174"/>
      <c r="IM28" s="174"/>
      <c r="IN28" s="174"/>
      <c r="IO28" s="174"/>
      <c r="IP28" s="174"/>
      <c r="IQ28" s="174"/>
      <c r="IR28" s="174"/>
      <c r="IS28" s="174"/>
      <c r="IT28" s="174"/>
      <c r="IU28" s="174"/>
      <c r="IV28" s="174"/>
      <c r="IW28" s="174"/>
    </row>
    <row r="29" spans="1:257" s="177" customFormat="1" ht="18.649999999999999" customHeight="1" thickBot="1">
      <c r="A29" s="342" t="s">
        <v>336</v>
      </c>
      <c r="B29" s="343">
        <f t="shared" ref="B29:AM29" si="14">B24+B28</f>
        <v>41.3</v>
      </c>
      <c r="C29" s="343">
        <f t="shared" si="14"/>
        <v>20.2</v>
      </c>
      <c r="D29" s="343">
        <f t="shared" si="14"/>
        <v>42.5</v>
      </c>
      <c r="E29" s="343">
        <f t="shared" si="14"/>
        <v>40.199999999999996</v>
      </c>
      <c r="F29" s="343">
        <f t="shared" si="14"/>
        <v>72.2</v>
      </c>
      <c r="G29" s="343">
        <f t="shared" si="14"/>
        <v>99.5</v>
      </c>
      <c r="H29" s="343">
        <f t="shared" si="14"/>
        <v>158.4</v>
      </c>
      <c r="I29" s="343">
        <f t="shared" si="14"/>
        <v>100.4</v>
      </c>
      <c r="J29" s="343">
        <f t="shared" si="14"/>
        <v>118.8</v>
      </c>
      <c r="K29" s="343">
        <f t="shared" si="14"/>
        <v>133.5</v>
      </c>
      <c r="L29" s="343">
        <f t="shared" si="14"/>
        <v>145.5</v>
      </c>
      <c r="M29" s="343">
        <f t="shared" si="14"/>
        <v>150.5</v>
      </c>
      <c r="N29" s="343">
        <f t="shared" si="14"/>
        <v>219.3</v>
      </c>
      <c r="O29" s="343">
        <f t="shared" si="14"/>
        <v>282.7</v>
      </c>
      <c r="P29" s="343">
        <f t="shared" si="14"/>
        <v>325.79999999999995</v>
      </c>
      <c r="Q29" s="343">
        <f t="shared" si="14"/>
        <v>241.7</v>
      </c>
      <c r="R29" s="343">
        <f t="shared" si="14"/>
        <v>258.7</v>
      </c>
      <c r="S29" s="343">
        <f t="shared" si="14"/>
        <v>302.2</v>
      </c>
      <c r="T29" s="343">
        <f t="shared" si="14"/>
        <v>337.28</v>
      </c>
      <c r="U29" s="343">
        <f t="shared" si="14"/>
        <v>468.6</v>
      </c>
      <c r="V29" s="343">
        <f t="shared" si="14"/>
        <v>480</v>
      </c>
      <c r="W29" s="343">
        <f t="shared" si="14"/>
        <v>1730.2</v>
      </c>
      <c r="X29" s="343">
        <f t="shared" si="14"/>
        <v>433.71000000000004</v>
      </c>
      <c r="Y29" s="343">
        <f t="shared" si="14"/>
        <v>530.55500000000006</v>
      </c>
      <c r="Z29" s="343">
        <f t="shared" si="14"/>
        <v>501</v>
      </c>
      <c r="AA29" s="343">
        <f t="shared" si="14"/>
        <v>576.32999999999993</v>
      </c>
      <c r="AB29" s="344">
        <f t="shared" si="14"/>
        <v>851.66573999280013</v>
      </c>
      <c r="AC29" s="345">
        <f t="shared" si="14"/>
        <v>715.97199999999998</v>
      </c>
      <c r="AD29" s="345">
        <f t="shared" si="14"/>
        <v>875.78689198571419</v>
      </c>
      <c r="AE29" s="345">
        <f t="shared" si="14"/>
        <v>745.25486393419351</v>
      </c>
      <c r="AF29" s="345">
        <f t="shared" si="14"/>
        <v>802.29668034450958</v>
      </c>
      <c r="AG29" s="345">
        <f t="shared" si="14"/>
        <v>649.86378652466624</v>
      </c>
      <c r="AH29" s="346">
        <f t="shared" si="14"/>
        <v>644.08999999999992</v>
      </c>
      <c r="AI29" s="346">
        <f t="shared" si="14"/>
        <v>682.41200000000003</v>
      </c>
      <c r="AJ29" s="346">
        <f t="shared" si="14"/>
        <v>782.59760509903231</v>
      </c>
      <c r="AK29" s="347">
        <f t="shared" si="14"/>
        <v>757.0220691079096</v>
      </c>
      <c r="AL29" s="348">
        <f t="shared" si="14"/>
        <v>621.49065968125444</v>
      </c>
      <c r="AM29" s="348">
        <f t="shared" si="14"/>
        <v>450.36399999999998</v>
      </c>
      <c r="AN29" s="348">
        <v>480.88141649842606</v>
      </c>
      <c r="AO29" s="348">
        <v>788.10706660762844</v>
      </c>
      <c r="AP29" s="348">
        <f t="shared" ref="AP29:AT29" si="15">AP24+AP28</f>
        <v>611.45169899802625</v>
      </c>
      <c r="AQ29" s="348">
        <f t="shared" si="15"/>
        <v>744.5</v>
      </c>
      <c r="AR29" s="348">
        <f t="shared" si="15"/>
        <v>940.45191872999999</v>
      </c>
      <c r="AS29" s="348">
        <f t="shared" si="15"/>
        <v>1431.1</v>
      </c>
      <c r="AT29" s="348">
        <f t="shared" si="15"/>
        <v>1370</v>
      </c>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4"/>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4"/>
      <c r="GM29" s="174"/>
      <c r="GN29" s="174"/>
      <c r="GO29" s="174"/>
      <c r="GP29" s="174"/>
      <c r="GQ29" s="174"/>
      <c r="GR29" s="174"/>
      <c r="GS29" s="174"/>
      <c r="GT29" s="174"/>
      <c r="GU29" s="174"/>
      <c r="GV29" s="174"/>
      <c r="GW29" s="174"/>
      <c r="GX29" s="174"/>
      <c r="GY29" s="174"/>
      <c r="GZ29" s="174"/>
      <c r="HA29" s="174"/>
      <c r="HB29" s="174"/>
      <c r="HC29" s="174"/>
      <c r="HD29" s="174"/>
      <c r="HE29" s="174"/>
      <c r="HF29" s="174"/>
      <c r="HG29" s="174"/>
      <c r="HH29" s="174"/>
      <c r="HI29" s="174"/>
      <c r="HJ29" s="174"/>
      <c r="HK29" s="174"/>
      <c r="HL29" s="174"/>
      <c r="HM29" s="174"/>
      <c r="HN29" s="174"/>
      <c r="HO29" s="174"/>
      <c r="HP29" s="174"/>
      <c r="HQ29" s="174"/>
      <c r="HR29" s="174"/>
      <c r="HS29" s="174"/>
      <c r="HT29" s="174"/>
      <c r="HU29" s="174"/>
      <c r="HV29" s="174"/>
      <c r="HW29" s="174"/>
      <c r="HX29" s="174"/>
      <c r="HY29" s="174"/>
      <c r="HZ29" s="174"/>
      <c r="IA29" s="174"/>
      <c r="IB29" s="174"/>
      <c r="IC29" s="174"/>
      <c r="ID29" s="174"/>
      <c r="IE29" s="174"/>
      <c r="IF29" s="174"/>
      <c r="IG29" s="174"/>
      <c r="IH29" s="174"/>
      <c r="II29" s="174"/>
      <c r="IJ29" s="174"/>
      <c r="IK29" s="174"/>
      <c r="IL29" s="174"/>
      <c r="IM29" s="174"/>
      <c r="IN29" s="174"/>
      <c r="IO29" s="174"/>
      <c r="IP29" s="174"/>
      <c r="IQ29" s="174"/>
      <c r="IR29" s="174"/>
      <c r="IS29" s="174"/>
      <c r="IT29" s="174"/>
      <c r="IU29" s="174"/>
      <c r="IV29" s="174"/>
      <c r="IW29" s="174"/>
    </row>
    <row r="30" spans="1:257" s="177" customFormat="1" ht="18.649999999999999" customHeight="1">
      <c r="A30" s="349" t="s">
        <v>255</v>
      </c>
      <c r="B30" s="350">
        <v>0</v>
      </c>
      <c r="C30" s="350">
        <v>0</v>
      </c>
      <c r="D30" s="350">
        <v>0</v>
      </c>
      <c r="E30" s="350">
        <v>0</v>
      </c>
      <c r="F30" s="350">
        <v>0</v>
      </c>
      <c r="G30" s="350">
        <v>0</v>
      </c>
      <c r="H30" s="350">
        <v>0</v>
      </c>
      <c r="I30" s="350">
        <v>0</v>
      </c>
      <c r="J30" s="350">
        <v>0</v>
      </c>
      <c r="K30" s="350">
        <v>0</v>
      </c>
      <c r="L30" s="350">
        <v>0</v>
      </c>
      <c r="M30" s="350">
        <v>0</v>
      </c>
      <c r="N30" s="350">
        <v>0</v>
      </c>
      <c r="O30" s="350">
        <v>0</v>
      </c>
      <c r="P30" s="350">
        <v>0</v>
      </c>
      <c r="Q30" s="350"/>
      <c r="R30" s="350"/>
      <c r="S30" s="350"/>
      <c r="T30" s="350"/>
      <c r="U30" s="350"/>
      <c r="V30" s="350"/>
      <c r="W30" s="350"/>
      <c r="X30" s="350"/>
      <c r="Y30" s="350"/>
      <c r="Z30" s="350"/>
      <c r="AA30" s="350"/>
      <c r="AB30" s="334"/>
      <c r="AC30" s="351"/>
      <c r="AD30" s="351"/>
      <c r="AE30" s="351"/>
      <c r="AF30" s="351"/>
      <c r="AG30" s="351"/>
      <c r="AH30" s="352"/>
      <c r="AI30" s="351"/>
      <c r="AJ30" s="351"/>
      <c r="AK30" s="351"/>
      <c r="AL30" s="351"/>
      <c r="AM30" s="351"/>
      <c r="AN30" s="351"/>
      <c r="AO30" s="351"/>
      <c r="AP30" s="351"/>
      <c r="AQ30" s="351"/>
      <c r="AR30" s="351"/>
      <c r="AS30" s="351"/>
      <c r="AT30" s="351"/>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74"/>
      <c r="CH30" s="174"/>
      <c r="CI30" s="174"/>
      <c r="CJ30" s="174"/>
      <c r="CK30" s="174"/>
      <c r="CL30" s="174"/>
      <c r="CM30" s="174"/>
      <c r="CN30" s="174"/>
      <c r="CO30" s="174"/>
      <c r="CP30" s="174"/>
      <c r="CQ30" s="174"/>
      <c r="CR30" s="174"/>
      <c r="CS30" s="174"/>
      <c r="CT30" s="174"/>
      <c r="CU30" s="174"/>
      <c r="CV30" s="174"/>
      <c r="CW30" s="174"/>
      <c r="CX30" s="174"/>
      <c r="CY30" s="174"/>
      <c r="CZ30" s="174"/>
      <c r="DA30" s="174"/>
      <c r="DB30" s="174"/>
      <c r="DC30" s="174"/>
      <c r="DD30" s="174"/>
      <c r="DE30" s="174"/>
      <c r="DF30" s="174"/>
      <c r="DG30" s="174"/>
      <c r="DH30" s="174"/>
      <c r="DI30" s="174"/>
      <c r="DJ30" s="174"/>
      <c r="DK30" s="174"/>
      <c r="DL30" s="174"/>
      <c r="DM30" s="174"/>
      <c r="DN30" s="174"/>
      <c r="DO30" s="174"/>
      <c r="DP30" s="174"/>
      <c r="DQ30" s="174"/>
      <c r="DR30" s="174"/>
      <c r="DS30" s="174"/>
      <c r="DT30" s="174"/>
      <c r="DU30" s="174"/>
      <c r="DV30" s="174"/>
      <c r="DW30" s="174"/>
      <c r="DX30" s="174"/>
      <c r="DY30" s="174"/>
      <c r="DZ30" s="174"/>
      <c r="EA30" s="174"/>
      <c r="EB30" s="174"/>
      <c r="EC30" s="174"/>
      <c r="ED30" s="174"/>
      <c r="EE30" s="174"/>
      <c r="EF30" s="174"/>
      <c r="EG30" s="174"/>
      <c r="EH30" s="174"/>
      <c r="EI30" s="174"/>
      <c r="EJ30" s="174"/>
      <c r="EK30" s="174"/>
      <c r="EL30" s="174"/>
      <c r="EM30" s="174"/>
      <c r="EN30" s="174"/>
      <c r="EO30" s="174"/>
      <c r="EP30" s="174"/>
      <c r="EQ30" s="174"/>
      <c r="ER30" s="174"/>
      <c r="ES30" s="174"/>
      <c r="ET30" s="174"/>
      <c r="EU30" s="174"/>
      <c r="EV30" s="174"/>
      <c r="EW30" s="174"/>
      <c r="EX30" s="174"/>
      <c r="EY30" s="174"/>
      <c r="EZ30" s="174"/>
      <c r="FA30" s="174"/>
      <c r="FB30" s="174"/>
      <c r="FC30" s="174"/>
      <c r="FD30" s="174"/>
      <c r="FE30" s="174"/>
      <c r="FF30" s="174"/>
      <c r="FG30" s="174"/>
      <c r="FH30" s="174"/>
      <c r="FI30" s="174"/>
      <c r="FJ30" s="174"/>
      <c r="FK30" s="174"/>
      <c r="FL30" s="174"/>
      <c r="FM30" s="174"/>
      <c r="FN30" s="174"/>
      <c r="FO30" s="174"/>
      <c r="FP30" s="174"/>
      <c r="FQ30" s="174"/>
      <c r="FR30" s="174"/>
      <c r="FS30" s="174"/>
      <c r="FT30" s="174"/>
      <c r="FU30" s="174"/>
      <c r="FV30" s="174"/>
      <c r="FW30" s="174"/>
      <c r="FX30" s="174"/>
      <c r="FY30" s="174"/>
      <c r="FZ30" s="174"/>
      <c r="GA30" s="174"/>
      <c r="GB30" s="174"/>
      <c r="GC30" s="174"/>
      <c r="GD30" s="174"/>
      <c r="GE30" s="174"/>
      <c r="GF30" s="174"/>
      <c r="GG30" s="174"/>
      <c r="GH30" s="174"/>
      <c r="GI30" s="174"/>
      <c r="GJ30" s="174"/>
      <c r="GK30" s="174"/>
      <c r="GL30" s="174"/>
      <c r="GM30" s="174"/>
      <c r="GN30" s="174"/>
      <c r="GO30" s="174"/>
      <c r="GP30" s="174"/>
      <c r="GQ30" s="174"/>
      <c r="GR30" s="174"/>
      <c r="GS30" s="174"/>
      <c r="GT30" s="174"/>
      <c r="GU30" s="174"/>
      <c r="GV30" s="174"/>
      <c r="GW30" s="174"/>
      <c r="GX30" s="174"/>
      <c r="GY30" s="174"/>
      <c r="GZ30" s="174"/>
      <c r="HA30" s="174"/>
      <c r="HB30" s="174"/>
      <c r="HC30" s="174"/>
      <c r="HD30" s="174"/>
      <c r="HE30" s="174"/>
      <c r="HF30" s="174"/>
      <c r="HG30" s="174"/>
      <c r="HH30" s="174"/>
      <c r="HI30" s="174"/>
      <c r="HJ30" s="174"/>
      <c r="HK30" s="174"/>
      <c r="HL30" s="174"/>
      <c r="HM30" s="174"/>
      <c r="HN30" s="174"/>
      <c r="HO30" s="174"/>
      <c r="HP30" s="174"/>
      <c r="HQ30" s="174"/>
      <c r="HR30" s="174"/>
      <c r="HS30" s="174"/>
      <c r="HT30" s="174"/>
      <c r="HU30" s="174"/>
      <c r="HV30" s="174"/>
      <c r="HW30" s="174"/>
      <c r="HX30" s="174"/>
      <c r="HY30" s="174"/>
      <c r="HZ30" s="174"/>
      <c r="IA30" s="174"/>
      <c r="IB30" s="174"/>
      <c r="IC30" s="174"/>
      <c r="ID30" s="174"/>
      <c r="IE30" s="174"/>
      <c r="IF30" s="174"/>
      <c r="IG30" s="174"/>
      <c r="IH30" s="174"/>
      <c r="II30" s="174"/>
      <c r="IJ30" s="174"/>
      <c r="IK30" s="174"/>
      <c r="IL30" s="174"/>
      <c r="IM30" s="174"/>
      <c r="IN30" s="174"/>
      <c r="IO30" s="174"/>
      <c r="IP30" s="174"/>
      <c r="IQ30" s="174"/>
      <c r="IR30" s="174"/>
      <c r="IS30" s="174"/>
      <c r="IT30" s="174"/>
      <c r="IU30" s="174"/>
      <c r="IV30" s="174"/>
      <c r="IW30" s="174"/>
    </row>
    <row r="31" spans="1:257" s="176" customFormat="1" ht="18.649999999999999" customHeight="1">
      <c r="A31" s="290" t="s">
        <v>256</v>
      </c>
      <c r="B31" s="291">
        <v>0</v>
      </c>
      <c r="C31" s="291">
        <v>0</v>
      </c>
      <c r="D31" s="291">
        <v>0</v>
      </c>
      <c r="E31" s="291">
        <v>0</v>
      </c>
      <c r="F31" s="291">
        <v>0</v>
      </c>
      <c r="G31" s="291">
        <v>0</v>
      </c>
      <c r="H31" s="291">
        <v>0</v>
      </c>
      <c r="I31" s="291">
        <v>0</v>
      </c>
      <c r="J31" s="291">
        <v>0</v>
      </c>
      <c r="K31" s="291">
        <v>0</v>
      </c>
      <c r="L31" s="291">
        <v>0</v>
      </c>
      <c r="M31" s="291">
        <v>0</v>
      </c>
      <c r="N31" s="291">
        <v>0</v>
      </c>
      <c r="O31" s="291">
        <v>0</v>
      </c>
      <c r="P31" s="291">
        <v>0</v>
      </c>
      <c r="Q31" s="291">
        <v>-45.2</v>
      </c>
      <c r="R31" s="291">
        <v>-25.5</v>
      </c>
      <c r="S31" s="291">
        <v>-29.7</v>
      </c>
      <c r="T31" s="291">
        <v>-35.700000000000003</v>
      </c>
      <c r="U31" s="291">
        <v>-46</v>
      </c>
      <c r="V31" s="291">
        <v>-50.4</v>
      </c>
      <c r="W31" s="291">
        <v>-336.6</v>
      </c>
      <c r="X31" s="291">
        <v>-66.400000000000006</v>
      </c>
      <c r="Y31" s="291">
        <v>-73.599999999999994</v>
      </c>
      <c r="Z31" s="291">
        <v>-77</v>
      </c>
      <c r="AA31" s="291">
        <v>-57.7</v>
      </c>
      <c r="AB31" s="293">
        <v>-76.352833301624401</v>
      </c>
      <c r="AC31" s="294">
        <v>-66.099999999999994</v>
      </c>
      <c r="AD31" s="294">
        <v>-100.50973003828143</v>
      </c>
      <c r="AE31" s="294">
        <v>-99.498658511615204</v>
      </c>
      <c r="AF31" s="294">
        <v>-122.842830841389</v>
      </c>
      <c r="AG31" s="294">
        <v>-85.34922832657</v>
      </c>
      <c r="AH31" s="353">
        <f>-(AH4+AH5+AH9+AH27)*0.223</f>
        <v>-76.981896231000007</v>
      </c>
      <c r="AI31" s="294">
        <f t="shared" ref="AI31:AM31" si="16">-(AI4+AI5+AI9+AI10+AI27)*0.223</f>
        <v>-84.094192000000007</v>
      </c>
      <c r="AJ31" s="294">
        <f t="shared" si="16"/>
        <v>-103.85257379362</v>
      </c>
      <c r="AK31" s="294">
        <f t="shared" si="16"/>
        <v>-77.718258299588697</v>
      </c>
      <c r="AL31" s="294">
        <f t="shared" si="16"/>
        <v>-72.627647443790963</v>
      </c>
      <c r="AM31" s="294">
        <f t="shared" si="16"/>
        <v>-53.734971999999999</v>
      </c>
      <c r="AN31" s="294">
        <v>-70.129514034696797</v>
      </c>
      <c r="AO31" s="294">
        <v>-98.195331043509995</v>
      </c>
      <c r="AP31" s="294">
        <f t="shared" ref="AP31:AT31" si="17">-(AP4+AP5+AP9+AP10+AP27)*0.223</f>
        <v>-95.507757760520008</v>
      </c>
      <c r="AQ31" s="294">
        <f t="shared" si="17"/>
        <v>-90.560300000000012</v>
      </c>
      <c r="AR31" s="294">
        <f t="shared" si="17"/>
        <v>-112.31422281820001</v>
      </c>
      <c r="AS31" s="294">
        <f t="shared" si="17"/>
        <v>-257.74340000000001</v>
      </c>
      <c r="AT31" s="294">
        <f t="shared" si="17"/>
        <v>-257.83260000000001</v>
      </c>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4"/>
      <c r="DD31" s="174"/>
      <c r="DE31" s="174"/>
      <c r="DF31" s="174"/>
      <c r="DG31" s="174"/>
      <c r="DH31" s="174"/>
      <c r="DI31" s="174"/>
      <c r="DJ31" s="174"/>
      <c r="DK31" s="174"/>
      <c r="DL31" s="174"/>
      <c r="DM31" s="174"/>
      <c r="DN31" s="174"/>
      <c r="DO31" s="174"/>
      <c r="DP31" s="174"/>
      <c r="DQ31" s="174"/>
      <c r="DR31" s="174"/>
      <c r="DS31" s="174"/>
      <c r="DT31" s="174"/>
      <c r="DU31" s="174"/>
      <c r="DV31" s="174"/>
      <c r="DW31" s="174"/>
      <c r="DX31" s="174"/>
      <c r="DY31" s="174"/>
      <c r="DZ31" s="174"/>
      <c r="EA31" s="174"/>
      <c r="EB31" s="174"/>
      <c r="EC31" s="174"/>
      <c r="ED31" s="174"/>
      <c r="EE31" s="174"/>
      <c r="EF31" s="174"/>
      <c r="EG31" s="174"/>
      <c r="EH31" s="174"/>
      <c r="EI31" s="174"/>
      <c r="EJ31" s="174"/>
      <c r="EK31" s="174"/>
      <c r="EL31" s="174"/>
      <c r="EM31" s="174"/>
      <c r="EN31" s="174"/>
      <c r="EO31" s="174"/>
      <c r="EP31" s="174"/>
      <c r="EQ31" s="174"/>
      <c r="ER31" s="174"/>
      <c r="ES31" s="174"/>
      <c r="ET31" s="174"/>
      <c r="EU31" s="174"/>
      <c r="EV31" s="174"/>
      <c r="EW31" s="174"/>
      <c r="EX31" s="174"/>
      <c r="EY31" s="174"/>
      <c r="EZ31" s="174"/>
      <c r="FA31" s="174"/>
      <c r="FB31" s="174"/>
      <c r="FC31" s="174"/>
      <c r="FD31" s="174"/>
      <c r="FE31" s="174"/>
      <c r="FF31" s="174"/>
      <c r="FG31" s="174"/>
      <c r="FH31" s="174"/>
      <c r="FI31" s="174"/>
      <c r="FJ31" s="174"/>
      <c r="FK31" s="174"/>
      <c r="FL31" s="174"/>
      <c r="FM31" s="174"/>
      <c r="FN31" s="174"/>
      <c r="FO31" s="174"/>
      <c r="FP31" s="174"/>
      <c r="FQ31" s="174"/>
      <c r="FR31" s="174"/>
      <c r="FS31" s="174"/>
      <c r="FT31" s="174"/>
      <c r="FU31" s="174"/>
      <c r="FV31" s="174"/>
      <c r="FW31" s="174"/>
      <c r="FX31" s="174"/>
      <c r="FY31" s="174"/>
      <c r="FZ31" s="174"/>
      <c r="GA31" s="174"/>
      <c r="GB31" s="174"/>
      <c r="GC31" s="174"/>
      <c r="GD31" s="174"/>
      <c r="GE31" s="174"/>
      <c r="GF31" s="174"/>
      <c r="GG31" s="174"/>
      <c r="GH31" s="174"/>
      <c r="GI31" s="174"/>
      <c r="GJ31" s="174"/>
      <c r="GK31" s="174"/>
      <c r="GL31" s="174"/>
      <c r="GM31" s="174"/>
      <c r="GN31" s="174"/>
      <c r="GO31" s="174"/>
      <c r="GP31" s="174"/>
      <c r="GQ31" s="174"/>
      <c r="GR31" s="174"/>
      <c r="GS31" s="174"/>
      <c r="GT31" s="174"/>
      <c r="GU31" s="174"/>
      <c r="GV31" s="174"/>
      <c r="GW31" s="174"/>
      <c r="GX31" s="174"/>
      <c r="GY31" s="174"/>
      <c r="GZ31" s="174"/>
      <c r="HA31" s="174"/>
      <c r="HB31" s="174"/>
      <c r="HC31" s="174"/>
      <c r="HD31" s="174"/>
      <c r="HE31" s="174"/>
      <c r="HF31" s="174"/>
      <c r="HG31" s="174"/>
      <c r="HH31" s="174"/>
      <c r="HI31" s="174"/>
      <c r="HJ31" s="174"/>
      <c r="HK31" s="174"/>
      <c r="HL31" s="174"/>
      <c r="HM31" s="174"/>
      <c r="HN31" s="174"/>
      <c r="HO31" s="174"/>
      <c r="HP31" s="174"/>
      <c r="HQ31" s="174"/>
      <c r="HR31" s="174"/>
      <c r="HS31" s="174"/>
      <c r="HT31" s="174"/>
      <c r="HU31" s="174"/>
      <c r="HV31" s="174"/>
      <c r="HW31" s="174"/>
      <c r="HX31" s="174"/>
      <c r="HY31" s="174"/>
      <c r="HZ31" s="174"/>
      <c r="IA31" s="174"/>
      <c r="IB31" s="174"/>
      <c r="IC31" s="174"/>
      <c r="ID31" s="174"/>
      <c r="IE31" s="174"/>
      <c r="IF31" s="174"/>
      <c r="IG31" s="174"/>
      <c r="IH31" s="174"/>
      <c r="II31" s="174"/>
      <c r="IJ31" s="174"/>
      <c r="IK31" s="174"/>
      <c r="IL31" s="174"/>
      <c r="IM31" s="174"/>
      <c r="IN31" s="174"/>
      <c r="IO31" s="174"/>
      <c r="IP31" s="174"/>
      <c r="IQ31" s="174"/>
      <c r="IR31" s="174"/>
      <c r="IS31" s="174"/>
      <c r="IT31" s="174"/>
      <c r="IU31" s="174"/>
      <c r="IV31" s="174"/>
      <c r="IW31" s="174"/>
    </row>
    <row r="32" spans="1:257" s="176" customFormat="1" ht="18.649999999999999" customHeight="1" thickBot="1">
      <c r="A32" s="298" t="s">
        <v>337</v>
      </c>
      <c r="B32" s="299">
        <v>0</v>
      </c>
      <c r="C32" s="299">
        <v>0</v>
      </c>
      <c r="D32" s="299">
        <v>0</v>
      </c>
      <c r="E32" s="299">
        <v>0</v>
      </c>
      <c r="F32" s="299">
        <v>0</v>
      </c>
      <c r="G32" s="299">
        <v>0</v>
      </c>
      <c r="H32" s="299">
        <v>0</v>
      </c>
      <c r="I32" s="299">
        <v>0</v>
      </c>
      <c r="J32" s="299">
        <v>0</v>
      </c>
      <c r="K32" s="299">
        <v>0</v>
      </c>
      <c r="L32" s="299">
        <v>0</v>
      </c>
      <c r="M32" s="299">
        <v>0</v>
      </c>
      <c r="N32" s="299">
        <v>0</v>
      </c>
      <c r="O32" s="299">
        <v>0</v>
      </c>
      <c r="P32" s="299">
        <v>0</v>
      </c>
      <c r="Q32" s="299">
        <v>0</v>
      </c>
      <c r="R32" s="299">
        <v>0</v>
      </c>
      <c r="S32" s="299">
        <v>0</v>
      </c>
      <c r="T32" s="299">
        <v>0</v>
      </c>
      <c r="U32" s="299">
        <v>0</v>
      </c>
      <c r="V32" s="299">
        <v>0</v>
      </c>
      <c r="W32" s="299">
        <v>-246.5</v>
      </c>
      <c r="X32" s="299">
        <v>0</v>
      </c>
      <c r="Y32" s="299">
        <v>-78.7</v>
      </c>
      <c r="Z32" s="299">
        <v>0</v>
      </c>
      <c r="AA32" s="299">
        <v>0</v>
      </c>
      <c r="AB32" s="354">
        <v>0</v>
      </c>
      <c r="AC32" s="354">
        <v>0</v>
      </c>
      <c r="AD32" s="354">
        <v>0</v>
      </c>
      <c r="AE32" s="354">
        <v>0</v>
      </c>
      <c r="AF32" s="354">
        <v>0</v>
      </c>
      <c r="AG32" s="354">
        <v>0</v>
      </c>
      <c r="AH32" s="355">
        <v>0</v>
      </c>
      <c r="AI32" s="354">
        <v>0</v>
      </c>
      <c r="AJ32" s="354">
        <v>0</v>
      </c>
      <c r="AK32" s="354">
        <v>0</v>
      </c>
      <c r="AL32" s="354">
        <v>0</v>
      </c>
      <c r="AM32" s="354">
        <v>0</v>
      </c>
      <c r="AN32" s="354">
        <v>0</v>
      </c>
      <c r="AO32" s="354">
        <v>0</v>
      </c>
      <c r="AP32" s="354">
        <v>0</v>
      </c>
      <c r="AQ32" s="354"/>
      <c r="AR32" s="354"/>
      <c r="AS32" s="354">
        <v>0</v>
      </c>
      <c r="AT32" s="354">
        <v>0</v>
      </c>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4"/>
      <c r="DD32" s="174"/>
      <c r="DE32" s="174"/>
      <c r="DF32" s="174"/>
      <c r="DG32" s="174"/>
      <c r="DH32" s="174"/>
      <c r="DI32" s="174"/>
      <c r="DJ32" s="174"/>
      <c r="DK32" s="174"/>
      <c r="DL32" s="174"/>
      <c r="DM32" s="174"/>
      <c r="DN32" s="174"/>
      <c r="DO32" s="174"/>
      <c r="DP32" s="174"/>
      <c r="DQ32" s="174"/>
      <c r="DR32" s="174"/>
      <c r="DS32" s="174"/>
      <c r="DT32" s="174"/>
      <c r="DU32" s="174"/>
      <c r="DV32" s="174"/>
      <c r="DW32" s="174"/>
      <c r="DX32" s="174"/>
      <c r="DY32" s="174"/>
      <c r="DZ32" s="174"/>
      <c r="EA32" s="174"/>
      <c r="EB32" s="174"/>
      <c r="EC32" s="174"/>
      <c r="ED32" s="174"/>
      <c r="EE32" s="174"/>
      <c r="EF32" s="174"/>
      <c r="EG32" s="174"/>
      <c r="EH32" s="174"/>
      <c r="EI32" s="174"/>
      <c r="EJ32" s="174"/>
      <c r="EK32" s="174"/>
      <c r="EL32" s="174"/>
      <c r="EM32" s="174"/>
      <c r="EN32" s="174"/>
      <c r="EO32" s="174"/>
      <c r="EP32" s="174"/>
      <c r="EQ32" s="174"/>
      <c r="ER32" s="174"/>
      <c r="ES32" s="174"/>
      <c r="ET32" s="174"/>
      <c r="EU32" s="174"/>
      <c r="EV32" s="174"/>
      <c r="EW32" s="174"/>
      <c r="EX32" s="174"/>
      <c r="EY32" s="174"/>
      <c r="EZ32" s="174"/>
      <c r="FA32" s="174"/>
      <c r="FB32" s="174"/>
      <c r="FC32" s="174"/>
      <c r="FD32" s="174"/>
      <c r="FE32" s="174"/>
      <c r="FF32" s="174"/>
      <c r="FG32" s="174"/>
      <c r="FH32" s="174"/>
      <c r="FI32" s="174"/>
      <c r="FJ32" s="174"/>
      <c r="FK32" s="174"/>
      <c r="FL32" s="174"/>
      <c r="FM32" s="174"/>
      <c r="FN32" s="174"/>
      <c r="FO32" s="174"/>
      <c r="FP32" s="174"/>
      <c r="FQ32" s="174"/>
      <c r="FR32" s="174"/>
      <c r="FS32" s="174"/>
      <c r="FT32" s="174"/>
      <c r="FU32" s="174"/>
      <c r="FV32" s="174"/>
      <c r="FW32" s="174"/>
      <c r="FX32" s="174"/>
      <c r="FY32" s="174"/>
      <c r="FZ32" s="174"/>
      <c r="GA32" s="174"/>
      <c r="GB32" s="174"/>
      <c r="GC32" s="174"/>
      <c r="GD32" s="174"/>
      <c r="GE32" s="174"/>
      <c r="GF32" s="174"/>
      <c r="GG32" s="174"/>
      <c r="GH32" s="174"/>
      <c r="GI32" s="174"/>
      <c r="GJ32" s="174"/>
      <c r="GK32" s="174"/>
      <c r="GL32" s="174"/>
      <c r="GM32" s="174"/>
      <c r="GN32" s="174"/>
      <c r="GO32" s="174"/>
      <c r="GP32" s="174"/>
      <c r="GQ32" s="174"/>
      <c r="GR32" s="174"/>
      <c r="GS32" s="174"/>
      <c r="GT32" s="174"/>
      <c r="GU32" s="174"/>
      <c r="GV32" s="174"/>
      <c r="GW32" s="174"/>
      <c r="GX32" s="174"/>
      <c r="GY32" s="174"/>
      <c r="GZ32" s="174"/>
      <c r="HA32" s="174"/>
      <c r="HB32" s="174"/>
      <c r="HC32" s="174"/>
      <c r="HD32" s="174"/>
      <c r="HE32" s="174"/>
      <c r="HF32" s="174"/>
      <c r="HG32" s="174"/>
      <c r="HH32" s="174"/>
      <c r="HI32" s="174"/>
      <c r="HJ32" s="174"/>
      <c r="HK32" s="174"/>
      <c r="HL32" s="174"/>
      <c r="HM32" s="174"/>
      <c r="HN32" s="174"/>
      <c r="HO32" s="174"/>
      <c r="HP32" s="174"/>
      <c r="HQ32" s="174"/>
      <c r="HR32" s="174"/>
      <c r="HS32" s="174"/>
      <c r="HT32" s="174"/>
      <c r="HU32" s="174"/>
      <c r="HV32" s="174"/>
      <c r="HW32" s="174"/>
      <c r="HX32" s="174"/>
      <c r="HY32" s="174"/>
      <c r="HZ32" s="174"/>
      <c r="IA32" s="174"/>
      <c r="IB32" s="174"/>
      <c r="IC32" s="174"/>
      <c r="ID32" s="174"/>
      <c r="IE32" s="174"/>
      <c r="IF32" s="174"/>
      <c r="IG32" s="174"/>
      <c r="IH32" s="174"/>
      <c r="II32" s="174"/>
      <c r="IJ32" s="174"/>
      <c r="IK32" s="174"/>
      <c r="IL32" s="174"/>
      <c r="IM32" s="174"/>
      <c r="IN32" s="174"/>
      <c r="IO32" s="174"/>
      <c r="IP32" s="174"/>
      <c r="IQ32" s="174"/>
      <c r="IR32" s="174"/>
      <c r="IS32" s="174"/>
      <c r="IT32" s="174"/>
      <c r="IU32" s="174"/>
      <c r="IV32" s="174"/>
      <c r="IW32" s="174"/>
    </row>
    <row r="33" spans="1:257" s="177" customFormat="1" ht="18.649999999999999" customHeight="1" thickBot="1">
      <c r="A33" s="356" t="s">
        <v>257</v>
      </c>
      <c r="B33" s="306">
        <f t="shared" ref="B33:AH33" si="18">SUM(B31:B32)</f>
        <v>0</v>
      </c>
      <c r="C33" s="306">
        <f t="shared" si="18"/>
        <v>0</v>
      </c>
      <c r="D33" s="306">
        <f t="shared" si="18"/>
        <v>0</v>
      </c>
      <c r="E33" s="306">
        <f t="shared" si="18"/>
        <v>0</v>
      </c>
      <c r="F33" s="306">
        <f t="shared" si="18"/>
        <v>0</v>
      </c>
      <c r="G33" s="306">
        <f t="shared" si="18"/>
        <v>0</v>
      </c>
      <c r="H33" s="306">
        <f t="shared" si="18"/>
        <v>0</v>
      </c>
      <c r="I33" s="306">
        <f t="shared" si="18"/>
        <v>0</v>
      </c>
      <c r="J33" s="306">
        <f t="shared" si="18"/>
        <v>0</v>
      </c>
      <c r="K33" s="306">
        <f t="shared" si="18"/>
        <v>0</v>
      </c>
      <c r="L33" s="306">
        <f t="shared" si="18"/>
        <v>0</v>
      </c>
      <c r="M33" s="306">
        <f t="shared" si="18"/>
        <v>0</v>
      </c>
      <c r="N33" s="306">
        <f t="shared" si="18"/>
        <v>0</v>
      </c>
      <c r="O33" s="306">
        <f t="shared" si="18"/>
        <v>0</v>
      </c>
      <c r="P33" s="306">
        <f t="shared" si="18"/>
        <v>0</v>
      </c>
      <c r="Q33" s="306">
        <f t="shared" si="18"/>
        <v>-45.2</v>
      </c>
      <c r="R33" s="306">
        <f t="shared" si="18"/>
        <v>-25.5</v>
      </c>
      <c r="S33" s="306">
        <f t="shared" si="18"/>
        <v>-29.7</v>
      </c>
      <c r="T33" s="306">
        <f t="shared" si="18"/>
        <v>-35.700000000000003</v>
      </c>
      <c r="U33" s="306">
        <f t="shared" si="18"/>
        <v>-46</v>
      </c>
      <c r="V33" s="306">
        <f t="shared" si="18"/>
        <v>-50.4</v>
      </c>
      <c r="W33" s="306">
        <f t="shared" si="18"/>
        <v>-583.1</v>
      </c>
      <c r="X33" s="306">
        <f t="shared" si="18"/>
        <v>-66.400000000000006</v>
      </c>
      <c r="Y33" s="306">
        <f t="shared" si="18"/>
        <v>-152.30000000000001</v>
      </c>
      <c r="Z33" s="306">
        <f t="shared" si="18"/>
        <v>-77</v>
      </c>
      <c r="AA33" s="306">
        <f t="shared" si="18"/>
        <v>-57.7</v>
      </c>
      <c r="AB33" s="357">
        <f t="shared" si="18"/>
        <v>-76.352833301624401</v>
      </c>
      <c r="AC33" s="358">
        <f t="shared" si="18"/>
        <v>-66.099999999999994</v>
      </c>
      <c r="AD33" s="358">
        <f t="shared" si="18"/>
        <v>-100.50973003828143</v>
      </c>
      <c r="AE33" s="358">
        <f t="shared" si="18"/>
        <v>-99.498658511615204</v>
      </c>
      <c r="AF33" s="358">
        <f t="shared" si="18"/>
        <v>-122.842830841389</v>
      </c>
      <c r="AG33" s="307">
        <f>SUM(AG31:AG32)</f>
        <v>-85.34922832657</v>
      </c>
      <c r="AH33" s="308">
        <f t="shared" si="18"/>
        <v>-76.981896231000007</v>
      </c>
      <c r="AI33" s="307">
        <f t="shared" ref="AI33:AM33" si="19">SUM(AI31:AI32)</f>
        <v>-84.094192000000007</v>
      </c>
      <c r="AJ33" s="307">
        <f t="shared" si="19"/>
        <v>-103.85257379362</v>
      </c>
      <c r="AK33" s="307">
        <f t="shared" si="19"/>
        <v>-77.718258299588697</v>
      </c>
      <c r="AL33" s="307">
        <f t="shared" si="19"/>
        <v>-72.627647443790963</v>
      </c>
      <c r="AM33" s="307">
        <f t="shared" si="19"/>
        <v>-53.734971999999999</v>
      </c>
      <c r="AN33" s="307">
        <v>-70.129514034696797</v>
      </c>
      <c r="AO33" s="307">
        <v>-98.195331043509995</v>
      </c>
      <c r="AP33" s="307">
        <f t="shared" ref="AP33:AT33" si="20">SUM(AP31:AP32)</f>
        <v>-95.507757760520008</v>
      </c>
      <c r="AQ33" s="307">
        <f t="shared" si="20"/>
        <v>-90.560300000000012</v>
      </c>
      <c r="AR33" s="307">
        <f t="shared" si="20"/>
        <v>-112.31422281820001</v>
      </c>
      <c r="AS33" s="307">
        <f t="shared" si="20"/>
        <v>-257.74340000000001</v>
      </c>
      <c r="AT33" s="307">
        <f t="shared" si="20"/>
        <v>-257.83260000000001</v>
      </c>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4"/>
      <c r="DD33" s="174"/>
      <c r="DE33" s="174"/>
      <c r="DF33" s="174"/>
      <c r="DG33" s="174"/>
      <c r="DH33" s="174"/>
      <c r="DI33" s="174"/>
      <c r="DJ33" s="174"/>
      <c r="DK33" s="174"/>
      <c r="DL33" s="174"/>
      <c r="DM33" s="174"/>
      <c r="DN33" s="174"/>
      <c r="DO33" s="174"/>
      <c r="DP33" s="174"/>
      <c r="DQ33" s="174"/>
      <c r="DR33" s="174"/>
      <c r="DS33" s="174"/>
      <c r="DT33" s="174"/>
      <c r="DU33" s="174"/>
      <c r="DV33" s="174"/>
      <c r="DW33" s="174"/>
      <c r="DX33" s="174"/>
      <c r="DY33" s="174"/>
      <c r="DZ33" s="174"/>
      <c r="EA33" s="174"/>
      <c r="EB33" s="174"/>
      <c r="EC33" s="174"/>
      <c r="ED33" s="174"/>
      <c r="EE33" s="174"/>
      <c r="EF33" s="174"/>
      <c r="EG33" s="174"/>
      <c r="EH33" s="174"/>
      <c r="EI33" s="174"/>
      <c r="EJ33" s="174"/>
      <c r="EK33" s="174"/>
      <c r="EL33" s="174"/>
      <c r="EM33" s="174"/>
      <c r="EN33" s="174"/>
      <c r="EO33" s="174"/>
      <c r="EP33" s="174"/>
      <c r="EQ33" s="174"/>
      <c r="ER33" s="174"/>
      <c r="ES33" s="174"/>
      <c r="ET33" s="174"/>
      <c r="EU33" s="174"/>
      <c r="EV33" s="174"/>
      <c r="EW33" s="174"/>
      <c r="EX33" s="174"/>
      <c r="EY33" s="174"/>
      <c r="EZ33" s="174"/>
      <c r="FA33" s="174"/>
      <c r="FB33" s="174"/>
      <c r="FC33" s="174"/>
      <c r="FD33" s="174"/>
      <c r="FE33" s="174"/>
      <c r="FF33" s="174"/>
      <c r="FG33" s="174"/>
      <c r="FH33" s="174"/>
      <c r="FI33" s="174"/>
      <c r="FJ33" s="174"/>
      <c r="FK33" s="174"/>
      <c r="FL33" s="174"/>
      <c r="FM33" s="174"/>
      <c r="FN33" s="174"/>
      <c r="FO33" s="174"/>
      <c r="FP33" s="174"/>
      <c r="FQ33" s="174"/>
      <c r="FR33" s="174"/>
      <c r="FS33" s="174"/>
      <c r="FT33" s="174"/>
      <c r="FU33" s="174"/>
      <c r="FV33" s="174"/>
      <c r="FW33" s="174"/>
      <c r="FX33" s="174"/>
      <c r="FY33" s="174"/>
      <c r="FZ33" s="174"/>
      <c r="GA33" s="174"/>
      <c r="GB33" s="174"/>
      <c r="GC33" s="174"/>
      <c r="GD33" s="174"/>
      <c r="GE33" s="174"/>
      <c r="GF33" s="174"/>
      <c r="GG33" s="174"/>
      <c r="GH33" s="174"/>
      <c r="GI33" s="174"/>
      <c r="GJ33" s="174"/>
      <c r="GK33" s="174"/>
      <c r="GL33" s="174"/>
      <c r="GM33" s="174"/>
      <c r="GN33" s="174"/>
      <c r="GO33" s="174"/>
      <c r="GP33" s="174"/>
      <c r="GQ33" s="174"/>
      <c r="GR33" s="174"/>
      <c r="GS33" s="174"/>
      <c r="GT33" s="174"/>
      <c r="GU33" s="174"/>
      <c r="GV33" s="174"/>
      <c r="GW33" s="174"/>
      <c r="GX33" s="174"/>
      <c r="GY33" s="174"/>
      <c r="GZ33" s="174"/>
      <c r="HA33" s="174"/>
      <c r="HB33" s="174"/>
      <c r="HC33" s="174"/>
      <c r="HD33" s="174"/>
      <c r="HE33" s="174"/>
      <c r="HF33" s="174"/>
      <c r="HG33" s="174"/>
      <c r="HH33" s="174"/>
      <c r="HI33" s="174"/>
      <c r="HJ33" s="174"/>
      <c r="HK33" s="174"/>
      <c r="HL33" s="174"/>
      <c r="HM33" s="174"/>
      <c r="HN33" s="174"/>
      <c r="HO33" s="174"/>
      <c r="HP33" s="174"/>
      <c r="HQ33" s="174"/>
      <c r="HR33" s="174"/>
      <c r="HS33" s="174"/>
      <c r="HT33" s="174"/>
      <c r="HU33" s="174"/>
      <c r="HV33" s="174"/>
      <c r="HW33" s="174"/>
      <c r="HX33" s="174"/>
      <c r="HY33" s="174"/>
      <c r="HZ33" s="174"/>
      <c r="IA33" s="174"/>
      <c r="IB33" s="174"/>
      <c r="IC33" s="174"/>
      <c r="ID33" s="174"/>
      <c r="IE33" s="174"/>
      <c r="IF33" s="174"/>
      <c r="IG33" s="174"/>
      <c r="IH33" s="174"/>
      <c r="II33" s="174"/>
      <c r="IJ33" s="174"/>
      <c r="IK33" s="174"/>
      <c r="IL33" s="174"/>
      <c r="IM33" s="174"/>
      <c r="IN33" s="174"/>
      <c r="IO33" s="174"/>
      <c r="IP33" s="174"/>
      <c r="IQ33" s="174"/>
      <c r="IR33" s="174"/>
      <c r="IS33" s="174"/>
      <c r="IT33" s="174"/>
      <c r="IU33" s="174"/>
      <c r="IV33" s="174"/>
      <c r="IW33" s="174"/>
    </row>
    <row r="34" spans="1:257" ht="18.649999999999999" customHeight="1">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141"/>
      <c r="AE34" s="141"/>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0"/>
      <c r="FB34" s="140"/>
      <c r="FC34" s="140"/>
      <c r="FD34" s="140"/>
      <c r="FE34" s="140"/>
      <c r="FF34" s="140"/>
      <c r="FG34" s="14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0"/>
      <c r="GN34" s="140"/>
      <c r="GO34" s="140"/>
      <c r="GP34" s="140"/>
      <c r="GQ34" s="140"/>
      <c r="GR34" s="140"/>
      <c r="GS34" s="140"/>
      <c r="GT34" s="140"/>
      <c r="GU34" s="140"/>
      <c r="GV34" s="140"/>
      <c r="GW34" s="140"/>
      <c r="GX34" s="140"/>
      <c r="GY34" s="140"/>
      <c r="GZ34" s="140"/>
      <c r="HA34" s="140"/>
      <c r="HB34" s="140"/>
      <c r="HC34" s="140"/>
      <c r="HD34" s="140"/>
      <c r="HE34" s="140"/>
      <c r="HF34" s="140"/>
      <c r="HG34" s="140"/>
      <c r="HH34" s="140"/>
      <c r="HI34" s="140"/>
      <c r="HJ34" s="140"/>
      <c r="HK34" s="140"/>
      <c r="HL34" s="140"/>
      <c r="HM34" s="140"/>
      <c r="HN34" s="140"/>
      <c r="HO34" s="140"/>
      <c r="HP34" s="140"/>
      <c r="HQ34" s="140"/>
      <c r="HR34" s="140"/>
      <c r="HS34" s="140"/>
      <c r="HT34" s="140"/>
      <c r="HU34" s="140"/>
      <c r="HV34" s="140"/>
      <c r="HW34" s="140"/>
      <c r="HX34" s="140"/>
      <c r="HY34" s="140"/>
      <c r="HZ34" s="140"/>
      <c r="IA34" s="140"/>
      <c r="IB34" s="140"/>
      <c r="IC34" s="140"/>
      <c r="ID34" s="140"/>
      <c r="IE34" s="140"/>
      <c r="IF34" s="140"/>
      <c r="IG34" s="140"/>
      <c r="IH34" s="140"/>
      <c r="II34" s="140"/>
      <c r="IJ34" s="140"/>
      <c r="IK34" s="140"/>
      <c r="IL34" s="140"/>
      <c r="IM34" s="140"/>
      <c r="IN34" s="140"/>
      <c r="IO34" s="140"/>
      <c r="IP34" s="140"/>
      <c r="IQ34" s="140"/>
      <c r="IR34" s="140"/>
      <c r="IS34" s="140"/>
      <c r="IT34" s="140"/>
      <c r="IU34" s="140"/>
      <c r="IV34" s="140"/>
      <c r="IW34" s="140"/>
    </row>
    <row r="35" spans="1:257" ht="108" customHeight="1">
      <c r="A35" s="482" t="s">
        <v>468</v>
      </c>
      <c r="B35" s="482"/>
      <c r="C35" s="482"/>
      <c r="D35" s="482"/>
      <c r="E35" s="482"/>
      <c r="F35" s="482"/>
      <c r="G35" s="482"/>
      <c r="H35" s="482"/>
      <c r="I35" s="482"/>
      <c r="J35" s="482"/>
      <c r="K35" s="482"/>
      <c r="L35" s="482"/>
      <c r="M35" s="482"/>
      <c r="N35" s="482"/>
      <c r="O35" s="482"/>
      <c r="P35" s="482"/>
      <c r="Q35" s="441"/>
      <c r="R35" s="441"/>
      <c r="S35" s="441"/>
      <c r="T35" s="441"/>
      <c r="U35" s="441"/>
      <c r="V35" s="441"/>
      <c r="W35" s="441"/>
      <c r="X35" s="441"/>
      <c r="Y35" s="441"/>
      <c r="Z35" s="441"/>
      <c r="AA35" s="160"/>
      <c r="AB35" s="160"/>
      <c r="AC35" s="161"/>
    </row>
    <row r="36" spans="1:257" ht="22.5" customHeight="1">
      <c r="A36" s="359" t="s">
        <v>469</v>
      </c>
      <c r="B36" s="359"/>
      <c r="C36" s="359"/>
      <c r="D36" s="359"/>
      <c r="E36" s="359"/>
      <c r="F36" s="359"/>
      <c r="G36" s="359"/>
      <c r="H36" s="359"/>
      <c r="I36" s="359"/>
      <c r="J36" s="359"/>
      <c r="K36" s="359"/>
      <c r="L36" s="359"/>
      <c r="M36" s="359"/>
      <c r="N36" s="359"/>
      <c r="O36" s="359"/>
      <c r="P36" s="359"/>
      <c r="Q36" s="360"/>
      <c r="R36" s="360"/>
      <c r="S36" s="360"/>
      <c r="T36" s="360"/>
      <c r="U36" s="360"/>
      <c r="V36" s="360"/>
      <c r="W36" s="360"/>
      <c r="X36" s="360"/>
      <c r="Y36" s="360"/>
      <c r="Z36" s="360"/>
      <c r="AA36" s="142"/>
      <c r="AB36" s="142"/>
    </row>
    <row r="37" spans="1:257" ht="40.5" customHeight="1">
      <c r="A37" s="476" t="s">
        <v>470</v>
      </c>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142"/>
      <c r="AB37" s="142"/>
    </row>
    <row r="38" spans="1:257" ht="57.5" customHeight="1">
      <c r="A38" s="476" t="s">
        <v>471</v>
      </c>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27"/>
      <c r="AB38" s="27"/>
    </row>
    <row r="39" spans="1:257" ht="66" customHeight="1">
      <c r="A39" s="476" t="s">
        <v>472</v>
      </c>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27"/>
      <c r="AB39" s="27"/>
    </row>
    <row r="40" spans="1:257" ht="18.649999999999999"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row>
    <row r="41" spans="1:257" ht="18.649999999999999"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row>
    <row r="42" spans="1:257" ht="18.649999999999999"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row>
    <row r="43" spans="1:257" ht="18.649999999999999"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row>
    <row r="44" spans="1:257" ht="18.649999999999999"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row>
    <row r="45" spans="1:257" ht="18.649999999999999"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row>
    <row r="46" spans="1:257" ht="18.649999999999999"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row>
    <row r="47" spans="1:257" ht="18.649999999999999"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row>
    <row r="48" spans="1:257" ht="18.649999999999999"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row>
    <row r="49" spans="1:30" ht="18.649999999999999" customHeight="1">
      <c r="A49" s="27"/>
      <c r="B49" s="143">
        <v>3</v>
      </c>
      <c r="C49" s="143">
        <v>4</v>
      </c>
      <c r="D49" s="143">
        <v>5</v>
      </c>
      <c r="E49" s="143">
        <v>6</v>
      </c>
      <c r="F49" s="143">
        <v>7</v>
      </c>
      <c r="G49" s="143">
        <v>8</v>
      </c>
      <c r="H49" s="143">
        <v>9</v>
      </c>
      <c r="I49" s="143">
        <v>10</v>
      </c>
      <c r="J49" s="143">
        <v>11</v>
      </c>
      <c r="K49" s="143">
        <v>12</v>
      </c>
      <c r="L49" s="143">
        <v>13</v>
      </c>
      <c r="M49" s="143">
        <v>14</v>
      </c>
      <c r="N49" s="143">
        <v>15</v>
      </c>
      <c r="O49" s="143">
        <v>16</v>
      </c>
      <c r="P49" s="143">
        <v>17</v>
      </c>
      <c r="Q49" s="143">
        <v>18</v>
      </c>
      <c r="R49" s="143">
        <v>19</v>
      </c>
      <c r="S49" s="143">
        <v>20</v>
      </c>
      <c r="T49" s="143">
        <v>21</v>
      </c>
      <c r="U49" s="143">
        <v>22</v>
      </c>
      <c r="V49" s="143">
        <v>23</v>
      </c>
      <c r="W49" s="143">
        <v>24</v>
      </c>
      <c r="X49" s="143">
        <v>25</v>
      </c>
      <c r="Y49" s="143">
        <v>26</v>
      </c>
      <c r="Z49" s="143">
        <v>27</v>
      </c>
      <c r="AA49" s="143">
        <v>28</v>
      </c>
      <c r="AB49" s="143">
        <v>29</v>
      </c>
      <c r="AC49" s="143">
        <v>30</v>
      </c>
    </row>
    <row r="50" spans="1:30" ht="18.649999999999999"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1:30" ht="18.649999999999999"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row>
    <row r="52" spans="1:30" ht="18.649999999999999" customHeight="1">
      <c r="B52" s="26"/>
      <c r="C52" s="26"/>
      <c r="D52" s="26"/>
      <c r="E52" s="144" t="s">
        <v>338</v>
      </c>
      <c r="F52" s="26"/>
      <c r="G52" s="26"/>
      <c r="H52" s="26"/>
      <c r="I52" s="26"/>
      <c r="J52" s="26"/>
      <c r="K52" s="26"/>
      <c r="L52" s="26"/>
      <c r="M52" s="26"/>
      <c r="N52" s="26"/>
      <c r="O52" s="144" t="s">
        <v>338</v>
      </c>
      <c r="P52" s="26"/>
      <c r="Q52" s="26"/>
      <c r="R52" s="26"/>
      <c r="S52" s="26"/>
      <c r="T52" s="26"/>
      <c r="U52" s="26"/>
      <c r="V52" s="26"/>
      <c r="W52" s="26"/>
      <c r="X52" s="26"/>
      <c r="Y52" s="144" t="s">
        <v>338</v>
      </c>
      <c r="Z52" s="26"/>
      <c r="AA52" s="26"/>
      <c r="AB52" s="26"/>
      <c r="AC52" s="26"/>
    </row>
    <row r="53" spans="1:30" ht="18.649999999999999" customHeight="1">
      <c r="A53" s="145"/>
      <c r="B53" s="146" t="str">
        <f>'[3]1978-2024 Table'!B2</f>
        <v xml:space="preserve"> 1978-1980</v>
      </c>
      <c r="C53" s="146" t="str">
        <f>'[3]1978-2024 Table'!C2</f>
        <v xml:space="preserve"> 1981</v>
      </c>
      <c r="D53" s="146" t="str">
        <f>'[3]1978-2024 Table'!D2</f>
        <v xml:space="preserve"> 1982</v>
      </c>
      <c r="E53" s="146" t="str">
        <f>'[3]1978-2024 Table'!E2</f>
        <v xml:space="preserve"> 1983</v>
      </c>
      <c r="F53" s="146" t="str">
        <f>'[3]1978-2024 Table'!F2</f>
        <v xml:space="preserve"> 1984</v>
      </c>
      <c r="G53" s="146" t="str">
        <f>'[3]1978-2024 Table'!G2</f>
        <v xml:space="preserve"> 1985</v>
      </c>
      <c r="H53" s="146" t="str">
        <f>'[3]1978-2024 Table'!H2</f>
        <v xml:space="preserve"> 1986</v>
      </c>
      <c r="I53" s="146" t="str">
        <f>'[3]1978-2024 Table'!I2</f>
        <v xml:space="preserve"> 1987</v>
      </c>
      <c r="J53" s="146" t="str">
        <f>'[3]1978-2024 Table'!J2</f>
        <v xml:space="preserve"> 1988</v>
      </c>
      <c r="K53" s="146" t="str">
        <f>'[3]1978-2024 Table'!K2</f>
        <v xml:space="preserve"> 1989</v>
      </c>
      <c r="L53" s="146" t="str">
        <f>'[3]1978-2024 Table'!L2</f>
        <v xml:space="preserve"> 1990</v>
      </c>
      <c r="M53" s="146" t="str">
        <f>'[3]1978-2024 Table'!M2</f>
        <v xml:space="preserve"> 1991</v>
      </c>
      <c r="N53" s="146">
        <f>'[3]1978-2024 Table'!N2</f>
        <v>1992</v>
      </c>
      <c r="O53" s="146">
        <f>'[3]1978-2024 Table'!O2</f>
        <v>1993</v>
      </c>
      <c r="P53" s="146">
        <f>'[3]1978-2024 Table'!P2</f>
        <v>1994</v>
      </c>
      <c r="Q53" s="146">
        <f>'[3]1978-2024 Table'!Q2</f>
        <v>1995</v>
      </c>
      <c r="R53" s="146">
        <f>'[3]1978-2024 Table'!R2</f>
        <v>1996</v>
      </c>
      <c r="S53" s="146">
        <f>'[3]1978-2024 Table'!S2</f>
        <v>1997</v>
      </c>
      <c r="T53" s="146">
        <f>'[3]1978-2024 Table'!T2</f>
        <v>1998</v>
      </c>
      <c r="U53" s="146">
        <f>'[3]1978-2024 Table'!U2</f>
        <v>1999</v>
      </c>
      <c r="V53" s="146">
        <f>'[3]1978-2024 Table'!V2</f>
        <v>2000</v>
      </c>
      <c r="W53" s="146">
        <f>'[3]1978-2024 Table'!W2</f>
        <v>2001</v>
      </c>
      <c r="X53" s="146">
        <f>'[3]1978-2024 Table'!X2</f>
        <v>2002</v>
      </c>
      <c r="Y53" s="146">
        <f>'[3]1978-2024 Table'!Y2</f>
        <v>2003</v>
      </c>
      <c r="Z53" s="146">
        <f>'[3]1978-2024 Table'!Z2</f>
        <v>2004</v>
      </c>
      <c r="AA53" s="146">
        <f>'[3]1978-2024 Table'!AA2</f>
        <v>2005</v>
      </c>
      <c r="AB53" s="146">
        <f>'[3]1978-2024 Table'!AB2</f>
        <v>2006</v>
      </c>
      <c r="AC53" s="146">
        <f>'[3]1978-2024 Table'!AC2</f>
        <v>2007</v>
      </c>
    </row>
    <row r="54" spans="1:30" ht="18.649999999999999" customHeight="1">
      <c r="A54" s="147" t="s">
        <v>339</v>
      </c>
      <c r="B54" s="148">
        <f>'[3]1978-2024 Table'!B29+'[3]1978-2024 Table'!B33</f>
        <v>41.3</v>
      </c>
      <c r="C54" s="148">
        <f>'[3]1978-2024 Table'!C29+'[3]1978-2024 Table'!C33</f>
        <v>20.2</v>
      </c>
      <c r="D54" s="148">
        <f>'[3]1978-2024 Table'!D29+'[3]1978-2024 Table'!D33</f>
        <v>42.5</v>
      </c>
      <c r="E54" s="148">
        <f>'[3]1978-2024 Table'!E29+'[3]1978-2024 Table'!E33</f>
        <v>40.199999999999996</v>
      </c>
      <c r="F54" s="148">
        <f>'[3]1978-2024 Table'!F29+'[3]1978-2024 Table'!F33</f>
        <v>72.2</v>
      </c>
      <c r="G54" s="148">
        <f>'[3]1978-2024 Table'!G29+'[3]1978-2024 Table'!G33</f>
        <v>99.5</v>
      </c>
      <c r="H54" s="148">
        <f>'[3]1978-2024 Table'!H29+'[3]1978-2024 Table'!H33</f>
        <v>158.4</v>
      </c>
      <c r="I54" s="148">
        <f>'[3]1978-2024 Table'!I29+'[3]1978-2024 Table'!I33</f>
        <v>100.4</v>
      </c>
      <c r="J54" s="148">
        <f>'[3]1978-2024 Table'!J29+'[3]1978-2024 Table'!J33</f>
        <v>118.8</v>
      </c>
      <c r="K54" s="148">
        <f>'[3]1978-2024 Table'!K29+'[3]1978-2024 Table'!K33</f>
        <v>133.5</v>
      </c>
      <c r="L54" s="148">
        <f>'[3]1978-2024 Table'!L29+'[3]1978-2024 Table'!L33</f>
        <v>145.5</v>
      </c>
      <c r="M54" s="148">
        <f>'[3]1978-2024 Table'!M29+'[3]1978-2024 Table'!M33</f>
        <v>150.5</v>
      </c>
      <c r="N54" s="148">
        <f>'[3]1978-2024 Table'!N29+'[3]1978-2024 Table'!N33</f>
        <v>219.3</v>
      </c>
      <c r="O54" s="148">
        <f>'[3]1978-2024 Table'!O29+'[3]1978-2024 Table'!O33</f>
        <v>282.7</v>
      </c>
      <c r="P54" s="148">
        <f>'[3]1978-2024 Table'!P29+'[3]1978-2024 Table'!P33</f>
        <v>325.79999999999995</v>
      </c>
      <c r="Q54" s="148">
        <f>'[3]1978-2024 Table'!Q29+'[3]1978-2024 Table'!Q33</f>
        <v>196.5</v>
      </c>
      <c r="R54" s="148">
        <f>'[3]1978-2024 Table'!R29+'[3]1978-2024 Table'!R33</f>
        <v>233.2</v>
      </c>
      <c r="S54" s="148">
        <f>'[3]1978-2024 Table'!S29+'[3]1978-2024 Table'!S33</f>
        <v>272.5</v>
      </c>
      <c r="T54" s="148">
        <f>'[3]1978-2024 Table'!T29+'[3]1978-2024 Table'!T33</f>
        <v>301.58</v>
      </c>
      <c r="U54" s="148">
        <f>'[3]1978-2024 Table'!U29+'[3]1978-2024 Table'!U33</f>
        <v>422.6</v>
      </c>
      <c r="V54" s="148">
        <f>'[3]1978-2024 Table'!V29+'[3]1978-2024 Table'!V33</f>
        <v>429.6</v>
      </c>
      <c r="W54" s="148">
        <f>'[3]1978-2024 Table'!W29+'[3]1978-2024 Table'!W33</f>
        <v>1147.0999999999999</v>
      </c>
      <c r="X54" s="148">
        <f>'[3]1978-2024 Table'!X29+'[3]1978-2024 Table'!X33</f>
        <v>367.31000000000006</v>
      </c>
      <c r="Y54" s="148">
        <f>'[3]1978-2024 Table'!Y29+'[3]1978-2024 Table'!Y33</f>
        <v>378.25500000000005</v>
      </c>
      <c r="Z54" s="148">
        <f>'[3]1978-2024 Table'!Z29+'[3]1978-2024 Table'!Z33</f>
        <v>424</v>
      </c>
      <c r="AA54" s="148">
        <f>'[3]1978-2024 Table'!AA29+'[3]1978-2024 Table'!AA33</f>
        <v>518.62999999999988</v>
      </c>
      <c r="AB54" s="148">
        <f>'[3]1978-2024 Table'!AB29+'[3]1978-2024 Table'!AB33</f>
        <v>775.31290669117573</v>
      </c>
      <c r="AC54" s="148">
        <f>'[3]1978-2024 Table'!AC29+'[3]1978-2024 Table'!AC33</f>
        <v>649.87199999999996</v>
      </c>
    </row>
    <row r="55" spans="1:30" ht="18.649999999999999" customHeight="1">
      <c r="A55" s="149" t="s">
        <v>340</v>
      </c>
      <c r="B55" s="148">
        <f>B54</f>
        <v>41.3</v>
      </c>
      <c r="C55" s="148">
        <f t="shared" ref="C55:AC55" si="21">B55+C54</f>
        <v>61.5</v>
      </c>
      <c r="D55" s="148">
        <f t="shared" si="21"/>
        <v>104</v>
      </c>
      <c r="E55" s="148">
        <f t="shared" si="21"/>
        <v>144.19999999999999</v>
      </c>
      <c r="F55" s="148">
        <f t="shared" si="21"/>
        <v>216.39999999999998</v>
      </c>
      <c r="G55" s="148">
        <f t="shared" si="21"/>
        <v>315.89999999999998</v>
      </c>
      <c r="H55" s="148">
        <f t="shared" si="21"/>
        <v>474.29999999999995</v>
      </c>
      <c r="I55" s="148">
        <f t="shared" si="21"/>
        <v>574.69999999999993</v>
      </c>
      <c r="J55" s="148">
        <f t="shared" si="21"/>
        <v>693.49999999999989</v>
      </c>
      <c r="K55" s="148">
        <f t="shared" si="21"/>
        <v>826.99999999999989</v>
      </c>
      <c r="L55" s="148">
        <f t="shared" si="21"/>
        <v>972.49999999999989</v>
      </c>
      <c r="M55" s="148">
        <f t="shared" si="21"/>
        <v>1123</v>
      </c>
      <c r="N55" s="148">
        <f t="shared" si="21"/>
        <v>1342.3</v>
      </c>
      <c r="O55" s="148">
        <f t="shared" si="21"/>
        <v>1625</v>
      </c>
      <c r="P55" s="148">
        <f t="shared" si="21"/>
        <v>1950.8</v>
      </c>
      <c r="Q55" s="148">
        <f t="shared" si="21"/>
        <v>2147.3000000000002</v>
      </c>
      <c r="R55" s="148">
        <f t="shared" si="21"/>
        <v>2380.5</v>
      </c>
      <c r="S55" s="148">
        <f t="shared" si="21"/>
        <v>2653</v>
      </c>
      <c r="T55" s="148">
        <f t="shared" si="21"/>
        <v>2954.58</v>
      </c>
      <c r="U55" s="148">
        <f t="shared" si="21"/>
        <v>3377.18</v>
      </c>
      <c r="V55" s="148">
        <f t="shared" si="21"/>
        <v>3806.7799999999997</v>
      </c>
      <c r="W55" s="148">
        <f t="shared" si="21"/>
        <v>4953.8799999999992</v>
      </c>
      <c r="X55" s="148">
        <f t="shared" si="21"/>
        <v>5321.19</v>
      </c>
      <c r="Y55" s="148">
        <f t="shared" si="21"/>
        <v>5699.4449999999997</v>
      </c>
      <c r="Z55" s="148">
        <f t="shared" si="21"/>
        <v>6123.4449999999997</v>
      </c>
      <c r="AA55" s="148">
        <f t="shared" si="21"/>
        <v>6642.0749999999998</v>
      </c>
      <c r="AB55" s="148">
        <f t="shared" si="21"/>
        <v>7417.3879066911759</v>
      </c>
      <c r="AC55" s="148">
        <f t="shared" si="21"/>
        <v>8067.2599066911762</v>
      </c>
    </row>
    <row r="56" spans="1:30" ht="18.649999999999999" customHeight="1">
      <c r="A56" s="150" t="s">
        <v>341</v>
      </c>
      <c r="B56" s="151">
        <f>B29</f>
        <v>41.3</v>
      </c>
      <c r="C56" s="151">
        <f t="shared" ref="C56:AC56" si="22">C29</f>
        <v>20.2</v>
      </c>
      <c r="D56" s="151">
        <f t="shared" si="22"/>
        <v>42.5</v>
      </c>
      <c r="E56" s="151">
        <f t="shared" si="22"/>
        <v>40.199999999999996</v>
      </c>
      <c r="F56" s="151">
        <f t="shared" si="22"/>
        <v>72.2</v>
      </c>
      <c r="G56" s="151">
        <f t="shared" si="22"/>
        <v>99.5</v>
      </c>
      <c r="H56" s="151">
        <f t="shared" si="22"/>
        <v>158.4</v>
      </c>
      <c r="I56" s="151">
        <f t="shared" si="22"/>
        <v>100.4</v>
      </c>
      <c r="J56" s="151">
        <f t="shared" si="22"/>
        <v>118.8</v>
      </c>
      <c r="K56" s="151">
        <f t="shared" si="22"/>
        <v>133.5</v>
      </c>
      <c r="L56" s="151">
        <f t="shared" si="22"/>
        <v>145.5</v>
      </c>
      <c r="M56" s="151">
        <f t="shared" si="22"/>
        <v>150.5</v>
      </c>
      <c r="N56" s="151">
        <f t="shared" si="22"/>
        <v>219.3</v>
      </c>
      <c r="O56" s="151">
        <f t="shared" si="22"/>
        <v>282.7</v>
      </c>
      <c r="P56" s="151">
        <f t="shared" si="22"/>
        <v>325.79999999999995</v>
      </c>
      <c r="Q56" s="151">
        <f t="shared" si="22"/>
        <v>241.7</v>
      </c>
      <c r="R56" s="151">
        <f t="shared" si="22"/>
        <v>258.7</v>
      </c>
      <c r="S56" s="151">
        <f t="shared" si="22"/>
        <v>302.2</v>
      </c>
      <c r="T56" s="151">
        <f t="shared" si="22"/>
        <v>337.28</v>
      </c>
      <c r="U56" s="151">
        <f t="shared" si="22"/>
        <v>468.6</v>
      </c>
      <c r="V56" s="151">
        <f t="shared" si="22"/>
        <v>480</v>
      </c>
      <c r="W56" s="151">
        <f t="shared" si="22"/>
        <v>1730.2</v>
      </c>
      <c r="X56" s="151">
        <f t="shared" si="22"/>
        <v>433.71000000000004</v>
      </c>
      <c r="Y56" s="151">
        <f t="shared" si="22"/>
        <v>530.55500000000006</v>
      </c>
      <c r="Z56" s="151">
        <f t="shared" si="22"/>
        <v>501</v>
      </c>
      <c r="AA56" s="151">
        <f t="shared" si="22"/>
        <v>576.32999999999993</v>
      </c>
      <c r="AB56" s="151">
        <f t="shared" si="22"/>
        <v>851.66573999280013</v>
      </c>
      <c r="AC56" s="151">
        <f t="shared" si="22"/>
        <v>715.97199999999998</v>
      </c>
      <c r="AD56" s="26"/>
    </row>
    <row r="57" spans="1:30" ht="18.649999999999999" customHeight="1">
      <c r="A57" s="152" t="s">
        <v>340</v>
      </c>
      <c r="B57" s="153">
        <f>B56</f>
        <v>41.3</v>
      </c>
      <c r="C57" s="153">
        <f t="shared" ref="C57:AC57" si="23">B57+C29</f>
        <v>61.5</v>
      </c>
      <c r="D57" s="153">
        <f t="shared" si="23"/>
        <v>104</v>
      </c>
      <c r="E57" s="153">
        <f t="shared" si="23"/>
        <v>144.19999999999999</v>
      </c>
      <c r="F57" s="153">
        <f t="shared" si="23"/>
        <v>216.39999999999998</v>
      </c>
      <c r="G57" s="153">
        <f t="shared" si="23"/>
        <v>315.89999999999998</v>
      </c>
      <c r="H57" s="153">
        <f t="shared" si="23"/>
        <v>474.29999999999995</v>
      </c>
      <c r="I57" s="153">
        <f t="shared" si="23"/>
        <v>574.69999999999993</v>
      </c>
      <c r="J57" s="153">
        <f t="shared" si="23"/>
        <v>693.49999999999989</v>
      </c>
      <c r="K57" s="153">
        <f t="shared" si="23"/>
        <v>826.99999999999989</v>
      </c>
      <c r="L57" s="153">
        <f t="shared" si="23"/>
        <v>972.49999999999989</v>
      </c>
      <c r="M57" s="153">
        <f t="shared" si="23"/>
        <v>1123</v>
      </c>
      <c r="N57" s="153">
        <f t="shared" si="23"/>
        <v>1342.3</v>
      </c>
      <c r="O57" s="153">
        <f t="shared" si="23"/>
        <v>1625</v>
      </c>
      <c r="P57" s="153">
        <f t="shared" si="23"/>
        <v>1950.8</v>
      </c>
      <c r="Q57" s="153">
        <f t="shared" si="23"/>
        <v>2192.5</v>
      </c>
      <c r="R57" s="153">
        <f t="shared" si="23"/>
        <v>2451.1999999999998</v>
      </c>
      <c r="S57" s="153">
        <f t="shared" si="23"/>
        <v>2753.3999999999996</v>
      </c>
      <c r="T57" s="153">
        <f t="shared" si="23"/>
        <v>3090.6799999999994</v>
      </c>
      <c r="U57" s="153">
        <f t="shared" si="23"/>
        <v>3559.2799999999993</v>
      </c>
      <c r="V57" s="153">
        <f t="shared" si="23"/>
        <v>4039.2799999999993</v>
      </c>
      <c r="W57" s="153">
        <f t="shared" si="23"/>
        <v>5769.48</v>
      </c>
      <c r="X57" s="153">
        <f t="shared" si="23"/>
        <v>6203.19</v>
      </c>
      <c r="Y57" s="153">
        <f t="shared" si="23"/>
        <v>6733.7449999999999</v>
      </c>
      <c r="Z57" s="153">
        <f t="shared" si="23"/>
        <v>7234.7449999999999</v>
      </c>
      <c r="AA57" s="153">
        <f t="shared" si="23"/>
        <v>7811.0749999999998</v>
      </c>
      <c r="AB57" s="153">
        <f t="shared" si="23"/>
        <v>8662.7407399927997</v>
      </c>
      <c r="AC57" s="153">
        <f t="shared" si="23"/>
        <v>9378.7127399927995</v>
      </c>
      <c r="AD57" s="26"/>
    </row>
    <row r="58" spans="1:30" ht="18.649999999999999" customHeight="1">
      <c r="A58" s="154" t="s">
        <v>342</v>
      </c>
      <c r="B58" s="155">
        <f>B28</f>
        <v>0</v>
      </c>
      <c r="C58" s="155">
        <f t="shared" ref="C58:AC58" si="24">C28</f>
        <v>3</v>
      </c>
      <c r="D58" s="155">
        <f t="shared" si="24"/>
        <v>14</v>
      </c>
      <c r="E58" s="155">
        <f t="shared" si="24"/>
        <v>1</v>
      </c>
      <c r="F58" s="155">
        <f t="shared" si="24"/>
        <v>20</v>
      </c>
      <c r="G58" s="155">
        <f t="shared" si="24"/>
        <v>44</v>
      </c>
      <c r="H58" s="155">
        <f t="shared" si="24"/>
        <v>93</v>
      </c>
      <c r="I58" s="155">
        <f t="shared" si="24"/>
        <v>20</v>
      </c>
      <c r="J58" s="155">
        <f t="shared" si="24"/>
        <v>50</v>
      </c>
      <c r="K58" s="155">
        <f t="shared" si="24"/>
        <v>55</v>
      </c>
      <c r="L58" s="155">
        <f t="shared" si="24"/>
        <v>55</v>
      </c>
      <c r="M58" s="155">
        <f t="shared" si="24"/>
        <v>55</v>
      </c>
      <c r="N58" s="155">
        <f t="shared" si="24"/>
        <v>82</v>
      </c>
      <c r="O58" s="155">
        <f t="shared" si="24"/>
        <v>149</v>
      </c>
      <c r="P58" s="155">
        <f t="shared" si="24"/>
        <v>173.7</v>
      </c>
      <c r="Q58" s="155">
        <f t="shared" si="24"/>
        <v>70.599999999999994</v>
      </c>
      <c r="R58" s="155">
        <f t="shared" si="24"/>
        <v>81.7</v>
      </c>
      <c r="S58" s="155">
        <f t="shared" si="24"/>
        <v>107.8</v>
      </c>
      <c r="T58" s="155">
        <f t="shared" si="24"/>
        <v>121.9</v>
      </c>
      <c r="U58" s="155">
        <f t="shared" si="24"/>
        <v>245.4</v>
      </c>
      <c r="V58" s="155">
        <f t="shared" si="24"/>
        <v>257.89999999999998</v>
      </c>
      <c r="W58" s="155">
        <f t="shared" si="24"/>
        <v>1505.5</v>
      </c>
      <c r="X58" s="155">
        <f t="shared" si="24"/>
        <v>160.4</v>
      </c>
      <c r="Y58" s="155">
        <f t="shared" si="24"/>
        <v>250.3</v>
      </c>
      <c r="Z58" s="155">
        <f t="shared" si="24"/>
        <v>212.7</v>
      </c>
      <c r="AA58" s="155">
        <f t="shared" si="24"/>
        <v>292.89999999999998</v>
      </c>
      <c r="AB58" s="155">
        <f t="shared" si="24"/>
        <v>565.61573999280006</v>
      </c>
      <c r="AC58" s="155">
        <f t="shared" si="24"/>
        <v>403.315</v>
      </c>
      <c r="AD58" s="26"/>
    </row>
    <row r="59" spans="1:30" ht="18.649999999999999" customHeight="1">
      <c r="A59" s="156" t="s">
        <v>340</v>
      </c>
      <c r="B59" s="155">
        <f>B58</f>
        <v>0</v>
      </c>
      <c r="C59" s="155">
        <f>B59+C58</f>
        <v>3</v>
      </c>
      <c r="D59" s="155">
        <f t="shared" ref="D59:AC59" si="25">C59+D58</f>
        <v>17</v>
      </c>
      <c r="E59" s="155">
        <f t="shared" si="25"/>
        <v>18</v>
      </c>
      <c r="F59" s="155">
        <f t="shared" si="25"/>
        <v>38</v>
      </c>
      <c r="G59" s="155">
        <f t="shared" si="25"/>
        <v>82</v>
      </c>
      <c r="H59" s="155">
        <f t="shared" si="25"/>
        <v>175</v>
      </c>
      <c r="I59" s="155">
        <f t="shared" si="25"/>
        <v>195</v>
      </c>
      <c r="J59" s="155">
        <f t="shared" si="25"/>
        <v>245</v>
      </c>
      <c r="K59" s="155">
        <f t="shared" si="25"/>
        <v>300</v>
      </c>
      <c r="L59" s="155">
        <f t="shared" si="25"/>
        <v>355</v>
      </c>
      <c r="M59" s="155">
        <f t="shared" si="25"/>
        <v>410</v>
      </c>
      <c r="N59" s="155">
        <f t="shared" si="25"/>
        <v>492</v>
      </c>
      <c r="O59" s="155">
        <f t="shared" si="25"/>
        <v>641</v>
      </c>
      <c r="P59" s="155">
        <f t="shared" si="25"/>
        <v>814.7</v>
      </c>
      <c r="Q59" s="155">
        <f t="shared" si="25"/>
        <v>885.30000000000007</v>
      </c>
      <c r="R59" s="155">
        <f t="shared" si="25"/>
        <v>967.00000000000011</v>
      </c>
      <c r="S59" s="155">
        <f t="shared" si="25"/>
        <v>1074.8000000000002</v>
      </c>
      <c r="T59" s="155">
        <f t="shared" si="25"/>
        <v>1196.7000000000003</v>
      </c>
      <c r="U59" s="155">
        <f t="shared" si="25"/>
        <v>1442.1000000000004</v>
      </c>
      <c r="V59" s="155">
        <f t="shared" si="25"/>
        <v>1700.0000000000005</v>
      </c>
      <c r="W59" s="155">
        <f t="shared" si="25"/>
        <v>3205.5000000000005</v>
      </c>
      <c r="X59" s="155">
        <f t="shared" si="25"/>
        <v>3365.9000000000005</v>
      </c>
      <c r="Y59" s="155">
        <f t="shared" si="25"/>
        <v>3616.2000000000007</v>
      </c>
      <c r="Z59" s="155">
        <f t="shared" si="25"/>
        <v>3828.9000000000005</v>
      </c>
      <c r="AA59" s="155">
        <f t="shared" si="25"/>
        <v>4121.8</v>
      </c>
      <c r="AB59" s="155">
        <f t="shared" si="25"/>
        <v>4687.4157399927999</v>
      </c>
      <c r="AC59" s="155">
        <f t="shared" si="25"/>
        <v>5090.7307399927995</v>
      </c>
      <c r="AD59" s="26"/>
    </row>
    <row r="60" spans="1:30" ht="18.649999999999999" customHeight="1">
      <c r="A60" s="157" t="s">
        <v>343</v>
      </c>
      <c r="B60" s="158">
        <f>-B33</f>
        <v>0</v>
      </c>
      <c r="C60" s="158">
        <f t="shared" ref="C60:AC60" si="26">-C33</f>
        <v>0</v>
      </c>
      <c r="D60" s="158">
        <f t="shared" si="26"/>
        <v>0</v>
      </c>
      <c r="E60" s="158">
        <f t="shared" si="26"/>
        <v>0</v>
      </c>
      <c r="F60" s="158">
        <f t="shared" si="26"/>
        <v>0</v>
      </c>
      <c r="G60" s="158">
        <f t="shared" si="26"/>
        <v>0</v>
      </c>
      <c r="H60" s="158">
        <f t="shared" si="26"/>
        <v>0</v>
      </c>
      <c r="I60" s="158">
        <f t="shared" si="26"/>
        <v>0</v>
      </c>
      <c r="J60" s="158">
        <f t="shared" si="26"/>
        <v>0</v>
      </c>
      <c r="K60" s="158">
        <f t="shared" si="26"/>
        <v>0</v>
      </c>
      <c r="L60" s="158">
        <f t="shared" si="26"/>
        <v>0</v>
      </c>
      <c r="M60" s="158">
        <f t="shared" si="26"/>
        <v>0</v>
      </c>
      <c r="N60" s="158">
        <f t="shared" si="26"/>
        <v>0</v>
      </c>
      <c r="O60" s="158">
        <f t="shared" si="26"/>
        <v>0</v>
      </c>
      <c r="P60" s="158">
        <f t="shared" si="26"/>
        <v>0</v>
      </c>
      <c r="Q60" s="158">
        <f t="shared" si="26"/>
        <v>45.2</v>
      </c>
      <c r="R60" s="158">
        <f t="shared" si="26"/>
        <v>25.5</v>
      </c>
      <c r="S60" s="158">
        <f t="shared" si="26"/>
        <v>29.7</v>
      </c>
      <c r="T60" s="158">
        <f t="shared" si="26"/>
        <v>35.700000000000003</v>
      </c>
      <c r="U60" s="158">
        <f t="shared" si="26"/>
        <v>46</v>
      </c>
      <c r="V60" s="158">
        <f t="shared" si="26"/>
        <v>50.4</v>
      </c>
      <c r="W60" s="158">
        <f t="shared" si="26"/>
        <v>583.1</v>
      </c>
      <c r="X60" s="158">
        <f t="shared" si="26"/>
        <v>66.400000000000006</v>
      </c>
      <c r="Y60" s="158">
        <f t="shared" si="26"/>
        <v>152.30000000000001</v>
      </c>
      <c r="Z60" s="158">
        <f t="shared" si="26"/>
        <v>77</v>
      </c>
      <c r="AA60" s="158">
        <f t="shared" si="26"/>
        <v>57.7</v>
      </c>
      <c r="AB60" s="158">
        <f t="shared" si="26"/>
        <v>76.352833301624401</v>
      </c>
      <c r="AC60" s="158">
        <f t="shared" si="26"/>
        <v>66.099999999999994</v>
      </c>
      <c r="AD60" s="26"/>
    </row>
    <row r="61" spans="1:30" ht="18.649999999999999" customHeight="1">
      <c r="A61" s="159" t="s">
        <v>340</v>
      </c>
      <c r="B61" s="158">
        <f>B60</f>
        <v>0</v>
      </c>
      <c r="C61" s="158">
        <f>B61+C60</f>
        <v>0</v>
      </c>
      <c r="D61" s="158">
        <f t="shared" ref="D61:AC61" si="27">C61+D60</f>
        <v>0</v>
      </c>
      <c r="E61" s="158">
        <f t="shared" si="27"/>
        <v>0</v>
      </c>
      <c r="F61" s="158">
        <f t="shared" si="27"/>
        <v>0</v>
      </c>
      <c r="G61" s="158">
        <f t="shared" si="27"/>
        <v>0</v>
      </c>
      <c r="H61" s="158">
        <f t="shared" si="27"/>
        <v>0</v>
      </c>
      <c r="I61" s="158">
        <f t="shared" si="27"/>
        <v>0</v>
      </c>
      <c r="J61" s="158">
        <f t="shared" si="27"/>
        <v>0</v>
      </c>
      <c r="K61" s="158">
        <f t="shared" si="27"/>
        <v>0</v>
      </c>
      <c r="L61" s="158">
        <f t="shared" si="27"/>
        <v>0</v>
      </c>
      <c r="M61" s="158">
        <f t="shared" si="27"/>
        <v>0</v>
      </c>
      <c r="N61" s="158">
        <f t="shared" si="27"/>
        <v>0</v>
      </c>
      <c r="O61" s="158">
        <f t="shared" si="27"/>
        <v>0</v>
      </c>
      <c r="P61" s="158">
        <f t="shared" si="27"/>
        <v>0</v>
      </c>
      <c r="Q61" s="158">
        <f t="shared" si="27"/>
        <v>45.2</v>
      </c>
      <c r="R61" s="158">
        <f t="shared" si="27"/>
        <v>70.7</v>
      </c>
      <c r="S61" s="158">
        <f t="shared" si="27"/>
        <v>100.4</v>
      </c>
      <c r="T61" s="158">
        <f t="shared" si="27"/>
        <v>136.10000000000002</v>
      </c>
      <c r="U61" s="158">
        <f t="shared" si="27"/>
        <v>182.10000000000002</v>
      </c>
      <c r="V61" s="158">
        <f t="shared" si="27"/>
        <v>232.50000000000003</v>
      </c>
      <c r="W61" s="158">
        <f t="shared" si="27"/>
        <v>815.6</v>
      </c>
      <c r="X61" s="158">
        <f t="shared" si="27"/>
        <v>882</v>
      </c>
      <c r="Y61" s="158">
        <f t="shared" si="27"/>
        <v>1034.3</v>
      </c>
      <c r="Z61" s="158">
        <f t="shared" si="27"/>
        <v>1111.3</v>
      </c>
      <c r="AA61" s="158">
        <f t="shared" si="27"/>
        <v>1169</v>
      </c>
      <c r="AB61" s="158">
        <f t="shared" si="27"/>
        <v>1245.3528333016243</v>
      </c>
      <c r="AC61" s="158">
        <f t="shared" si="27"/>
        <v>1311.4528333016242</v>
      </c>
      <c r="AD61" s="26"/>
    </row>
    <row r="62" spans="1:30" ht="18.649999999999999" customHeight="1">
      <c r="AD62" s="26"/>
    </row>
    <row r="63" spans="1:30" ht="18.649999999999999" customHeight="1">
      <c r="AD63" s="26"/>
    </row>
    <row r="64" spans="1:30" ht="18.649999999999999" customHeight="1">
      <c r="AD64" s="26"/>
    </row>
    <row r="65" spans="30:30" ht="18.649999999999999" customHeight="1">
      <c r="AD65" s="26"/>
    </row>
    <row r="66" spans="30:30" ht="18.649999999999999" customHeight="1">
      <c r="AD66" s="26"/>
    </row>
    <row r="67" spans="30:30" ht="18.649999999999999" customHeight="1">
      <c r="AD67" s="26"/>
    </row>
    <row r="68" spans="30:30" ht="18.649999999999999" customHeight="1">
      <c r="AD68" s="26"/>
    </row>
    <row r="69" spans="30:30" ht="18.649999999999999" customHeight="1">
      <c r="AD69" s="26"/>
    </row>
    <row r="70" spans="30:30" ht="18.649999999999999" customHeight="1">
      <c r="AD70" s="26"/>
    </row>
    <row r="71" spans="30:30" ht="18.649999999999999" customHeight="1">
      <c r="AD71" s="26"/>
    </row>
    <row r="72" spans="30:30" ht="18.649999999999999" customHeight="1">
      <c r="AD72" s="26"/>
    </row>
    <row r="73" spans="30:30" ht="18.649999999999999" customHeight="1">
      <c r="AD73" s="26"/>
    </row>
    <row r="74" spans="30:30" ht="18.649999999999999" customHeight="1">
      <c r="AD74" s="26"/>
    </row>
    <row r="75" spans="30:30" ht="18.649999999999999" customHeight="1">
      <c r="AD75" s="26"/>
    </row>
    <row r="76" spans="30:30" ht="18.649999999999999" customHeight="1">
      <c r="AD76" s="26"/>
    </row>
    <row r="77" spans="30:30" ht="18.649999999999999" customHeight="1">
      <c r="AD77" s="26"/>
    </row>
    <row r="78" spans="30:30" ht="18.649999999999999" customHeight="1">
      <c r="AD78" s="26"/>
    </row>
    <row r="79" spans="30:30" ht="18.649999999999999" customHeight="1">
      <c r="AD79" s="26"/>
    </row>
    <row r="80" spans="30:30" ht="18.649999999999999" customHeight="1">
      <c r="AD80" s="26"/>
    </row>
    <row r="81" spans="1:30" ht="18.649999999999999" customHeight="1">
      <c r="AD81" s="26"/>
    </row>
    <row r="82" spans="1:30" ht="18.649999999999999" customHeight="1">
      <c r="AD82" s="26"/>
    </row>
    <row r="83" spans="1:30" ht="18.649999999999999" customHeight="1">
      <c r="AD83" s="26"/>
    </row>
    <row r="84" spans="1:30" ht="18.649999999999999" customHeight="1">
      <c r="AD84" s="26"/>
    </row>
    <row r="85" spans="1:30" ht="18.649999999999999" customHeight="1">
      <c r="AD85" s="26"/>
    </row>
    <row r="86" spans="1:30" ht="18.649999999999999" customHeight="1">
      <c r="A86" s="25"/>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row>
    <row r="87" spans="1:30" ht="18.649999999999999" customHeight="1">
      <c r="A87" s="25"/>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row>
    <row r="88" spans="1:30" ht="18.649999999999999" customHeight="1">
      <c r="A88" s="25"/>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row>
    <row r="89" spans="1:30" ht="18.649999999999999" customHeight="1">
      <c r="A89" s="25"/>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row>
    <row r="90" spans="1:30" ht="18.649999999999999" customHeight="1">
      <c r="A90" s="25"/>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row>
    <row r="91" spans="1:30" ht="18.649999999999999" customHeight="1">
      <c r="A91" s="2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row>
    <row r="92" spans="1:30" ht="18.649999999999999" customHeight="1">
      <c r="A92" s="2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row>
    <row r="93" spans="1:30" ht="18.649999999999999" customHeight="1">
      <c r="A93" s="25"/>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row>
    <row r="94" spans="1:30" ht="18.649999999999999" customHeight="1">
      <c r="A94" s="25"/>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row>
    <row r="95" spans="1:30" ht="18.649999999999999" customHeight="1">
      <c r="A95" s="25"/>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row>
    <row r="96" spans="1:30" ht="18.649999999999999" customHeight="1">
      <c r="A96" s="25"/>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row>
    <row r="97" spans="1:30" ht="18.649999999999999" customHeight="1">
      <c r="A97" s="25"/>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row>
    <row r="98" spans="1:30" ht="18.649999999999999" customHeight="1">
      <c r="A98" s="2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row>
    <row r="99" spans="1:30" ht="18.649999999999999" customHeight="1">
      <c r="A99" s="25"/>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row>
    <row r="100" spans="1:30" ht="18.649999999999999" customHeight="1">
      <c r="A100" s="25"/>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row>
    <row r="101" spans="1:30" ht="18.649999999999999" customHeight="1">
      <c r="A101" s="25"/>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row>
    <row r="102" spans="1:30" ht="18.649999999999999" customHeight="1">
      <c r="A102" s="25"/>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row>
    <row r="103" spans="1:30" ht="18.649999999999999" customHeight="1">
      <c r="A103" s="2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row>
    <row r="104" spans="1:30" ht="18.649999999999999" customHeight="1">
      <c r="A104" s="25"/>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row>
    <row r="105" spans="1:30" ht="18.649999999999999" customHeight="1">
      <c r="A105" s="25"/>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row>
    <row r="106" spans="1:30" ht="18.649999999999999" customHeight="1">
      <c r="A106" s="25"/>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row>
    <row r="107" spans="1:30" ht="18.649999999999999" customHeight="1">
      <c r="A107" s="25"/>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row>
  </sheetData>
  <mergeCells count="5">
    <mergeCell ref="A39:Z39"/>
    <mergeCell ref="A38:Z38"/>
    <mergeCell ref="A1:Z1"/>
    <mergeCell ref="A34:AC34"/>
    <mergeCell ref="A37:Z37"/>
  </mergeCells>
  <pageMargins left="0.25" right="0.25" top="0.75" bottom="0.75" header="0.3" footer="0.3"/>
  <pageSetup scale="42"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1A_ByArea</vt:lpstr>
      <vt:lpstr>1B_Direct</vt:lpstr>
      <vt:lpstr>2 F&amp;W Program Costs</vt:lpstr>
      <vt:lpstr>3_SpeciesType</vt:lpstr>
      <vt:lpstr>4_FCRPS_CRS</vt:lpstr>
      <vt:lpstr>5_ESASpecies</vt:lpstr>
      <vt:lpstr>6A_Emphasis</vt:lpstr>
      <vt:lpstr>6B_ArtProd</vt:lpstr>
      <vt:lpstr>6C_RME</vt:lpstr>
      <vt:lpstr>7A_Province</vt:lpstr>
      <vt:lpstr>7B_Subbasin</vt:lpstr>
      <vt:lpstr>8_State</vt:lpstr>
      <vt:lpstr>9_Contractor</vt:lpstr>
      <vt:lpstr>10_LandPurchases</vt:lpstr>
      <vt:lpstr>NA_Cumulative</vt:lpstr>
      <vt:lpstr>BPA Costs Table</vt:lpstr>
      <vt:lpstr>lkp</vt:lpstr>
      <vt:lpstr>subtitle</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Lefler</dc:creator>
  <cp:lastModifiedBy>Eric Schrepel</cp:lastModifiedBy>
  <cp:lastPrinted>2025-04-24T16:25:13Z</cp:lastPrinted>
  <dcterms:created xsi:type="dcterms:W3CDTF">2004-12-27T17:27:22Z</dcterms:created>
  <dcterms:modified xsi:type="dcterms:W3CDTF">2025-10-03T00:47:28Z</dcterms:modified>
</cp:coreProperties>
</file>