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ml.chartshapes+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theme/themeOverride2.xml" ContentType="application/vnd.openxmlformats-officedocument.themeOverride+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1.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12.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2.xml" ContentType="application/vnd.openxmlformats-officedocument.drawing+xml"/>
  <Override PartName="/xl/charts/chart13.xml" ContentType="application/vnd.openxmlformats-officedocument.drawingml.chart+xml"/>
  <Override PartName="/xl/charts/style10.xml" ContentType="application/vnd.ms-office.chartstyle+xml"/>
  <Override PartName="/xl/charts/colors10.xml" ContentType="application/vnd.ms-office.chartcolorstyle+xml"/>
  <Override PartName="/xl/comments1.xml" ContentType="application/vnd.openxmlformats-officedocument.spreadsheetml.comments+xml"/>
  <Override PartName="/xl/drawings/drawing13.xml" ContentType="application/vnd.openxmlformats-officedocument.drawing+xml"/>
  <Override PartName="/xl/charts/chart14.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4.xml" ContentType="application/vnd.openxmlformats-officedocument.drawingml.chartshapes+xml"/>
  <Override PartName="/xl/charts/chart15.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chrepel\AppData\Local\Box\Box Edit\Documents\N2xxW4D8bUWZreb8IDMH2g==\"/>
    </mc:Choice>
  </mc:AlternateContent>
  <xr:revisionPtr revIDLastSave="0" documentId="13_ncr:1_{00B24ABA-D811-430C-9ED7-CD6B405A0BA1}" xr6:coauthVersionLast="47" xr6:coauthVersionMax="47" xr10:uidLastSave="{00000000-0000-0000-0000-000000000000}"/>
  <bookViews>
    <workbookView xWindow="-110" yWindow="-110" windowWidth="25820" windowHeight="15500" xr2:uid="{00000000-000D-0000-FFFF-FFFF00000000}"/>
  </bookViews>
  <sheets>
    <sheet name="1_F&amp;W Total Costs" sheetId="36" r:id="rId1"/>
    <sheet name="2_F&amp;W Purpose &amp; Emphasis Update" sheetId="52" r:id="rId2"/>
    <sheet name="3_SpeciesType" sheetId="15" r:id="rId3"/>
    <sheet name="4_ESA by Species" sheetId="17" r:id="rId4"/>
    <sheet name="5A_Province" sheetId="19" r:id="rId5"/>
    <sheet name="5B_Subbasin" sheetId="39" r:id="rId6"/>
    <sheet name="6_Geographic Location" sheetId="27" r:id="rId7"/>
    <sheet name="7_Contractor updated" sheetId="42" r:id="rId8"/>
    <sheet name="8_Land" sheetId="20" r:id="rId9"/>
    <sheet name="BPA Costs Table" sheetId="53" r:id="rId10"/>
    <sheet name="NA_Cumulative" sheetId="21" state="hidden" r:id="rId11"/>
  </sheets>
  <externalReferences>
    <externalReference r:id="rId12"/>
    <externalReference r:id="rId13"/>
  </externalReferences>
  <definedNames>
    <definedName name="_xlnm._FilterDatabase" localSheetId="1" hidden="1">'2_F&amp;W Purpose &amp; Emphasis Update'!$F$3:$G$3</definedName>
    <definedName name="_xlnm._FilterDatabase" localSheetId="5" hidden="1">'5B_Subbasin'!$A$2:$F$68</definedName>
    <definedName name="_xlnm._FilterDatabase" localSheetId="7" hidden="1">'7_Contractor updated'!$A$2:$B$2</definedName>
    <definedName name="_xlcn.WorksheetConnection_4_CostsByLocationA3E91" hidden="1">'6_Geographic Location'!$A$3:$L$9</definedName>
    <definedName name="lkp">'5B_Subbasin'!$J$52:$K$101</definedName>
    <definedName name="_xlnm.Print_Area" localSheetId="1">'2_F&amp;W Purpose &amp; Emphasis Update'!$A$1:$J$29</definedName>
    <definedName name="subtitle" localSheetId="1">'[1]2_SpeciesType'!$D$40</definedName>
    <definedName name="subtitle" localSheetId="9">'[2]3_SpeciesType'!$D$26</definedName>
    <definedName name="subtitle">'3_SpeciesType'!$D$27</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Range-5170fc5c-6da7-4755-86ea-689762ede593" name="Range" connection="WorksheetConnection_4_CostsByLocation!$A$3:$E$9"/>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36" l="1"/>
  <c r="AU31" i="53" l="1"/>
  <c r="AU33" i="53" s="1"/>
  <c r="AU28" i="53"/>
  <c r="AU23" i="53"/>
  <c r="AU17" i="53"/>
  <c r="AU18" i="53" s="1"/>
  <c r="AU24" i="53" s="1"/>
  <c r="AU7" i="53"/>
  <c r="AT33" i="53"/>
  <c r="AS33" i="53"/>
  <c r="AR33" i="53"/>
  <c r="AQ33" i="53"/>
  <c r="AP33" i="53"/>
  <c r="AM33" i="53"/>
  <c r="AL33" i="53"/>
  <c r="AK33" i="53"/>
  <c r="AJ33" i="53"/>
  <c r="AI33" i="53"/>
  <c r="AH33" i="53"/>
  <c r="AG33" i="53"/>
  <c r="AF33" i="53"/>
  <c r="AE33" i="53"/>
  <c r="AD33" i="53"/>
  <c r="AC33" i="53"/>
  <c r="AB33" i="53"/>
  <c r="AA33" i="53"/>
  <c r="Z33" i="53"/>
  <c r="Y33" i="53"/>
  <c r="X33" i="53"/>
  <c r="W33" i="53"/>
  <c r="V33" i="53"/>
  <c r="U33" i="53"/>
  <c r="T33" i="53"/>
  <c r="S33" i="53"/>
  <c r="R33" i="53"/>
  <c r="Q33" i="53"/>
  <c r="P33" i="53"/>
  <c r="O33" i="53"/>
  <c r="N33" i="53"/>
  <c r="M33" i="53"/>
  <c r="L33" i="53"/>
  <c r="K33" i="53"/>
  <c r="J33" i="53"/>
  <c r="I33" i="53"/>
  <c r="H33" i="53"/>
  <c r="G33" i="53"/>
  <c r="F33" i="53"/>
  <c r="E33" i="53"/>
  <c r="D33" i="53"/>
  <c r="C33" i="53"/>
  <c r="B33" i="53"/>
  <c r="AT31" i="53"/>
  <c r="AS31" i="53"/>
  <c r="AR31" i="53"/>
  <c r="AQ31" i="53"/>
  <c r="AP31" i="53"/>
  <c r="AM31" i="53"/>
  <c r="AL31" i="53"/>
  <c r="AK31" i="53"/>
  <c r="AJ31" i="53"/>
  <c r="AI31" i="53"/>
  <c r="AH31" i="53"/>
  <c r="AT28" i="53"/>
  <c r="AS28" i="53"/>
  <c r="AR28" i="53"/>
  <c r="AQ28" i="53"/>
  <c r="AP28" i="53"/>
  <c r="AM28" i="53"/>
  <c r="AL28" i="53"/>
  <c r="AK28" i="53"/>
  <c r="AJ28" i="53"/>
  <c r="AI28" i="53"/>
  <c r="AH28" i="53"/>
  <c r="AG28" i="53"/>
  <c r="AF28" i="53"/>
  <c r="AE28" i="53"/>
  <c r="AD28" i="53"/>
  <c r="AC28" i="53"/>
  <c r="AB28" i="53"/>
  <c r="AA28" i="53"/>
  <c r="Z28" i="53"/>
  <c r="Y28" i="53"/>
  <c r="X28" i="53"/>
  <c r="W28" i="53"/>
  <c r="V28" i="53"/>
  <c r="U28" i="53"/>
  <c r="T28" i="53"/>
  <c r="S28" i="53"/>
  <c r="R28" i="53"/>
  <c r="Q28" i="53"/>
  <c r="P28" i="53"/>
  <c r="O28" i="53"/>
  <c r="N28" i="53"/>
  <c r="M28" i="53"/>
  <c r="L28" i="53"/>
  <c r="K28" i="53"/>
  <c r="J28" i="53"/>
  <c r="I28" i="53"/>
  <c r="H28" i="53"/>
  <c r="G28" i="53"/>
  <c r="F28" i="53"/>
  <c r="E28" i="53"/>
  <c r="D28" i="53"/>
  <c r="C28" i="53"/>
  <c r="B28" i="53"/>
  <c r="AI24" i="53"/>
  <c r="AI29" i="53" s="1"/>
  <c r="AH24" i="53"/>
  <c r="AH29" i="53" s="1"/>
  <c r="AG24" i="53"/>
  <c r="AG29" i="53" s="1"/>
  <c r="AF24" i="53"/>
  <c r="AF29" i="53" s="1"/>
  <c r="AE24" i="53"/>
  <c r="AE29" i="53" s="1"/>
  <c r="N24" i="53"/>
  <c r="N29" i="53" s="1"/>
  <c r="M24" i="53"/>
  <c r="M29" i="53" s="1"/>
  <c r="L24" i="53"/>
  <c r="L29" i="53" s="1"/>
  <c r="K24" i="53"/>
  <c r="K29" i="53" s="1"/>
  <c r="J24" i="53"/>
  <c r="J29" i="53" s="1"/>
  <c r="I24" i="53"/>
  <c r="I29" i="53" s="1"/>
  <c r="H24" i="53"/>
  <c r="H29" i="53" s="1"/>
  <c r="G24" i="53"/>
  <c r="G29" i="53" s="1"/>
  <c r="F24" i="53"/>
  <c r="F29" i="53" s="1"/>
  <c r="E24" i="53"/>
  <c r="E29" i="53" s="1"/>
  <c r="D24" i="53"/>
  <c r="D29" i="53" s="1"/>
  <c r="AT23" i="53"/>
  <c r="AS23" i="53"/>
  <c r="AR23" i="53"/>
  <c r="AQ23" i="53"/>
  <c r="AP23" i="53"/>
  <c r="AM23" i="53"/>
  <c r="AL23" i="53"/>
  <c r="AK23" i="53"/>
  <c r="AJ23" i="53"/>
  <c r="AI23" i="53"/>
  <c r="AH23" i="53"/>
  <c r="AG23" i="53"/>
  <c r="AF23" i="53"/>
  <c r="AE23" i="53"/>
  <c r="AD23" i="53"/>
  <c r="AC23" i="53"/>
  <c r="AB23" i="53"/>
  <c r="AA23" i="53"/>
  <c r="Z23" i="53"/>
  <c r="Y23" i="53"/>
  <c r="X23" i="53"/>
  <c r="W23" i="53"/>
  <c r="V23" i="53"/>
  <c r="U23" i="53"/>
  <c r="T23" i="53"/>
  <c r="S23" i="53"/>
  <c r="R23" i="53"/>
  <c r="Q23" i="53"/>
  <c r="P23" i="53"/>
  <c r="O23" i="53"/>
  <c r="N23" i="53"/>
  <c r="M23" i="53"/>
  <c r="L23" i="53"/>
  <c r="K23" i="53"/>
  <c r="J23" i="53"/>
  <c r="I23" i="53"/>
  <c r="H23" i="53"/>
  <c r="G23" i="53"/>
  <c r="F23" i="53"/>
  <c r="E23" i="53"/>
  <c r="D23" i="53"/>
  <c r="C23" i="53"/>
  <c r="B23" i="53"/>
  <c r="AK18" i="53"/>
  <c r="AI18" i="53"/>
  <c r="AH18" i="53"/>
  <c r="AG18" i="53"/>
  <c r="AF18" i="53"/>
  <c r="AE18" i="53"/>
  <c r="AC18" i="53"/>
  <c r="AC24" i="53" s="1"/>
  <c r="AC29" i="53" s="1"/>
  <c r="AB18" i="53"/>
  <c r="AB24" i="53" s="1"/>
  <c r="AB29" i="53" s="1"/>
  <c r="AA18" i="53"/>
  <c r="AA24" i="53" s="1"/>
  <c r="AA29" i="53" s="1"/>
  <c r="Z18" i="53"/>
  <c r="Z24" i="53" s="1"/>
  <c r="Z29" i="53" s="1"/>
  <c r="Y18" i="53"/>
  <c r="Y24" i="53" s="1"/>
  <c r="Y29" i="53" s="1"/>
  <c r="X18" i="53"/>
  <c r="X24" i="53" s="1"/>
  <c r="X29" i="53" s="1"/>
  <c r="W18" i="53"/>
  <c r="W24" i="53" s="1"/>
  <c r="W29" i="53" s="1"/>
  <c r="V18" i="53"/>
  <c r="V24" i="53" s="1"/>
  <c r="U18" i="53"/>
  <c r="U24" i="53" s="1"/>
  <c r="U29" i="53" s="1"/>
  <c r="T18" i="53"/>
  <c r="T24" i="53" s="1"/>
  <c r="S18" i="53"/>
  <c r="S24" i="53" s="1"/>
  <c r="S29" i="53" s="1"/>
  <c r="P18" i="53"/>
  <c r="O18" i="53"/>
  <c r="N18" i="53"/>
  <c r="M18" i="53"/>
  <c r="L18" i="53"/>
  <c r="K18" i="53"/>
  <c r="J18" i="53"/>
  <c r="I18" i="53"/>
  <c r="H18" i="53"/>
  <c r="G18" i="53"/>
  <c r="F18" i="53"/>
  <c r="E18" i="53"/>
  <c r="D18" i="53"/>
  <c r="C18" i="53"/>
  <c r="C24" i="53" s="1"/>
  <c r="C29" i="53" s="1"/>
  <c r="B18" i="53"/>
  <c r="B24" i="53" s="1"/>
  <c r="B29" i="53" s="1"/>
  <c r="AT17" i="53"/>
  <c r="AT18" i="53" s="1"/>
  <c r="AT24" i="53" s="1"/>
  <c r="AS17" i="53"/>
  <c r="AS18" i="53" s="1"/>
  <c r="AS24" i="53" s="1"/>
  <c r="AS29" i="53" s="1"/>
  <c r="AR17" i="53"/>
  <c r="AR18" i="53" s="1"/>
  <c r="AR24" i="53" s="1"/>
  <c r="AQ17" i="53"/>
  <c r="AQ18" i="53" s="1"/>
  <c r="AQ24" i="53" s="1"/>
  <c r="AQ29" i="53" s="1"/>
  <c r="AP17" i="53"/>
  <c r="AP18" i="53" s="1"/>
  <c r="AP24" i="53" s="1"/>
  <c r="AP29" i="53" s="1"/>
  <c r="AM17" i="53"/>
  <c r="AM18" i="53" s="1"/>
  <c r="AL17" i="53"/>
  <c r="AL18" i="53" s="1"/>
  <c r="AK17" i="53"/>
  <c r="AJ17" i="53"/>
  <c r="AJ18" i="53" s="1"/>
  <c r="AI17" i="53"/>
  <c r="AH17" i="53"/>
  <c r="AG17" i="53"/>
  <c r="AF17" i="53"/>
  <c r="AE17" i="53"/>
  <c r="AC17" i="53"/>
  <c r="AB17" i="53"/>
  <c r="AA17" i="53"/>
  <c r="Z17" i="53"/>
  <c r="Y17" i="53"/>
  <c r="X17" i="53"/>
  <c r="W17" i="53"/>
  <c r="V17" i="53"/>
  <c r="U17" i="53"/>
  <c r="T17" i="53"/>
  <c r="S17" i="53"/>
  <c r="R17" i="53"/>
  <c r="R18" i="53" s="1"/>
  <c r="Q17" i="53"/>
  <c r="Q18" i="53" s="1"/>
  <c r="Q24" i="53" s="1"/>
  <c r="Q29" i="53" s="1"/>
  <c r="AD16" i="53"/>
  <c r="AD17" i="53" s="1"/>
  <c r="AD18" i="53" s="1"/>
  <c r="AT7" i="53"/>
  <c r="AS7" i="53"/>
  <c r="AR7" i="53"/>
  <c r="AQ7" i="53"/>
  <c r="AP7" i="53"/>
  <c r="AM7" i="53"/>
  <c r="AL7" i="53"/>
  <c r="AK7" i="53"/>
  <c r="AJ7" i="53"/>
  <c r="AI7" i="53"/>
  <c r="AH7" i="53"/>
  <c r="AG7" i="53"/>
  <c r="AF7" i="53"/>
  <c r="AE7" i="53"/>
  <c r="AD7" i="53"/>
  <c r="AC7" i="53"/>
  <c r="AB7" i="53"/>
  <c r="AA7" i="53"/>
  <c r="Z7" i="53"/>
  <c r="Y7" i="53"/>
  <c r="X7" i="53"/>
  <c r="W7" i="53"/>
  <c r="V7" i="53"/>
  <c r="U7" i="53"/>
  <c r="T7" i="53"/>
  <c r="S7" i="53"/>
  <c r="R7" i="53"/>
  <c r="Q7" i="53"/>
  <c r="P7" i="53"/>
  <c r="O7" i="53"/>
  <c r="N7" i="53"/>
  <c r="M7" i="53"/>
  <c r="L7" i="53"/>
  <c r="K7" i="53"/>
  <c r="J7" i="53"/>
  <c r="I7" i="53"/>
  <c r="H7" i="53"/>
  <c r="G7" i="53"/>
  <c r="F7" i="53"/>
  <c r="E7" i="53"/>
  <c r="D7" i="53"/>
  <c r="C7" i="53"/>
  <c r="B7" i="53"/>
  <c r="AK24" i="53" l="1"/>
  <c r="AK29" i="53" s="1"/>
  <c r="AJ24" i="53"/>
  <c r="AJ29" i="53" s="1"/>
  <c r="O24" i="53"/>
  <c r="O29" i="53" s="1"/>
  <c r="P24" i="53"/>
  <c r="P29" i="53" s="1"/>
  <c r="AL24" i="53"/>
  <c r="AL29" i="53" s="1"/>
  <c r="AD24" i="53"/>
  <c r="AD29" i="53" s="1"/>
  <c r="AM24" i="53"/>
  <c r="AM29" i="53" s="1"/>
  <c r="AU29" i="53"/>
  <c r="AT29" i="53"/>
  <c r="R24" i="53"/>
  <c r="R29" i="53" s="1"/>
  <c r="V29" i="53"/>
  <c r="AR29" i="53"/>
  <c r="T29" i="53"/>
  <c r="B7" i="20" l="1"/>
  <c r="D7" i="20"/>
  <c r="B17" i="20"/>
  <c r="B16" i="20"/>
  <c r="B15" i="20"/>
  <c r="D22" i="52"/>
  <c r="D21" i="52"/>
  <c r="D19" i="52"/>
  <c r="D17" i="52"/>
  <c r="D15" i="52"/>
  <c r="D14" i="52"/>
  <c r="D8" i="52"/>
  <c r="D9" i="52"/>
  <c r="D10" i="52"/>
  <c r="D11" i="52"/>
  <c r="D12" i="52"/>
  <c r="D7" i="52"/>
  <c r="D5" i="52"/>
  <c r="D4" i="52"/>
  <c r="H26" i="52" l="1"/>
  <c r="H25" i="52"/>
  <c r="H24" i="52"/>
  <c r="H23" i="52"/>
  <c r="H22" i="52"/>
  <c r="H21" i="52"/>
  <c r="G9" i="52"/>
  <c r="G8" i="52" l="1"/>
  <c r="G7" i="52"/>
  <c r="G6" i="52"/>
  <c r="G5" i="52"/>
  <c r="G4" i="52"/>
  <c r="D3" i="36" l="1"/>
  <c r="D21" i="36" l="1"/>
  <c r="B18" i="17" l="1"/>
  <c r="C110" i="42" l="1"/>
  <c r="C116" i="42"/>
  <c r="C115" i="42"/>
  <c r="C114" i="42"/>
  <c r="C113" i="42"/>
  <c r="C112" i="42"/>
  <c r="C111" i="42"/>
  <c r="D18" i="17" l="1"/>
  <c r="C18" i="17"/>
  <c r="G67" i="42" l="1"/>
  <c r="J19" i="15" l="1"/>
  <c r="J20" i="15"/>
  <c r="J21" i="15"/>
  <c r="J22" i="15"/>
  <c r="J23" i="15"/>
  <c r="V8" i="15" l="1"/>
  <c r="V9" i="15"/>
  <c r="V10" i="15"/>
  <c r="V5" i="15"/>
  <c r="V6" i="15"/>
  <c r="V4" i="15"/>
  <c r="C2" i="36"/>
  <c r="G5" i="36" s="1"/>
  <c r="C13" i="36"/>
  <c r="G8" i="36" s="1"/>
  <c r="C17" i="36"/>
  <c r="G7" i="36" s="1"/>
  <c r="C20" i="36"/>
  <c r="G6" i="36" s="1"/>
  <c r="C24" i="36" l="1"/>
  <c r="C42" i="42" l="1"/>
  <c r="C33" i="42"/>
  <c r="C32" i="42"/>
  <c r="C43" i="42"/>
  <c r="C13" i="42"/>
  <c r="C35" i="42"/>
  <c r="C18" i="42"/>
  <c r="C39" i="42"/>
  <c r="D32" i="42"/>
  <c r="D34" i="42"/>
  <c r="D43" i="42"/>
  <c r="D13" i="42"/>
  <c r="D35" i="42"/>
  <c r="D33" i="42"/>
  <c r="E33" i="42" l="1"/>
  <c r="E32" i="42"/>
  <c r="E34" i="42"/>
  <c r="E43" i="42"/>
  <c r="E13" i="42"/>
  <c r="E16" i="42" s="1"/>
  <c r="E35" i="42"/>
  <c r="E18" i="42"/>
  <c r="E21" i="42" s="1"/>
  <c r="F43" i="42"/>
  <c r="F34" i="42"/>
  <c r="F35" i="42"/>
  <c r="F32" i="42"/>
  <c r="F13" i="42"/>
  <c r="F16" i="42"/>
  <c r="F18" i="42"/>
  <c r="F21" i="42" s="1"/>
  <c r="F67" i="42"/>
  <c r="C109" i="42"/>
  <c r="C108" i="42"/>
  <c r="C107" i="42"/>
  <c r="C106" i="42"/>
  <c r="C105" i="42"/>
  <c r="C104" i="42"/>
  <c r="C103" i="42"/>
  <c r="C102" i="42"/>
  <c r="C101" i="42"/>
  <c r="C100" i="42"/>
  <c r="C99" i="42"/>
  <c r="C98" i="42"/>
  <c r="C97" i="42"/>
  <c r="C96" i="42"/>
  <c r="C95" i="42"/>
  <c r="C94" i="42"/>
  <c r="C93" i="42"/>
  <c r="C92" i="42"/>
  <c r="C91" i="42"/>
  <c r="C90" i="42"/>
  <c r="C89" i="42"/>
  <c r="E67" i="42"/>
  <c r="D67" i="42"/>
  <c r="C67" i="42"/>
  <c r="G52" i="42"/>
  <c r="D52" i="42"/>
  <c r="C52" i="42"/>
  <c r="G29" i="42"/>
  <c r="C88" i="42" s="1"/>
  <c r="F29" i="42"/>
  <c r="E29" i="42"/>
  <c r="D29" i="42"/>
  <c r="C29" i="42"/>
  <c r="G25" i="42"/>
  <c r="C86" i="42" s="1"/>
  <c r="F25" i="42"/>
  <c r="E25" i="42"/>
  <c r="D25" i="42"/>
  <c r="C25" i="42"/>
  <c r="G21" i="42"/>
  <c r="C87" i="42" s="1"/>
  <c r="D21" i="42"/>
  <c r="C21" i="42"/>
  <c r="G16" i="42"/>
  <c r="C85" i="42" s="1"/>
  <c r="D16" i="42"/>
  <c r="C16" i="42"/>
  <c r="G11" i="42"/>
  <c r="F11" i="42"/>
  <c r="E11" i="42"/>
  <c r="D11" i="42"/>
  <c r="C11" i="42"/>
  <c r="F52" i="42" l="1"/>
  <c r="E52" i="42"/>
  <c r="C30" i="42"/>
  <c r="C69" i="42" s="1"/>
  <c r="E30" i="42"/>
  <c r="E69" i="42" s="1"/>
  <c r="D30" i="42"/>
  <c r="D69" i="42" s="1"/>
  <c r="F30" i="42"/>
  <c r="G30" i="42"/>
  <c r="F69" i="42" l="1"/>
  <c r="G69" i="42"/>
  <c r="U11" i="15" l="1"/>
  <c r="O10" i="27" l="1"/>
  <c r="I68" i="39"/>
  <c r="H68" i="39"/>
  <c r="S15" i="19"/>
  <c r="L23" i="15" l="1"/>
  <c r="L22" i="15"/>
  <c r="L21" i="15"/>
  <c r="L20" i="15"/>
  <c r="L24" i="15"/>
  <c r="T15" i="19" l="1"/>
  <c r="R15" i="19"/>
  <c r="P10" i="27" l="1"/>
  <c r="N10" i="27" l="1"/>
  <c r="G68" i="39"/>
  <c r="J15" i="19" l="1"/>
  <c r="K15" i="19"/>
  <c r="L15" i="19"/>
  <c r="M15" i="19"/>
  <c r="N15" i="19"/>
  <c r="O15" i="19"/>
  <c r="P15" i="19"/>
  <c r="Q15" i="19"/>
  <c r="S11" i="15" l="1"/>
  <c r="T11" i="15"/>
  <c r="M10" i="27" l="1"/>
  <c r="R11" i="15" l="1"/>
  <c r="C68" i="39" l="1"/>
  <c r="D68" i="39"/>
  <c r="F68" i="39"/>
  <c r="K10" i="27" l="1"/>
  <c r="J10" i="27" l="1"/>
  <c r="I10" i="27"/>
  <c r="H10" i="27"/>
  <c r="G10" i="27"/>
  <c r="F10" i="27"/>
  <c r="E10" i="27"/>
  <c r="D10" i="27"/>
  <c r="C10" i="27"/>
  <c r="B10" i="27"/>
  <c r="L10" i="27"/>
  <c r="E15" i="19" l="1"/>
  <c r="D15" i="19"/>
  <c r="C15" i="19"/>
  <c r="B15" i="19"/>
  <c r="F11" i="15" l="1"/>
  <c r="E11" i="15"/>
  <c r="D11" i="15"/>
  <c r="C11" i="15"/>
  <c r="B11" i="15"/>
  <c r="P11" i="15" l="1"/>
  <c r="O11" i="15" l="1"/>
  <c r="N11" i="15" l="1"/>
  <c r="E68" i="39" l="1"/>
  <c r="B14" i="21" l="1"/>
  <c r="C14" i="21" s="1"/>
  <c r="D14" i="21" s="1"/>
  <c r="E14" i="21" s="1"/>
  <c r="F14" i="21" s="1"/>
  <c r="G14" i="21" s="1"/>
  <c r="H14" i="21" s="1"/>
  <c r="I14" i="21" s="1"/>
  <c r="J14" i="21" s="1"/>
  <c r="K14" i="21" s="1"/>
  <c r="L14" i="21" s="1"/>
  <c r="M14" i="21" s="1"/>
  <c r="N14" i="21" s="1"/>
  <c r="O14" i="21" s="1"/>
  <c r="P14" i="21" s="1"/>
  <c r="Q14" i="21" s="1"/>
  <c r="R14" i="21" s="1"/>
  <c r="S14" i="21" s="1"/>
  <c r="T14" i="21" s="1"/>
  <c r="U14" i="21" s="1"/>
  <c r="V14" i="21" s="1"/>
  <c r="W14" i="21" s="1"/>
  <c r="X14" i="21" s="1"/>
  <c r="Y14" i="21" s="1"/>
  <c r="Z14" i="21" s="1"/>
  <c r="AA14" i="21" s="1"/>
  <c r="AB14" i="21" s="1"/>
  <c r="AC14" i="21" s="1"/>
  <c r="AD14" i="21" s="1"/>
  <c r="AE14" i="21" s="1"/>
  <c r="AF14" i="21" s="1"/>
  <c r="AG14" i="21" s="1"/>
  <c r="AH14" i="21" s="1"/>
  <c r="AI14" i="21" s="1"/>
  <c r="AJ14" i="21" s="1"/>
  <c r="AK14" i="21" s="1"/>
  <c r="AL14" i="21" s="1"/>
  <c r="AM14" i="21" s="1"/>
  <c r="AN14" i="21" s="1"/>
  <c r="B15" i="21"/>
  <c r="C15" i="21" s="1"/>
  <c r="D15" i="21" s="1"/>
  <c r="E15" i="21" s="1"/>
  <c r="F15" i="21" s="1"/>
  <c r="G15" i="21" s="1"/>
  <c r="H15" i="21" s="1"/>
  <c r="I15" i="21" s="1"/>
  <c r="J15" i="21" s="1"/>
  <c r="K15" i="21" s="1"/>
  <c r="L15" i="21" s="1"/>
  <c r="M15" i="21" s="1"/>
  <c r="N15" i="21" s="1"/>
  <c r="O15" i="21" s="1"/>
  <c r="P15" i="21" s="1"/>
  <c r="Q15" i="21" s="1"/>
  <c r="R15" i="21" s="1"/>
  <c r="S15" i="21" s="1"/>
  <c r="T15" i="21" s="1"/>
  <c r="U15" i="21" s="1"/>
  <c r="V15" i="21" s="1"/>
  <c r="W15" i="21" s="1"/>
  <c r="X15" i="21" s="1"/>
  <c r="Y15" i="21" s="1"/>
  <c r="Z15" i="21" s="1"/>
  <c r="AA15" i="21" s="1"/>
  <c r="AB15" i="21" s="1"/>
  <c r="AC15" i="21" s="1"/>
  <c r="AD15" i="21" s="1"/>
  <c r="AE15" i="21" s="1"/>
  <c r="AF15" i="21" s="1"/>
  <c r="AG15" i="21" s="1"/>
  <c r="AH15" i="21" s="1"/>
  <c r="AI15" i="21" s="1"/>
  <c r="AJ15" i="21" s="1"/>
  <c r="AK15" i="21" s="1"/>
  <c r="AL15" i="21" s="1"/>
  <c r="AM15" i="21" s="1"/>
  <c r="AN15" i="21" s="1"/>
  <c r="I15" i="19" l="1"/>
  <c r="H15" i="19"/>
  <c r="G15" i="19"/>
  <c r="F15" i="19"/>
  <c r="M11" i="15" l="1"/>
  <c r="B10" i="21" l="1"/>
  <c r="C10" i="21" s="1"/>
  <c r="D10" i="21" s="1"/>
  <c r="E10" i="21" s="1"/>
  <c r="F10" i="21" s="1"/>
  <c r="G10" i="21" s="1"/>
  <c r="H10" i="21" s="1"/>
  <c r="I10" i="21" s="1"/>
  <c r="J10" i="21" s="1"/>
  <c r="K10" i="21" s="1"/>
  <c r="L10" i="21" s="1"/>
  <c r="M10" i="21" s="1"/>
  <c r="N10" i="21" s="1"/>
  <c r="O10" i="21" s="1"/>
  <c r="P10" i="21" s="1"/>
  <c r="Q10" i="21" s="1"/>
  <c r="R10" i="21" s="1"/>
  <c r="S10" i="21" s="1"/>
  <c r="T10" i="21" s="1"/>
  <c r="U10" i="21" s="1"/>
  <c r="V10" i="21" s="1"/>
  <c r="W10" i="21" s="1"/>
  <c r="X10" i="21" s="1"/>
  <c r="Y10" i="21" s="1"/>
  <c r="Z10" i="21" s="1"/>
  <c r="AA10" i="21" s="1"/>
  <c r="AB10" i="21" s="1"/>
  <c r="AC10" i="21" s="1"/>
  <c r="AD10" i="21" s="1"/>
  <c r="AE10" i="21" s="1"/>
  <c r="AF10" i="21" s="1"/>
  <c r="AG10" i="21" s="1"/>
  <c r="AH10" i="21" s="1"/>
  <c r="AI10" i="21" s="1"/>
  <c r="AJ10" i="21" s="1"/>
  <c r="AK10" i="21" s="1"/>
  <c r="AL10" i="21" s="1"/>
  <c r="AM10" i="21" s="1"/>
  <c r="AN10" i="21" s="1"/>
  <c r="B9" i="21"/>
  <c r="C9" i="21" s="1"/>
  <c r="D9" i="21" s="1"/>
  <c r="E9" i="21" s="1"/>
  <c r="F9" i="21" s="1"/>
  <c r="G9" i="21" s="1"/>
  <c r="H9" i="21" s="1"/>
  <c r="I9" i="21" s="1"/>
  <c r="J9" i="21" s="1"/>
  <c r="K9" i="21" s="1"/>
  <c r="L9" i="21" s="1"/>
  <c r="M9" i="21" s="1"/>
  <c r="N9" i="21" s="1"/>
  <c r="O9" i="21" s="1"/>
  <c r="P9" i="21" s="1"/>
  <c r="Q9" i="21" s="1"/>
  <c r="R9" i="21" s="1"/>
  <c r="S9" i="21" s="1"/>
  <c r="T9" i="21" s="1"/>
  <c r="U9" i="21" s="1"/>
  <c r="V9" i="21" s="1"/>
  <c r="W9" i="21" s="1"/>
  <c r="X9" i="21" s="1"/>
  <c r="Y9" i="21" s="1"/>
  <c r="Z9" i="21" s="1"/>
  <c r="AA9" i="21" s="1"/>
  <c r="AB9" i="21" s="1"/>
  <c r="AC9" i="21" s="1"/>
  <c r="AD9" i="21" s="1"/>
  <c r="AE9" i="21" s="1"/>
  <c r="AF9" i="21" s="1"/>
  <c r="AG9" i="21" s="1"/>
  <c r="AH9" i="21" s="1"/>
  <c r="AI9" i="21" s="1"/>
  <c r="AJ9" i="21" s="1"/>
  <c r="AK9" i="21" s="1"/>
  <c r="AL9" i="21" s="1"/>
  <c r="AM9" i="21" s="1"/>
  <c r="AN9" i="21" s="1"/>
  <c r="B8" i="21"/>
  <c r="C8" i="21" s="1"/>
  <c r="D8" i="21" s="1"/>
  <c r="E8" i="21" s="1"/>
  <c r="F8" i="21" s="1"/>
  <c r="G8" i="21" s="1"/>
  <c r="H8" i="21" s="1"/>
  <c r="I8" i="21" s="1"/>
  <c r="J8" i="21" s="1"/>
  <c r="K8" i="21" s="1"/>
  <c r="L8" i="21" s="1"/>
  <c r="M8" i="21" s="1"/>
  <c r="N8" i="21" s="1"/>
  <c r="O8" i="21" s="1"/>
  <c r="P8" i="21" s="1"/>
  <c r="Q8" i="21" s="1"/>
  <c r="R8" i="21" s="1"/>
  <c r="S8" i="21" s="1"/>
  <c r="T8" i="21" s="1"/>
  <c r="U8" i="21" s="1"/>
  <c r="V8" i="21" s="1"/>
  <c r="W8" i="21" s="1"/>
  <c r="X8" i="21" s="1"/>
  <c r="Y8" i="21" s="1"/>
  <c r="Z8" i="21" s="1"/>
  <c r="AA8" i="21" s="1"/>
  <c r="AB8" i="21" s="1"/>
  <c r="AC8" i="21" s="1"/>
  <c r="AD8" i="21" s="1"/>
  <c r="AE8" i="21" s="1"/>
  <c r="AF8" i="21" s="1"/>
  <c r="AG8" i="21" s="1"/>
  <c r="AH8" i="21" s="1"/>
  <c r="AI8" i="21" s="1"/>
  <c r="AJ8" i="21" s="1"/>
  <c r="AK8" i="21" s="1"/>
  <c r="AL8" i="21" s="1"/>
  <c r="AM8" i="21" s="1"/>
  <c r="AN8" i="21" s="1"/>
  <c r="B7" i="21"/>
  <c r="C7" i="21" s="1"/>
  <c r="D7" i="21" s="1"/>
  <c r="E7" i="21" s="1"/>
  <c r="F7" i="21" s="1"/>
  <c r="G7" i="21" s="1"/>
  <c r="H7" i="21" s="1"/>
  <c r="I7" i="21" s="1"/>
  <c r="J7" i="21" s="1"/>
  <c r="K7" i="21" s="1"/>
  <c r="L7" i="21" s="1"/>
  <c r="M7" i="21" s="1"/>
  <c r="N7" i="21" s="1"/>
  <c r="O7" i="21" s="1"/>
  <c r="P7" i="21" s="1"/>
  <c r="Q7" i="21" s="1"/>
  <c r="R7" i="21" s="1"/>
  <c r="S7" i="21" s="1"/>
  <c r="T7" i="21" s="1"/>
  <c r="U7" i="21" s="1"/>
  <c r="V7" i="21" s="1"/>
  <c r="W7" i="21" s="1"/>
  <c r="X7" i="21" s="1"/>
  <c r="Y7" i="21" s="1"/>
  <c r="Z7" i="21" s="1"/>
  <c r="AA7" i="21" s="1"/>
  <c r="AB7" i="21" s="1"/>
  <c r="AC7" i="21" s="1"/>
  <c r="AD7" i="21" s="1"/>
  <c r="AE7" i="21" s="1"/>
  <c r="AF7" i="21" s="1"/>
  <c r="AG7" i="21" s="1"/>
  <c r="AH7" i="21" s="1"/>
  <c r="AI7" i="21" s="1"/>
  <c r="AJ7" i="21" s="1"/>
  <c r="AK7" i="21" s="1"/>
  <c r="AL7" i="21" s="1"/>
  <c r="AM7" i="21" s="1"/>
  <c r="AN7" i="21" s="1"/>
  <c r="B6" i="21"/>
  <c r="C6" i="21" s="1"/>
  <c r="D6" i="21" s="1"/>
  <c r="E6" i="21" s="1"/>
  <c r="F6" i="21" s="1"/>
  <c r="G6" i="21" s="1"/>
  <c r="H6" i="21" s="1"/>
  <c r="I6" i="21" s="1"/>
  <c r="J6" i="21" s="1"/>
  <c r="K6" i="21" s="1"/>
  <c r="L6" i="21" s="1"/>
  <c r="M6" i="21" s="1"/>
  <c r="N6" i="21" s="1"/>
  <c r="O6" i="21" s="1"/>
  <c r="P6" i="21" s="1"/>
  <c r="Q6" i="21" s="1"/>
  <c r="R6" i="21" s="1"/>
  <c r="S6" i="21" s="1"/>
  <c r="T6" i="21" s="1"/>
  <c r="U6" i="21" s="1"/>
  <c r="V6" i="21" s="1"/>
  <c r="W6" i="21" s="1"/>
  <c r="X6" i="21" s="1"/>
  <c r="Y6" i="21" s="1"/>
  <c r="Z6" i="21" s="1"/>
  <c r="AA6" i="21" s="1"/>
  <c r="AB6" i="21" s="1"/>
  <c r="AC6" i="21" s="1"/>
  <c r="AD6" i="21" s="1"/>
  <c r="AE6" i="21" s="1"/>
  <c r="AF6" i="21" s="1"/>
  <c r="AG6" i="21" s="1"/>
  <c r="AH6" i="21" s="1"/>
  <c r="AI6" i="21" s="1"/>
  <c r="AJ6" i="21" s="1"/>
  <c r="AK6" i="21" s="1"/>
  <c r="AL6" i="21" s="1"/>
  <c r="AM6" i="21" s="1"/>
  <c r="AN6" i="21" s="1"/>
  <c r="AN11" i="21" l="1"/>
  <c r="AG28" i="21" s="1"/>
  <c r="AM11" i="21" l="1"/>
  <c r="AL11" i="21" l="1"/>
  <c r="AK11" i="21"/>
  <c r="Q11" i="15" l="1"/>
  <c r="L11" i="15"/>
  <c r="V11" i="15" s="1"/>
  <c r="K11" i="15"/>
  <c r="J11" i="15"/>
  <c r="J24" i="15" s="1"/>
  <c r="I11" i="15"/>
  <c r="H11" i="15"/>
  <c r="G11" i="15"/>
  <c r="AI11" i="21" l="1"/>
  <c r="AJ11" i="21"/>
  <c r="B11" i="21" l="1"/>
  <c r="AH11" i="21"/>
  <c r="D28" i="3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dbt0117</author>
  </authors>
  <commentList>
    <comment ref="O2" authorId="0" shapeId="0" xr:uid="{6AD6C18F-F0F6-4FFE-9C67-73AE1D0FB4F8}">
      <text>
        <r>
          <rPr>
            <sz val="8"/>
            <color indexed="81"/>
            <rFont val="Tahoma"/>
            <family val="2"/>
          </rPr>
          <t>updated to FY 95 Congressional actual to the budget document. 3/23/94</t>
        </r>
      </text>
    </comment>
    <comment ref="P2" authorId="0" shapeId="0" xr:uid="{A4E307CF-48A4-4F97-90C1-B6E7AA5B70AB}">
      <text>
        <r>
          <rPr>
            <sz val="8"/>
            <color indexed="81"/>
            <rFont val="Tahoma"/>
            <family val="2"/>
          </rPr>
          <t>Based on the FY 1995 Cong. Budget document for all Budget accounts.  PowPurch. are changed to reflect the 1994 NMFS BO.  Basis for $350 million number in the Cong. Testimony.  DOES NOT INCLUDE ANY $ FOR $40 MILLION ESA FUND.</t>
        </r>
      </text>
    </comment>
    <comment ref="Z9" authorId="1" shapeId="0" xr:uid="{66017C8F-03D8-4A82-8F32-1917C3B1EDB9}">
      <text>
        <r>
          <rPr>
            <b/>
            <sz val="8"/>
            <color indexed="81"/>
            <rFont val="Tahoma"/>
            <family val="2"/>
          </rPr>
          <t>dbt0117:</t>
        </r>
        <r>
          <rPr>
            <sz val="8"/>
            <color indexed="81"/>
            <rFont val="Tahoma"/>
            <family val="2"/>
          </rPr>
          <t xml:space="preserve">
$5.1M in prior year capital adjustments was not attributed to the direct program in FY 04.  This resulted in a regionally reported program expense of $132.8M for FY 04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a Model" type="5" refreshedVersion="5"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4_CostsByLocation!$A$3:$E$9" type="102" refreshedVersion="5" minRefreshableVersion="5">
    <extLst>
      <ext xmlns:x15="http://schemas.microsoft.com/office/spreadsheetml/2010/11/main" uri="{DE250136-89BD-433C-8126-D09CA5730AF9}">
        <x15:connection id="Range-5170fc5c-6da7-4755-86ea-689762ede593">
          <x15:rangePr sourceName="_xlcn.WorksheetConnection_4_CostsByLocationA3E91"/>
        </x15:connection>
      </ext>
    </extLst>
  </connection>
</connections>
</file>

<file path=xl/sharedStrings.xml><?xml version="1.0" encoding="utf-8"?>
<sst xmlns="http://schemas.openxmlformats.org/spreadsheetml/2006/main" count="668" uniqueCount="431">
  <si>
    <t>Figure 1: BPA Fish &amp; Wildlife Mitigation Costs Total for FY2025</t>
  </si>
  <si>
    <t>Total Operating Expenses</t>
  </si>
  <si>
    <t>Operating Expenses</t>
  </si>
  <si>
    <t>Capital costs</t>
  </si>
  <si>
    <t>Program Related Fixed Expenses</t>
  </si>
  <si>
    <t xml:space="preserve">Interest Expense  </t>
  </si>
  <si>
    <t xml:space="preserve">Amortization Expense  </t>
  </si>
  <si>
    <t xml:space="preserve">Depreciation Expense  </t>
  </si>
  <si>
    <t xml:space="preserve">Forgone Revenue </t>
  </si>
  <si>
    <t xml:space="preserve">BPA Power Purchases for Fish Enhancement  </t>
  </si>
  <si>
    <t xml:space="preserve">BPA Fish &amp; Wildlife Program- Capital </t>
  </si>
  <si>
    <t>Associated Projects (Federal Hydro)</t>
  </si>
  <si>
    <t>Total BPA Fish &amp; Wildlife Program- Expense &amp; Capital</t>
  </si>
  <si>
    <t>Notes:</t>
  </si>
  <si>
    <t>1)</t>
  </si>
  <si>
    <t>Fish &amp; Wildlife Internal Support includes expenses for BPA staff, travel/training, NEPA, Cultural Resources, as well as supplemental labor contracts. These investments are not included in Figures 2 through Figure 8.</t>
  </si>
  <si>
    <t>2)</t>
  </si>
  <si>
    <t>The Reserves Distribution Clause (RDC) funds are intended to address, on an accelerated, one-time basis, high priority maintenance needs of existing Fish &amp; Wildlife assets. This includes hatchery and screen work.  These costs are not included in Figure 2 through Figure 8.</t>
  </si>
  <si>
    <t>3)</t>
  </si>
  <si>
    <t>General &amp; Administrative costs (G&amp;A) are BPA agency costs associated with running the agency's operations and are not directly tied to a specific program.  In prior years,  a portion of the agency G&amp;A were allocated to F&amp;W Internal Support investments. Starting in FY2018, the agency G&amp;A was calculated using a revised methodology and recognized as a distinct charge from the F&amp;W Internal Support costs.  These costs are not included in Figure 2 through Figure 8.</t>
  </si>
  <si>
    <t>4)</t>
  </si>
  <si>
    <t xml:space="preserve">The Resilient Columbia Basin Agreement (RCBA) was a Memorandum of Understanding with the states of Oregon and Washington, the Nez Perce, Umatilla, Warm Springs, and Yakama Tribes, and environmental organizations.  </t>
  </si>
  <si>
    <t>5)</t>
  </si>
  <si>
    <t xml:space="preserve">"Reimbursable/Direct-Funded Projects" includes BPA’s payments to other federal entities and to the U.S. Treasury for the power share of fish and wildlife mitigation costs undertaken by federal entities other than BPA. This includes operations &amp; maintenance at Lower Snake River Compensation Plan Hatcheries as well as facilities operated and maintained by the U.S. Army Corps of Engineers and Bureau of Reclamation. For purposes of this report, BPA’s payments for Northwest Power &amp; Conservation Council costs are also counted in this category. </t>
  </si>
  <si>
    <t>6)</t>
  </si>
  <si>
    <t>Fixed Expenses include depreciation, amortization and interest on costs on the Corps of Engineers' projects, and amortization and interest on the costs associated with BPA's direct Fish and Wildlife Program.</t>
  </si>
  <si>
    <t>7)</t>
  </si>
  <si>
    <t>8)</t>
  </si>
  <si>
    <t>Capital costs include both BPA's direct Fish and Wildlife Program capital costs, funded by BPA's Treasury borrowing, and Associated Projects, which include capital costs at the Army Corps of Engineers' and Bureau of Reclamation projects, funded by appropriations and repaid by BPA.</t>
  </si>
  <si>
    <t>9)</t>
  </si>
  <si>
    <t>Data derived from the Total Cost of BPA Fish &amp; Wildlife Actions table in the annual Budget Submission to Congress: https://www.bpa.gov/-/media/Aep/finance/budget-submission-to-congress/annual-congressional-budget.pdf</t>
  </si>
  <si>
    <t>Figure 2: Project Purpose and Emphasis Costs, FY2025</t>
  </si>
  <si>
    <t>EXP</t>
  </si>
  <si>
    <t>CAP</t>
  </si>
  <si>
    <t>Habitat</t>
  </si>
  <si>
    <t>Primary Project Emphasis</t>
  </si>
  <si>
    <t>Cost</t>
  </si>
  <si>
    <t>Restoration/Protection</t>
  </si>
  <si>
    <t>Regional and Local Coordination</t>
  </si>
  <si>
    <t>Combined RM&amp;E</t>
  </si>
  <si>
    <r>
      <t>Combined RM&amp;E (includes data management) by Purpose</t>
    </r>
    <r>
      <rPr>
        <b/>
        <vertAlign val="superscript"/>
        <sz val="11"/>
        <color theme="1"/>
        <rFont val="Calibri"/>
        <family val="2"/>
        <scheme val="minor"/>
      </rPr>
      <t>2</t>
    </r>
  </si>
  <si>
    <t>Artificial Production</t>
  </si>
  <si>
    <t>Programmatic</t>
  </si>
  <si>
    <t>Predation</t>
  </si>
  <si>
    <t>Harvest</t>
  </si>
  <si>
    <t>Hydrosystem</t>
  </si>
  <si>
    <t>Production</t>
  </si>
  <si>
    <t>Predator Removal</t>
  </si>
  <si>
    <t>Law Enforcement</t>
  </si>
  <si>
    <t>Selective Harvest</t>
  </si>
  <si>
    <r>
      <t>TOTAL</t>
    </r>
    <r>
      <rPr>
        <b/>
        <vertAlign val="superscript"/>
        <sz val="12"/>
        <color theme="1"/>
        <rFont val="Calibri"/>
        <family val="2"/>
        <scheme val="minor"/>
      </rPr>
      <t xml:space="preserve">3 </t>
    </r>
  </si>
  <si>
    <t xml:space="preserve">2) Estimated spending is based at the project level.  Therefore if a project is assigned a purpose of Habitat, but also includes work related to Research, Monitoring and Evaluation, all expenditures for the project are included under RM&amp;E Habitat. </t>
  </si>
  <si>
    <t>Figure 3: Species Type Costs through FY2025</t>
  </si>
  <si>
    <t>10- Year Average</t>
  </si>
  <si>
    <t>Expense Expenditures</t>
  </si>
  <si>
    <t>Anadromous Fish</t>
  </si>
  <si>
    <t>Resident Fish</t>
  </si>
  <si>
    <t>Wildlife</t>
  </si>
  <si>
    <t>Capital Expenditures</t>
  </si>
  <si>
    <r>
      <t>TOTAL</t>
    </r>
    <r>
      <rPr>
        <b/>
        <vertAlign val="superscript"/>
        <sz val="12"/>
        <color theme="1"/>
        <rFont val="Calibri"/>
        <family val="2"/>
        <scheme val="minor"/>
      </rPr>
      <t>2</t>
    </r>
  </si>
  <si>
    <t xml:space="preserve">1) The "Primary Focal Species" benefiting is identified in the work element. </t>
  </si>
  <si>
    <t>2) Data includes only contracts that require a focal species to be identified.</t>
  </si>
  <si>
    <t>3) F&amp;W Internal Support costs are only reflected in Figure 1. These costs are not included in Figure 2 through Figure 8. All values in Figure 2 through Figure 8 are from CBFish.org and include accruals. All totals include combined capital and expense investments, unless specifically separated.</t>
  </si>
  <si>
    <t>(graph uses these formulas)</t>
  </si>
  <si>
    <t>Species type</t>
  </si>
  <si>
    <t>Program Support</t>
  </si>
  <si>
    <t>TOTAL</t>
  </si>
  <si>
    <t>Figure 4: ESA-listed Fish Costs by Species, FY2025</t>
  </si>
  <si>
    <t xml:space="preserve">ESA Listed Focal Species </t>
  </si>
  <si>
    <t xml:space="preserve">Capital </t>
  </si>
  <si>
    <t xml:space="preserve">Expense </t>
  </si>
  <si>
    <t>Total</t>
  </si>
  <si>
    <t>Steelhead - Middle Columbia River DPS (Threatened)</t>
  </si>
  <si>
    <t>Chinook - Snake River Spring/Summer ESU (Threatened)</t>
  </si>
  <si>
    <t>Steelhead - Snake River DPS (Threatened)</t>
  </si>
  <si>
    <t>Trout, Bull (Threatened)</t>
  </si>
  <si>
    <t>Steelhead - Upper Columbia River DPS (Threatened)</t>
  </si>
  <si>
    <t>Chinook - Upper Columbia River Spring ESU (Endangered)</t>
  </si>
  <si>
    <t>Sturgeon, White - Kootenai River DPS (Endangered)</t>
  </si>
  <si>
    <t>Chinook - Snake River Fall ESU (Threatened)</t>
  </si>
  <si>
    <t>Sockeye - Snake River ESU (Endangered)</t>
  </si>
  <si>
    <t>Chinook - Upper Willamette River ESU (Threatened)</t>
  </si>
  <si>
    <t>Steelhead - Upper Willamette River DPS (Threatened)</t>
  </si>
  <si>
    <t>Chinook - Lower Columbia River ESU (Threatened)</t>
  </si>
  <si>
    <t>Steelhead - Lower Columbia River DPS (Threatened)</t>
  </si>
  <si>
    <t>Coho - Lower Columbia River ESU (Threatened)</t>
  </si>
  <si>
    <t>Chum - Columbia River ESU (Threatened)</t>
  </si>
  <si>
    <r>
      <t>TOTAL</t>
    </r>
    <r>
      <rPr>
        <b/>
        <vertAlign val="superscript"/>
        <sz val="12"/>
        <color theme="1"/>
        <rFont val="Calibri"/>
        <family val="2"/>
        <scheme val="minor"/>
      </rPr>
      <t>1</t>
    </r>
  </si>
  <si>
    <t xml:space="preserve">1) The information in this table is taken from CBFish.org, which tracks the costs associated with specific mitigation actions (e.g. culvert removal, floodplain reconnection, fish passage improvements) in BPA-funded projects.  In most cases, a single mitigation action yields simultaneous benefits for multiple focal species.  With habitat improvement in particular, it is typical for several anadromous and/or resident fish species to be present in the project area, each deriving similar benefits from the mitigation action. Expenditure reports generated by CBfish.org, however,  are not set up to capture the full extent of these simultaneous benefits.  Instead, these reports divide the costs of a mitigation action evenly across however many focal species are present.  For example, in the case of a $100,000 culvert removal that facilitates passage for two salmon species, a steelhead species, and a resident trout species, CBfish.org reports only $25,000 of habitat investment per species, despite each receiving the full benefit of the action.  Because of this reporting design, estimates like those in the table above likely undervalue the total amount of BPA funding that benefits specific focal species each year. </t>
  </si>
  <si>
    <t>2) F&amp;W Internal Support costs are only reflected in Figure 1. These costs are not included in Figure 2 through Figure 8. All values in Figure 2 through Figure 8 are from CBFish.org and include accruals. All totals include combined capital and expense investments, unless specifically separated.</t>
  </si>
  <si>
    <t xml:space="preserve">Total Spending </t>
  </si>
  <si>
    <t>Figure 5A: Province Costs through FY2025</t>
  </si>
  <si>
    <t>2025</t>
  </si>
  <si>
    <t>COLUMBIA PLATEAU</t>
  </si>
  <si>
    <t>COLUMBIA CASCADE</t>
  </si>
  <si>
    <t>INTERMOUNTAIN</t>
  </si>
  <si>
    <t>MOUNTAIN SNAKE</t>
  </si>
  <si>
    <t>COLUMBIA GORGE</t>
  </si>
  <si>
    <t>MOUNTAIN COLUMBIA</t>
  </si>
  <si>
    <t>BLUE MOUNTAIN</t>
  </si>
  <si>
    <t>LOWER COLUMBIA</t>
  </si>
  <si>
    <t>COLUMBIA ESTUARY</t>
  </si>
  <si>
    <t>UPPER SNAKE</t>
  </si>
  <si>
    <t>MIDDLE SNAKE</t>
  </si>
  <si>
    <r>
      <t>OTHER</t>
    </r>
    <r>
      <rPr>
        <vertAlign val="superscript"/>
        <sz val="11"/>
        <rFont val="Calibri"/>
        <family val="2"/>
        <scheme val="minor"/>
      </rPr>
      <t xml:space="preserve"> 2</t>
    </r>
  </si>
  <si>
    <r>
      <t>TOTAL</t>
    </r>
    <r>
      <rPr>
        <b/>
        <vertAlign val="superscript"/>
        <sz val="12"/>
        <color theme="1"/>
        <rFont val="Calibri"/>
        <family val="2"/>
        <scheme val="minor"/>
      </rPr>
      <t xml:space="preserve"> </t>
    </r>
  </si>
  <si>
    <t>1) The Province is determined by the work element location. Not all work elements require a location to be identified.</t>
  </si>
  <si>
    <t>2) Other includes: Northern Oregon Coastal, Oregon Closed Basins, Puget Sound, SW Washington Coastal and “undetermined”, such as work in Canada for the Kootenai River white sturgeon.</t>
  </si>
  <si>
    <r>
      <t>OTHER</t>
    </r>
    <r>
      <rPr>
        <vertAlign val="superscript"/>
        <sz val="11"/>
        <rFont val="Calibri"/>
        <family val="2"/>
        <scheme val="minor"/>
      </rPr>
      <t xml:space="preserve"> </t>
    </r>
  </si>
  <si>
    <t>Figure 5B: Subbasin Costs through FY2025</t>
  </si>
  <si>
    <t>Subbasin</t>
  </si>
  <si>
    <t>Columbia Plateau</t>
  </si>
  <si>
    <t>Yakima</t>
  </si>
  <si>
    <t>Blue Mountain</t>
  </si>
  <si>
    <t>Grande Ronde</t>
  </si>
  <si>
    <t>Columbia Gorge</t>
  </si>
  <si>
    <t>Klickitat</t>
  </si>
  <si>
    <t>Mountain Columbia</t>
  </si>
  <si>
    <t>Kootenai</t>
  </si>
  <si>
    <t>Mountain Snake</t>
  </si>
  <si>
    <t>Salmon</t>
  </si>
  <si>
    <t>Umatilla</t>
  </si>
  <si>
    <t>Clearwater</t>
  </si>
  <si>
    <t>John Day</t>
  </si>
  <si>
    <t>Intermountain</t>
  </si>
  <si>
    <t>Columbia Upper</t>
  </si>
  <si>
    <t>Lower Columbia</t>
  </si>
  <si>
    <t>Willamette</t>
  </si>
  <si>
    <t>Columbia Cascade</t>
  </si>
  <si>
    <t>Okanogan</t>
  </si>
  <si>
    <t>Spokane</t>
  </si>
  <si>
    <t>Wenatchee</t>
  </si>
  <si>
    <t>Walla Walla</t>
  </si>
  <si>
    <t>Methow</t>
  </si>
  <si>
    <t>Columbia River Estuary</t>
  </si>
  <si>
    <t>Columbia Estuary</t>
  </si>
  <si>
    <t>Flathead</t>
  </si>
  <si>
    <t>Snake Lower</t>
  </si>
  <si>
    <t>Upper Snake</t>
  </si>
  <si>
    <t>Snake Upper</t>
  </si>
  <si>
    <t>Pend Oreille</t>
  </si>
  <si>
    <t>Columbia Lower Middle</t>
  </si>
  <si>
    <t>Hood</t>
  </si>
  <si>
    <t>Columbia Upper Middle</t>
  </si>
  <si>
    <t>Columbia Lower</t>
  </si>
  <si>
    <t>Coeur D'Alene</t>
  </si>
  <si>
    <t>Sanpoil</t>
  </si>
  <si>
    <t>Tucannon</t>
  </si>
  <si>
    <t>Deschutes</t>
  </si>
  <si>
    <r>
      <t>Other</t>
    </r>
    <r>
      <rPr>
        <vertAlign val="superscript"/>
        <sz val="11"/>
        <rFont val="Calibri"/>
        <family val="2"/>
        <scheme val="minor"/>
      </rPr>
      <t>2</t>
    </r>
  </si>
  <si>
    <t>Other</t>
  </si>
  <si>
    <t>Middle Snake</t>
  </si>
  <si>
    <t>Boise</t>
  </si>
  <si>
    <t>Puget Sound</t>
  </si>
  <si>
    <t>Entiat</t>
  </si>
  <si>
    <t>Grays</t>
  </si>
  <si>
    <t>Imnaha</t>
  </si>
  <si>
    <t>Snake Hells Canyon</t>
  </si>
  <si>
    <t>Elochoman</t>
  </si>
  <si>
    <t>Owyhee</t>
  </si>
  <si>
    <t>Asotin</t>
  </si>
  <si>
    <t>Lake Chelan</t>
  </si>
  <si>
    <t>Malheur</t>
  </si>
  <si>
    <t>Wind</t>
  </si>
  <si>
    <t>Crab</t>
  </si>
  <si>
    <t>Payette</t>
  </si>
  <si>
    <t>Clark Fork</t>
  </si>
  <si>
    <t>Little White Salmon</t>
  </si>
  <si>
    <t>Fifteenmile</t>
  </si>
  <si>
    <t>Kalama</t>
  </si>
  <si>
    <t>Lewis</t>
  </si>
  <si>
    <t>Palouse</t>
  </si>
  <si>
    <t>Cowlitz</t>
  </si>
  <si>
    <t>Washougal</t>
  </si>
  <si>
    <t>Big White Salmon</t>
  </si>
  <si>
    <t>Oregon Closed Basins</t>
  </si>
  <si>
    <t>Snake Lower Middle</t>
  </si>
  <si>
    <t>Snake Upper Closed Basin</t>
  </si>
  <si>
    <t>SW Washington Coastal</t>
  </si>
  <si>
    <t>Bruneau</t>
  </si>
  <si>
    <t>Northern Oregon Coastal</t>
  </si>
  <si>
    <t>Sandy</t>
  </si>
  <si>
    <t>Blackfoot</t>
  </si>
  <si>
    <t>Bitterroot</t>
  </si>
  <si>
    <t>Powder</t>
  </si>
  <si>
    <t>Snake Upper Middle</t>
  </si>
  <si>
    <t>Snake Headwaters</t>
  </si>
  <si>
    <t xml:space="preserve">  </t>
  </si>
  <si>
    <t>1) The Subbasin is determined by the work element location. Not all work elements require a location to be identified.</t>
  </si>
  <si>
    <t>2) Other includes "Undetermined" locations such as Ocean, Canada; and provinces not recognized by the Northwest Power and Conservation Council.</t>
  </si>
  <si>
    <t>Figure 6: Costs by Geographic Location through FY2025</t>
  </si>
  <si>
    <t>Washington</t>
  </si>
  <si>
    <t>Oregon</t>
  </si>
  <si>
    <t>Idaho</t>
  </si>
  <si>
    <t>Montana</t>
  </si>
  <si>
    <t>Ocean</t>
  </si>
  <si>
    <r>
      <t>British Columbia</t>
    </r>
    <r>
      <rPr>
        <vertAlign val="superscript"/>
        <sz val="12"/>
        <color theme="1"/>
        <rFont val="Calibri"/>
        <family val="2"/>
        <scheme val="minor"/>
      </rPr>
      <t>2</t>
    </r>
  </si>
  <si>
    <r>
      <t>Nevada</t>
    </r>
    <r>
      <rPr>
        <vertAlign val="superscript"/>
        <sz val="12"/>
        <color theme="1"/>
        <rFont val="Calibri"/>
        <family val="2"/>
        <scheme val="minor"/>
      </rPr>
      <t>2</t>
    </r>
  </si>
  <si>
    <t>1) The geographic location is determined by the work element location. Not all work elements require a location to be identified.</t>
  </si>
  <si>
    <t>2) Some work outside of Council subbasins include work with Kootenai Tribe in BC and Shoshone-Paiute Tribe in Nevada.</t>
  </si>
  <si>
    <t>British Columbia</t>
  </si>
  <si>
    <t>Nevada</t>
  </si>
  <si>
    <t>Figure 7: Project Contractor Costs through FY2025</t>
  </si>
  <si>
    <t>Contractor Type</t>
  </si>
  <si>
    <t>Contractor</t>
  </si>
  <si>
    <t>FEDERAL</t>
  </si>
  <si>
    <t>NATIONAL MARINE FISHERIES (NOAA)</t>
  </si>
  <si>
    <t>US FISH &amp; WILDLIFE SERVICE (USFWS)</t>
  </si>
  <si>
    <t>US GEOLOGICAL SURVEY (USGS)</t>
  </si>
  <si>
    <t>US FOREST SERVICE (USFS)</t>
  </si>
  <si>
    <t>PACIFIC NW NATIONAL LABORATORY/DEPT. OF ENERGY</t>
  </si>
  <si>
    <t>US BUREAU OF RECLAMATION (BOR)</t>
  </si>
  <si>
    <t>US ARMY CORP OF ENGINEERS (COE)</t>
  </si>
  <si>
    <t>DEPARTMENT OF THE INTERIOR</t>
  </si>
  <si>
    <t>STATE</t>
  </si>
  <si>
    <t>OREGON DEPARTMENT OF FISH &amp; WILDLIFE</t>
  </si>
  <si>
    <t>OREGON WATERSHED ENHANCEMENT BOARD</t>
  </si>
  <si>
    <t>OREGON DEPARTMENT OF ENVIRONMENTAL QUALITY</t>
  </si>
  <si>
    <t>OREGON Subtotal</t>
  </si>
  <si>
    <t>IDAHO DEPARTMENT OF FISH &amp; WILDLIFE</t>
  </si>
  <si>
    <t>IDAHO STATE OFFICE OF SPECIES CONSERVATION</t>
  </si>
  <si>
    <t>IDAHO SOIL &amp; WATER CONSERVATION COMMISSION</t>
  </si>
  <si>
    <t>IDAHO Subtotal</t>
  </si>
  <si>
    <t>WASHINGTON DEPARTMENT OF FISH &amp; WILDLIFE</t>
  </si>
  <si>
    <t>WASHINGTON DEPARTMENT OF ECOLOGY</t>
  </si>
  <si>
    <t>WASHINGTON Subtotal</t>
  </si>
  <si>
    <t>MONTANA FISH, WILDLIFE AND PARKS (MFWP)</t>
  </si>
  <si>
    <t>MONTANA STATE LIBRARY</t>
  </si>
  <si>
    <t>MONTANA Subtotal</t>
  </si>
  <si>
    <t>STATE TOTAL</t>
  </si>
  <si>
    <t>TRIBE</t>
  </si>
  <si>
    <t>YAKAMA CONFEDERATED TRIBES</t>
  </si>
  <si>
    <t>COLVILLE CONFEDERATED TRIBES</t>
  </si>
  <si>
    <t>UMATILLA CONFEDERATED TRIBES</t>
  </si>
  <si>
    <t>NEZ PERCE TRIBE</t>
  </si>
  <si>
    <t>KOOTENAI TRIBE</t>
  </si>
  <si>
    <t>SPOKANE TRIBE OF INDIANS</t>
  </si>
  <si>
    <t>COLUMBIA RIVER INTERTRIBAL FISH COMMISSION</t>
  </si>
  <si>
    <t>CONFEDERATED TRIBES OF WARM SPRINGS</t>
  </si>
  <si>
    <t>COEUR D'ALENE TRIBE OF IDAHO</t>
  </si>
  <si>
    <t>SHOSHONE-BANNOCK TRIBES</t>
  </si>
  <si>
    <t>KALISPEL TRIBE OF INDIANS</t>
  </si>
  <si>
    <t>SALISH AND KOOTENAI TRIBES CONFEDERATED TRIBES</t>
  </si>
  <si>
    <t>SHOSHONE-PAUITE TRIBES</t>
  </si>
  <si>
    <t>BURNS PAIUTE TRIBE</t>
  </si>
  <si>
    <t>UPPER COLUMBIA UNITED TRIBES (UCUT)</t>
  </si>
  <si>
    <t>CONFEDERATED TRIBES OF GRAND RONDE</t>
  </si>
  <si>
    <t>UPPER SNAKE RIVER TRIBES FOUNDATION</t>
  </si>
  <si>
    <t>COWLITZ INDIAN TRIBE</t>
  </si>
  <si>
    <t>CONFEDERATED TRIBES OF SILETZ INDIANS</t>
  </si>
  <si>
    <t>FORT McDERMITT TRIBE</t>
  </si>
  <si>
    <t>TRIBE TOTAL</t>
  </si>
  <si>
    <t>INTERSTATE COMPACT</t>
  </si>
  <si>
    <t>PACIFIC STATES MARINE FISHERIES COMMISSION (PSMFC)</t>
  </si>
  <si>
    <t>UNIVERSITIES</t>
  </si>
  <si>
    <t>OTHER</t>
  </si>
  <si>
    <r>
      <t>PRIVATE/NON-PROFIT/OTHER</t>
    </r>
    <r>
      <rPr>
        <vertAlign val="superscript"/>
        <sz val="11"/>
        <rFont val="Calibri"/>
        <family val="2"/>
      </rPr>
      <t>1</t>
    </r>
  </si>
  <si>
    <t>CONSULTANT</t>
  </si>
  <si>
    <t>NON-PROFIT</t>
  </si>
  <si>
    <r>
      <t>LOCAL/SEMI GOVERNMENT</t>
    </r>
    <r>
      <rPr>
        <vertAlign val="superscript"/>
        <sz val="11"/>
        <rFont val="Calibri"/>
        <family val="2"/>
      </rPr>
      <t>2</t>
    </r>
  </si>
  <si>
    <t>ENGINEERING OR DESIGN FIRM</t>
  </si>
  <si>
    <t>LAND TRUST OR WATERSHED GROUPS</t>
  </si>
  <si>
    <r>
      <t>UTILITY</t>
    </r>
    <r>
      <rPr>
        <vertAlign val="superscript"/>
        <sz val="11"/>
        <rFont val="Calibri"/>
        <family val="2"/>
      </rPr>
      <t>3</t>
    </r>
  </si>
  <si>
    <r>
      <t>NORTHWEST POWER AND CONSERVATION COUNCIL</t>
    </r>
    <r>
      <rPr>
        <vertAlign val="superscript"/>
        <sz val="11"/>
        <rFont val="Calibri"/>
        <family val="2"/>
      </rPr>
      <t>4</t>
    </r>
  </si>
  <si>
    <t>CHIEF JOSEPH HATCHERY/GRANT PUD COST SHARE</t>
  </si>
  <si>
    <t>OTHER TOTAL</t>
  </si>
  <si>
    <t>1) Starting in 2025, the Private/Non-Profit/Other category for contractors was split into more detailed categories.</t>
  </si>
  <si>
    <t>2) Local/semi-government includes soil &amp; water conservation districts, irrigation districts, cities and counties.</t>
  </si>
  <si>
    <t>3) Utility includes BPA's reimbursement of power costs to the Umatilla Electric Cooperative and Pacific Power &amp; Light Company for the Umatilla Basin Project pumping plants that provide Columbia River water to irrigators in exchange for Umatilla River water left instream (not diverted for irrigation.)</t>
  </si>
  <si>
    <t>5) F&amp;W Internal Support costs are only reflected in Figure 1. These costs are not included in Figure 2 through Figure 8. All values in Figure 2 through Figure 8 are from CBFish.org and include accruals. All totals include combined capital and expense investments, unless specifically separated.</t>
  </si>
  <si>
    <t>Federal</t>
  </si>
  <si>
    <t>FEDERAL- NATIONAL MARINE FISHERIES</t>
  </si>
  <si>
    <t>FEDERAL- US FISH &amp; WILDLIFE SERVICE</t>
  </si>
  <si>
    <t>FEDERAL- US GEOLOGICAL SURVEY</t>
  </si>
  <si>
    <t>FEDERAL- US FOREST SERVICE</t>
  </si>
  <si>
    <t>FEDERAL- PACIFIC NW NATIONAL LABORATORY/DEPT. OF ENERGY</t>
  </si>
  <si>
    <t>FEDERAL- US BUREAU OF RECLAMATION</t>
  </si>
  <si>
    <t>State</t>
  </si>
  <si>
    <t xml:space="preserve">STATE- OREGON </t>
  </si>
  <si>
    <t xml:space="preserve">STATE- WASHINGTON </t>
  </si>
  <si>
    <t>STATE- IDAHO</t>
  </si>
  <si>
    <t xml:space="preserve">STATE- MONTANA </t>
  </si>
  <si>
    <t>Tribe</t>
  </si>
  <si>
    <t>TRIBE- YAKAMA CONFEDERATED TRIBES</t>
  </si>
  <si>
    <t>TRIBE- COLVILLE CONFEDERATED TRIBES</t>
  </si>
  <si>
    <t>TRIBE- NEZ PERCE TRIBE</t>
  </si>
  <si>
    <t>TRIBE- UMATILLA CONFEDERATED TRIBES</t>
  </si>
  <si>
    <t>TRIBE- KOOTENAI TRIBE</t>
  </si>
  <si>
    <t>TRIBE- SPOKANE TRIBE OF INDIANS</t>
  </si>
  <si>
    <t>TRIBE- COLUMBIA RIVER INTERTRIBAL FISH COMMISSION</t>
  </si>
  <si>
    <t>TRIBE- CONFEDERATED TRIBES OF WARM SPRINGS</t>
  </si>
  <si>
    <t>TRIBE- COEUR D'ALENE TRIBE OF IDAHO</t>
  </si>
  <si>
    <t>TRIBE- SHOSHONE-BANNOCK TRIBES</t>
  </si>
  <si>
    <t>TRIBE- KALISPEL TRIBE OF INDIANS</t>
  </si>
  <si>
    <t>TRIBE- SHOSHONE-PAUITE TRIBES</t>
  </si>
  <si>
    <t>TRIBE- BURNS PAIUTE TRIBE</t>
  </si>
  <si>
    <t>TRIBE- SALISH AND KOOTENAI TRIBES CONFEDERATED TRIBES</t>
  </si>
  <si>
    <t>TRIBE- UPPER COLUMBIA UNITED TRIBES (UCUT)</t>
  </si>
  <si>
    <t>TRIBE- CONFEDERATED TRIBES OF GRAND RONDE</t>
  </si>
  <si>
    <t>TRIBE- UPPER SNAKE RIVER TRIBES FOUNDATION</t>
  </si>
  <si>
    <t>TRIBE- COWLITZ INDIAN TRIBE</t>
  </si>
  <si>
    <t>TRIBE- CONFEDERATED TRIBES OF SILETZ INDIANS</t>
  </si>
  <si>
    <t>INTERSTATE- PACIFIC STATES MARINE FISHERIES COMMISSION</t>
  </si>
  <si>
    <t>OTHER- ENGINEERING OR DESIGN FIRM</t>
  </si>
  <si>
    <t>OTHER- NON-PROFIT</t>
  </si>
  <si>
    <t>OTHER- LOCAL/SEMI GOVERNMENT</t>
  </si>
  <si>
    <t>OTHER- LAND TRUST OR WATERSHED GROUPS</t>
  </si>
  <si>
    <t>OTHER- CONSULTANT</t>
  </si>
  <si>
    <t>OTHER- UTILITY</t>
  </si>
  <si>
    <t>OTHER- NORTHWEST POWER AND CONSERVATION COUNCIL</t>
  </si>
  <si>
    <t>Figure 8: Land Costs, FY2025</t>
  </si>
  <si>
    <t>Acreage</t>
  </si>
  <si>
    <t>Description</t>
  </si>
  <si>
    <t>Total Spending</t>
  </si>
  <si>
    <t>Confederated Tribes of the Umatilla Indian Reservation </t>
  </si>
  <si>
    <t>Uma Birch project land purchase and/or conservation easements(943 acres); Kwalkwal land purchase and/or conservation easement (99 acres)</t>
  </si>
  <si>
    <t>Oregon Department of Fish and Wildlife</t>
  </si>
  <si>
    <t>Molalla River and Forest Preserve, Deer Path West, Oak Basin and Coyote Creek South land purchases or conservation easements under the Willamette River Basin Memorandum of Agreement (Willamette Wildlife Mitigation Program).</t>
  </si>
  <si>
    <t>Salish and Kootenai Confederated Tribes</t>
  </si>
  <si>
    <t>Camas (82 acres) and Jocko Springs (70 acres) land purchase and/or conservation easements.</t>
  </si>
  <si>
    <t>Columbia River Estuary Taskforce</t>
  </si>
  <si>
    <t>Toaheedillini-Novak conservation easement located southeast from Astoria in Clatsop County, OR.</t>
  </si>
  <si>
    <r>
      <t>TOTAL</t>
    </r>
    <r>
      <rPr>
        <b/>
        <vertAlign val="superscript"/>
        <sz val="11"/>
        <color theme="1"/>
        <rFont val="Calibri"/>
        <family val="2"/>
        <scheme val="minor"/>
      </rPr>
      <t>1</t>
    </r>
  </si>
  <si>
    <t>Notes</t>
  </si>
  <si>
    <t xml:space="preserve">1) Expenditures are reported for the project contractor under which the acquisition was funded (may/may not be the land manager or owner.) Values above include bank fees, permits, etc. </t>
  </si>
  <si>
    <t>3) Historical land acquisition data is publicly available in CBFish by going to Reporting&gt;Report Center&gt;searching for “land”&gt;Land Acquisition Status report and selecting a fiscal year.</t>
  </si>
  <si>
    <t>Total Cost of BPA Fish &amp; Wildlife Actions</t>
  </si>
  <si>
    <t>COST ELEMENT</t>
  </si>
  <si>
    <t xml:space="preserve"> 1978-1980</t>
  </si>
  <si>
    <t xml:space="preserve"> 1981</t>
  </si>
  <si>
    <t xml:space="preserve"> 1982</t>
  </si>
  <si>
    <t xml:space="preserve"> 1983</t>
  </si>
  <si>
    <t xml:space="preserve"> 1984</t>
  </si>
  <si>
    <t xml:space="preserve"> 1985</t>
  </si>
  <si>
    <t xml:space="preserve"> 1986</t>
  </si>
  <si>
    <t xml:space="preserve"> 1987</t>
  </si>
  <si>
    <t xml:space="preserve"> 1988</t>
  </si>
  <si>
    <t xml:space="preserve"> 1989</t>
  </si>
  <si>
    <t xml:space="preserve"> 1990</t>
  </si>
  <si>
    <t xml:space="preserve"> 1991</t>
  </si>
  <si>
    <r>
      <t xml:space="preserve">CAPITAL  INVESTMENTS </t>
    </r>
    <r>
      <rPr>
        <b/>
        <u/>
        <vertAlign val="superscript"/>
        <sz val="12"/>
        <rFont val="Calibri"/>
        <family val="2"/>
        <scheme val="minor"/>
      </rPr>
      <t xml:space="preserve"> 1/</t>
    </r>
  </si>
  <si>
    <t xml:space="preserve">         BPA  FISH AND WILDLIFE  </t>
  </si>
  <si>
    <t xml:space="preserve">         BPA  SOFTWARE DEVELOPMENT COSTS </t>
  </si>
  <si>
    <t xml:space="preserve">         ASSOCIATED PROJECTS (FEDERAL HYDRO) </t>
  </si>
  <si>
    <t xml:space="preserve">     TOTAL  CAPITAL  INVESTMENTS</t>
  </si>
  <si>
    <t>PROGRAM EXPENSES</t>
  </si>
  <si>
    <t xml:space="preserve">BPA  DIRECT FISH AND WILDLIFE PROGRAM  </t>
  </si>
  <si>
    <t>FISH &amp; WILDLIFE SOFTWARE EXPENSE COSTS</t>
  </si>
  <si>
    <r>
      <t xml:space="preserve">SUPPLEMENTAL MITIGATION PROGRAM EXPENSES </t>
    </r>
    <r>
      <rPr>
        <b/>
        <vertAlign val="superscript"/>
        <sz val="12"/>
        <rFont val="Calibri"/>
        <family val="2"/>
        <scheme val="minor"/>
      </rPr>
      <t>2/</t>
    </r>
  </si>
  <si>
    <r>
      <t xml:space="preserve">REIMBURSABLE/DIRECT-FUNDED PROJECTS </t>
    </r>
    <r>
      <rPr>
        <b/>
        <vertAlign val="superscript"/>
        <sz val="12"/>
        <rFont val="Calibri"/>
        <family val="2"/>
        <scheme val="minor"/>
      </rPr>
      <t>3/</t>
    </r>
  </si>
  <si>
    <t xml:space="preserve">        O &amp; M CORPS OF ENGINEERS</t>
  </si>
  <si>
    <t xml:space="preserve">        O &amp; M BUREAU OF RECLAMATION</t>
  </si>
  <si>
    <t xml:space="preserve">        NW POWER AND CONSERVATION COUNCIL ALLOCATED @ 50%</t>
  </si>
  <si>
    <t>SUBTOTAL (REIMB/DIRECT-FUNDED)</t>
  </si>
  <si>
    <t xml:space="preserve">      TOTAL OPERATING EXPENSES</t>
  </si>
  <si>
    <r>
      <t xml:space="preserve">PROGRAM RELATED FIXED EXPENSES   </t>
    </r>
    <r>
      <rPr>
        <b/>
        <vertAlign val="superscript"/>
        <sz val="12"/>
        <rFont val="Calibri"/>
        <family val="2"/>
        <scheme val="minor"/>
      </rPr>
      <t>4/</t>
    </r>
  </si>
  <si>
    <t xml:space="preserve">         INTEREST EXPENSE  </t>
  </si>
  <si>
    <t xml:space="preserve">        AMORTIZATION EXPENSE  </t>
  </si>
  <si>
    <t xml:space="preserve">        DEPRECIATION EXPENSE  </t>
  </si>
  <si>
    <t xml:space="preserve">    TOTAL FIXED EXPENSES</t>
  </si>
  <si>
    <t xml:space="preserve"> GRAND TOTAL PROGRAM  EXPENSES</t>
  </si>
  <si>
    <t xml:space="preserve">FORGONE REVENUES AND POWER PURCHASES </t>
  </si>
  <si>
    <t xml:space="preserve">BPA POWER PURCH. FOR FISH ENHANCEMENT  </t>
  </si>
  <si>
    <t>CREDITS</t>
  </si>
  <si>
    <t>4(h)(10)(C)</t>
  </si>
  <si>
    <t>FISH COST CONTINGENCY FUND</t>
  </si>
  <si>
    <t>TOTAL CREDITS</t>
  </si>
  <si>
    <t>1) Capital Investments include both BPA's direct Fish and Wildlife Program capital investments, funded by BPA's Treasury borrowing, and "Associated Projects", which include capital investments at Corps of Engineers' and Bureau of Reclamation projects, funded by appropriations and repaid by BPA.  The negative amount in FY 1997 reflects a decision to reverse "plant-in-service" investment that was never actually placed into service.   The annual expenses associated with these investments are included in "Program-Related Fixed Expenses", below.</t>
  </si>
  <si>
    <t xml:space="preserve">2) Includes High Priority and Action Plan Expenses and other supplemental programs. </t>
  </si>
  <si>
    <t>3) "Reimbursable/Direct-Funded Projects" includes the portion of costs BPA pays to or on behalf of other entities that is determined to be for fish and wildlife purposes.</t>
  </si>
  <si>
    <t xml:space="preserve">4) "Fixed Expenses" include depreciation, amortization and interest on investments on the Corps of Engineers' projects, and amortization and interest on the investments associated with BPA's direct Fish and Wildlife Program.  </t>
  </si>
  <si>
    <t>5) Source: bpa.gov/-/media/Aep/finance/budget-submission-to-congress/annual-congressional-budget.pdf#page=95</t>
  </si>
  <si>
    <t>As of FY 2019 report (Feb 2020), this chart is no longer included</t>
  </si>
  <si>
    <t>Table/Figure 12: Cumulative expenses 1978-2018, by Major Spending Area</t>
  </si>
  <si>
    <t>1978-80</t>
  </si>
  <si>
    <t>match?</t>
  </si>
  <si>
    <t>Power Purchases</t>
  </si>
  <si>
    <t>Forgone Revenues</t>
  </si>
  <si>
    <t>Reimbursable Expenses</t>
  </si>
  <si>
    <t>Direct Program</t>
  </si>
  <si>
    <t>Fixed Expenses</t>
  </si>
  <si>
    <t>Totals</t>
  </si>
  <si>
    <t>(For subtitle calculations only:)</t>
  </si>
  <si>
    <t>Total Capital Investments (row 7)</t>
  </si>
  <si>
    <t>Total Credits (row 33)</t>
  </si>
  <si>
    <t>Power Purchases (row 27)</t>
  </si>
  <si>
    <t>y</t>
  </si>
  <si>
    <t>Forgone Revenues (row 26)</t>
  </si>
  <si>
    <t>Reimbursable Expenses (row 17</t>
  </si>
  <si>
    <t>Direct Program (row 9)</t>
  </si>
  <si>
    <t>Fixed Expenses (row 23)</t>
  </si>
  <si>
    <t>Subtitle (change this to point to current FY)</t>
  </si>
  <si>
    <t>Direct Program chart</t>
  </si>
  <si>
    <t>◄ also edit 2nd</t>
  </si>
  <si>
    <t>axis titles with</t>
  </si>
  <si>
    <t>current FY data</t>
  </si>
  <si>
    <t>Note: Create legend for this chart in InDesign so that the top-to-bottom order matches (Excel reverses it)</t>
  </si>
  <si>
    <t>As reported by Bonneville, these costs do not include the amount expended in FY25 to implement the phased studies related to the feasibility of reintroducing anadromous fish above Grand Coulee and Chief Joseph dams (referred to as the P2IP study). The Council considers these expenditures to be part of the direct fish and wildlife program, in the same manner as the expenditures reported for the Resilient Columbia Basin Agreement on line 7.</t>
  </si>
  <si>
    <r>
      <t>BPA Fish &amp; Wildlife Program- Expense</t>
    </r>
    <r>
      <rPr>
        <vertAlign val="superscript"/>
        <sz val="11"/>
        <color theme="1"/>
        <rFont val="Calibri"/>
        <family val="2"/>
        <scheme val="minor"/>
      </rPr>
      <t>1</t>
    </r>
  </si>
  <si>
    <r>
      <t>F&amp;W Internal Support</t>
    </r>
    <r>
      <rPr>
        <vertAlign val="superscript"/>
        <sz val="11"/>
        <color theme="1"/>
        <rFont val="Calibri"/>
        <family val="2"/>
        <scheme val="minor"/>
      </rPr>
      <t>2</t>
    </r>
  </si>
  <si>
    <r>
      <t>Reserve Distribution Clause</t>
    </r>
    <r>
      <rPr>
        <vertAlign val="superscript"/>
        <sz val="11"/>
        <color theme="1"/>
        <rFont val="Calibri"/>
        <family val="2"/>
        <scheme val="minor"/>
      </rPr>
      <t>3</t>
    </r>
  </si>
  <si>
    <r>
      <t>General &amp; Administrative</t>
    </r>
    <r>
      <rPr>
        <vertAlign val="superscript"/>
        <sz val="11"/>
        <color theme="1"/>
        <rFont val="Calibri"/>
        <family val="2"/>
        <scheme val="minor"/>
      </rPr>
      <t>4</t>
    </r>
  </si>
  <si>
    <r>
      <t>Resilient Columbia Basin Agreement (RCBA)</t>
    </r>
    <r>
      <rPr>
        <vertAlign val="superscript"/>
        <sz val="11"/>
        <color theme="1"/>
        <rFont val="Calibri"/>
        <family val="2"/>
        <scheme val="minor"/>
      </rPr>
      <t>5</t>
    </r>
  </si>
  <si>
    <r>
      <t>Reimbursable/ Direct- Funded Projects</t>
    </r>
    <r>
      <rPr>
        <b/>
        <vertAlign val="superscript"/>
        <sz val="11"/>
        <color theme="1"/>
        <rFont val="Calibri"/>
        <family val="2"/>
        <scheme val="minor"/>
      </rPr>
      <t>6</t>
    </r>
  </si>
  <si>
    <r>
      <t>Total Program Related Fixed Expenses</t>
    </r>
    <r>
      <rPr>
        <b/>
        <vertAlign val="superscript"/>
        <sz val="11"/>
        <color theme="1"/>
        <rFont val="Calibri"/>
        <family val="2"/>
        <scheme val="minor"/>
      </rPr>
      <t>7</t>
    </r>
  </si>
  <si>
    <r>
      <t>Total Capital Costs</t>
    </r>
    <r>
      <rPr>
        <b/>
        <vertAlign val="superscript"/>
        <sz val="11"/>
        <color theme="1"/>
        <rFont val="Calibri"/>
        <family val="2"/>
        <scheme val="minor"/>
      </rPr>
      <t>9</t>
    </r>
  </si>
  <si>
    <r>
      <t>TOTAL BPA F&amp;W MITIGATION COSTS</t>
    </r>
    <r>
      <rPr>
        <b/>
        <vertAlign val="superscript"/>
        <sz val="12"/>
        <rFont val="Calibri"/>
        <family val="2"/>
        <scheme val="minor"/>
      </rPr>
      <t>10</t>
    </r>
  </si>
  <si>
    <r>
      <t>Total Forgone Revenues and Power Purchases</t>
    </r>
    <r>
      <rPr>
        <b/>
        <vertAlign val="superscript"/>
        <sz val="11"/>
        <color theme="1"/>
        <rFont val="Calibri"/>
        <family val="2"/>
        <scheme val="minor"/>
      </rPr>
      <t>8</t>
    </r>
  </si>
  <si>
    <t>Forgone Revenues and Power Purchases</t>
  </si>
  <si>
    <t>Combined Direct Program and Capital Borrowing Costs</t>
  </si>
  <si>
    <t>1) The Purpose (general goal) and Emphasis (primary type of work, e.g., habitat restoration) are identified at the Project Level.</t>
  </si>
  <si>
    <t>10)</t>
  </si>
  <si>
    <r>
      <t>Species Type</t>
    </r>
    <r>
      <rPr>
        <b/>
        <vertAlign val="superscript"/>
        <sz val="12"/>
        <color theme="0"/>
        <rFont val="Calibri"/>
        <family val="2"/>
        <scheme val="minor"/>
      </rPr>
      <t>1</t>
    </r>
  </si>
  <si>
    <r>
      <t xml:space="preserve">Province </t>
    </r>
    <r>
      <rPr>
        <b/>
        <vertAlign val="superscript"/>
        <sz val="12"/>
        <color theme="0"/>
        <rFont val="Calibri"/>
        <family val="2"/>
        <scheme val="minor"/>
      </rPr>
      <t>1</t>
    </r>
  </si>
  <si>
    <r>
      <t>Province</t>
    </r>
    <r>
      <rPr>
        <b/>
        <vertAlign val="superscript"/>
        <sz val="12"/>
        <color theme="0"/>
        <rFont val="Calibri"/>
        <family val="2"/>
        <scheme val="minor"/>
      </rPr>
      <t>1</t>
    </r>
  </si>
  <si>
    <r>
      <t>Category</t>
    </r>
    <r>
      <rPr>
        <b/>
        <vertAlign val="superscript"/>
        <sz val="12"/>
        <color theme="0"/>
        <rFont val="Calibri"/>
        <family val="2"/>
        <scheme val="minor"/>
      </rPr>
      <t>1</t>
    </r>
  </si>
  <si>
    <r>
      <t>Project Purpose and Emphasis</t>
    </r>
    <r>
      <rPr>
        <b/>
        <vertAlign val="superscript"/>
        <sz val="12"/>
        <color theme="0"/>
        <rFont val="Calibri"/>
        <family val="2"/>
        <scheme val="minor"/>
      </rPr>
      <t>1</t>
    </r>
  </si>
  <si>
    <t>Paste to Word:</t>
  </si>
  <si>
    <t xml:space="preserve">        O&amp;M  Lower Snake River Hatcheries</t>
  </si>
  <si>
    <t xml:space="preserve">        O&amp;M Corps of Engineers</t>
  </si>
  <si>
    <t xml:space="preserve">        O&amp;M Bureau of Reclamation</t>
  </si>
  <si>
    <t xml:space="preserve">        Other (includes NWPCC)</t>
  </si>
  <si>
    <t>4)The Council directly contracts for and manages the ISRP, and administers the contract for the ISAB, which is managed by an oversight group drawn from the Council, NOAA and the Columbia Basin Tribes.</t>
  </si>
  <si>
    <t xml:space="preserve">FORGONE REVENUES </t>
  </si>
  <si>
    <t xml:space="preserve">        O &amp; M LOWER SNAKE RIVER HATCHERIES</t>
  </si>
  <si>
    <t>TOTAL FORGONE REVENUES AND POWER PURCHASES</t>
  </si>
  <si>
    <t>TOTAL PROGRAM EXPENSES, FORGONE REVENUES, &amp; POWER PURCHASES</t>
  </si>
  <si>
    <t>The figures shown are consistent with audited actuals that contain agency-approved financial information, except for forgone revenue and power purchases which are estimates and do not include agency-approved financial information.</t>
  </si>
  <si>
    <r>
      <t>FEDERAL CREDITS FROM U.S. TREASURY 4(H)(10)(C)</t>
    </r>
    <r>
      <rPr>
        <b/>
        <vertAlign val="superscript"/>
        <sz val="12"/>
        <rFont val="Calibri"/>
        <family val="2"/>
        <scheme val="minor"/>
      </rPr>
      <t>11</t>
    </r>
  </si>
  <si>
    <t>BPA receives an annual credit under Section 4(h)(10)(C) of the Northwest Power Act as reimbursement for the non-power share of fish and wildlife expenditures, such as irrigation, navigation, and flood control. That credit is applied to BPA’s federal Treasury debt.</t>
  </si>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</sst>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6" formatCode="&quot;$&quot;#,##0_);[Red]\(&quot;$&quot;#,##0\)"/>
    <numFmt numFmtId="44" formatCode="_(&quot;$&quot;* #,##0.00_);_(&quot;$&quot;* \(#,##0.00\);_(&quot;$&quot;* &quot;-&quot;??_);_(@_)"/>
    <numFmt numFmtId="43" formatCode="_(* #,##0.00_);_(* \(#,##0.00\);_(* &quot;-&quot;??_);_(@_)"/>
    <numFmt numFmtId="164" formatCode="&quot;$&quot;#,##0"/>
    <numFmt numFmtId="165" formatCode="0.0%"/>
    <numFmt numFmtId="166" formatCode="&quot;$&quot;#.0,,\ &quot;million&quot;"/>
    <numFmt numFmtId="167" formatCode="_(* #,##0.0_);_(* \(#,##0.0\);_(* &quot;-&quot;??_);_(@_)"/>
    <numFmt numFmtId="168" formatCode="0.0_);\(0.0\)"/>
    <numFmt numFmtId="169" formatCode="0.0"/>
    <numFmt numFmtId="170" formatCode="&quot;$&quot;#.#,,&quot;M&quot;"/>
    <numFmt numFmtId="171" formatCode="_(&quot;$&quot;* #,##0_);_(&quot;$&quot;* \(#,##0\);_(&quot;$&quot;* &quot;-&quot;??_);_(@_)"/>
    <numFmt numFmtId="172" formatCode="&quot;$&quot;#.0,,&quot;M&quot;"/>
    <numFmt numFmtId="173" formatCode="&quot;$&quot;#.#,,,&quot;B&quot;"/>
    <numFmt numFmtId="174" formatCode="&quot;$&quot;#,##0.0"/>
    <numFmt numFmtId="175" formatCode="&quot;$&quot;#,##0.0_);[Red]\(&quot;$&quot;#,##0.0\)"/>
    <numFmt numFmtId="176" formatCode="0.000"/>
    <numFmt numFmtId="177" formatCode="0_);\(0\)"/>
    <numFmt numFmtId="178" formatCode="_(* #,##0.0_);_(* \(#,##0.0\);_(* &quot;-&quot;?_);_(@_)"/>
    <numFmt numFmtId="179" formatCode="\(&quot;$&quot;#.#,,&quot;M&quot;\)"/>
  </numFmts>
  <fonts count="91">
    <font>
      <sz val="10"/>
      <name val="Helv"/>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Helv"/>
    </font>
    <font>
      <sz val="10"/>
      <name val="Arial"/>
      <family val="2"/>
    </font>
    <font>
      <sz val="12"/>
      <name val="Times New Roman"/>
      <family val="1"/>
    </font>
    <font>
      <b/>
      <sz val="12"/>
      <name val="Century Gothic"/>
      <family val="2"/>
    </font>
    <font>
      <sz val="10"/>
      <name val="Arial"/>
      <family val="2"/>
    </font>
    <font>
      <sz val="10"/>
      <name val="Arial Unicode MS"/>
      <family val="2"/>
    </font>
    <font>
      <sz val="11"/>
      <color theme="1"/>
      <name val="Calibri"/>
      <family val="2"/>
      <scheme val="minor"/>
    </font>
    <font>
      <sz val="10"/>
      <name val="Arial"/>
      <family val="2"/>
    </font>
    <font>
      <sz val="10"/>
      <name val="Century Gothic"/>
      <family val="2"/>
    </font>
    <font>
      <b/>
      <sz val="10"/>
      <name val="Century Gothic"/>
      <family val="2"/>
    </font>
    <font>
      <sz val="10"/>
      <name val="Arial"/>
      <family val="2"/>
    </font>
    <font>
      <b/>
      <sz val="10"/>
      <color rgb="FFC00000"/>
      <name val="Century Gothic"/>
      <family val="2"/>
    </font>
    <font>
      <b/>
      <sz val="11"/>
      <color rgb="FFC00000"/>
      <name val="Calibri"/>
      <family val="2"/>
      <scheme val="minor"/>
    </font>
    <font>
      <b/>
      <sz val="11"/>
      <color rgb="FFFF0000"/>
      <name val="Calibri"/>
      <family val="2"/>
      <scheme val="minor"/>
    </font>
    <font>
      <b/>
      <sz val="11"/>
      <color theme="1"/>
      <name val="Calibri"/>
      <family val="2"/>
      <scheme val="minor"/>
    </font>
    <font>
      <sz val="10"/>
      <color rgb="FFFF0000"/>
      <name val="Arial"/>
      <family val="2"/>
    </font>
    <font>
      <b/>
      <sz val="10"/>
      <color rgb="FFFF0000"/>
      <name val="Arial"/>
      <family val="2"/>
    </font>
    <font>
      <b/>
      <sz val="8"/>
      <color theme="1"/>
      <name val="Calibri"/>
      <family val="2"/>
      <scheme val="minor"/>
    </font>
    <font>
      <b/>
      <vertAlign val="superscript"/>
      <sz val="11"/>
      <color theme="1"/>
      <name val="Calibri"/>
      <family val="2"/>
      <scheme val="minor"/>
    </font>
    <font>
      <sz val="1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i/>
      <sz val="11"/>
      <color theme="1"/>
      <name val="Calibri"/>
      <family val="2"/>
      <scheme val="minor"/>
    </font>
    <font>
      <vertAlign val="superscript"/>
      <sz val="11"/>
      <color theme="1"/>
      <name val="Calibri"/>
      <family val="2"/>
      <scheme val="minor"/>
    </font>
    <font>
      <strike/>
      <sz val="11"/>
      <color theme="1"/>
      <name val="Calibri"/>
      <family val="2"/>
      <scheme val="minor"/>
    </font>
    <font>
      <b/>
      <sz val="12"/>
      <name val="Calibri"/>
      <family val="2"/>
      <scheme val="minor"/>
    </font>
    <font>
      <b/>
      <sz val="14"/>
      <name val="Calibri"/>
      <family val="2"/>
      <scheme val="minor"/>
    </font>
    <font>
      <b/>
      <sz val="14"/>
      <color theme="1"/>
      <name val="Calibri"/>
      <family val="2"/>
      <scheme val="minor"/>
    </font>
    <font>
      <sz val="10"/>
      <name val="Calibri"/>
      <family val="2"/>
      <scheme val="minor"/>
    </font>
    <font>
      <b/>
      <sz val="14"/>
      <color theme="0"/>
      <name val="Calibri"/>
      <family val="2"/>
      <scheme val="minor"/>
    </font>
    <font>
      <sz val="12"/>
      <name val="Calibri"/>
      <family val="2"/>
      <scheme val="minor"/>
    </font>
    <font>
      <sz val="8"/>
      <name val="Calibri"/>
      <family val="2"/>
      <scheme val="minor"/>
    </font>
    <font>
      <b/>
      <i/>
      <sz val="12"/>
      <name val="Calibri"/>
      <family val="2"/>
      <scheme val="minor"/>
    </font>
    <font>
      <b/>
      <sz val="8"/>
      <name val="Calibri"/>
      <family val="2"/>
      <scheme val="minor"/>
    </font>
    <font>
      <b/>
      <sz val="12"/>
      <color rgb="FFFF0000"/>
      <name val="Calibri"/>
      <family val="2"/>
      <scheme val="minor"/>
    </font>
    <font>
      <b/>
      <sz val="11"/>
      <name val="Calibri"/>
      <family val="2"/>
      <scheme val="minor"/>
    </font>
    <font>
      <b/>
      <sz val="14"/>
      <color theme="1"/>
      <name val="Calibri"/>
      <family val="2"/>
    </font>
    <font>
      <b/>
      <sz val="12"/>
      <color theme="1"/>
      <name val="Calibri"/>
      <family val="2"/>
    </font>
    <font>
      <sz val="11"/>
      <name val="Calibri"/>
      <family val="2"/>
    </font>
    <font>
      <sz val="9"/>
      <name val="Calibri"/>
      <family val="2"/>
    </font>
    <font>
      <b/>
      <sz val="11"/>
      <name val="Calibri"/>
      <family val="2"/>
    </font>
    <font>
      <sz val="10"/>
      <name val="Calibri"/>
      <family val="2"/>
    </font>
    <font>
      <vertAlign val="superscript"/>
      <sz val="11"/>
      <name val="Calibri"/>
      <family val="2"/>
    </font>
    <font>
      <b/>
      <i/>
      <sz val="11"/>
      <name val="Calibri"/>
      <family val="2"/>
      <scheme val="minor"/>
    </font>
    <font>
      <vertAlign val="superscript"/>
      <sz val="11"/>
      <name val="Calibri"/>
      <family val="2"/>
      <scheme val="minor"/>
    </font>
    <font>
      <b/>
      <sz val="11"/>
      <color theme="5"/>
      <name val="Calibri"/>
      <family val="2"/>
      <scheme val="minor"/>
    </font>
    <font>
      <sz val="12"/>
      <color theme="1"/>
      <name val="Calibri"/>
      <family val="2"/>
      <scheme val="minor"/>
    </font>
    <font>
      <vertAlign val="superscript"/>
      <sz val="12"/>
      <color theme="1"/>
      <name val="Calibri"/>
      <family val="2"/>
      <scheme val="minor"/>
    </font>
    <font>
      <b/>
      <sz val="12"/>
      <color theme="1"/>
      <name val="Calibri"/>
      <family val="2"/>
      <scheme val="minor"/>
    </font>
    <font>
      <b/>
      <vertAlign val="superscript"/>
      <sz val="12"/>
      <color theme="1"/>
      <name val="Calibri"/>
      <family val="2"/>
      <scheme val="minor"/>
    </font>
    <font>
      <sz val="12"/>
      <name val="Calibri"/>
      <family val="2"/>
    </font>
    <font>
      <b/>
      <vertAlign val="superscript"/>
      <sz val="12"/>
      <name val="Calibri"/>
      <family val="2"/>
      <scheme val="minor"/>
    </font>
    <font>
      <u/>
      <sz val="10"/>
      <color theme="10"/>
      <name val="Helv"/>
    </font>
    <font>
      <sz val="11"/>
      <color rgb="FF000000"/>
      <name val="Calibri"/>
      <family val="2"/>
    </font>
    <font>
      <sz val="8"/>
      <color indexed="81"/>
      <name val="Tahoma"/>
      <family val="2"/>
    </font>
    <font>
      <b/>
      <sz val="8"/>
      <color indexed="81"/>
      <name val="Tahoma"/>
      <family val="2"/>
    </font>
    <font>
      <b/>
      <sz val="20"/>
      <name val="Calibri"/>
      <family val="2"/>
      <scheme val="minor"/>
    </font>
    <font>
      <b/>
      <u/>
      <sz val="12"/>
      <name val="Calibri"/>
      <family val="2"/>
      <scheme val="minor"/>
    </font>
    <font>
      <b/>
      <u/>
      <vertAlign val="superscript"/>
      <sz val="12"/>
      <name val="Calibri"/>
      <family val="2"/>
      <scheme val="minor"/>
    </font>
    <font>
      <sz val="12"/>
      <color theme="1" tint="4.9989318521683403E-2"/>
      <name val="Calibri"/>
      <family val="2"/>
      <scheme val="minor"/>
    </font>
    <font>
      <sz val="12"/>
      <color indexed="12"/>
      <name val="Calibri"/>
      <family val="2"/>
      <scheme val="minor"/>
    </font>
    <font>
      <b/>
      <sz val="12"/>
      <color theme="1" tint="4.9989318521683403E-2"/>
      <name val="Calibri"/>
      <family val="2"/>
      <scheme val="minor"/>
    </font>
    <font>
      <b/>
      <sz val="12"/>
      <color indexed="12"/>
      <name val="Calibri"/>
      <family val="2"/>
      <scheme val="minor"/>
    </font>
    <font>
      <sz val="12"/>
      <color indexed="10"/>
      <name val="Calibri"/>
      <family val="2"/>
      <scheme val="minor"/>
    </font>
    <font>
      <b/>
      <sz val="14"/>
      <color indexed="10"/>
      <name val="Calibri"/>
      <family val="2"/>
      <scheme val="minor"/>
    </font>
    <font>
      <u/>
      <sz val="12"/>
      <color theme="8" tint="-0.499984740745262"/>
      <name val="Calibri"/>
      <family val="2"/>
      <scheme val="minor"/>
    </font>
    <font>
      <b/>
      <sz val="12"/>
      <color theme="0"/>
      <name val="Calibri"/>
      <family val="2"/>
      <scheme val="minor"/>
    </font>
    <font>
      <b/>
      <vertAlign val="superscript"/>
      <sz val="12"/>
      <color theme="0"/>
      <name val="Calibri"/>
      <family val="2"/>
      <scheme val="minor"/>
    </font>
    <font>
      <b/>
      <sz val="12"/>
      <color rgb="FFC00000"/>
      <name val="Calibri"/>
      <family val="2"/>
      <scheme val="minor"/>
    </font>
  </fonts>
  <fills count="44">
    <fill>
      <patternFill patternType="none"/>
    </fill>
    <fill>
      <patternFill patternType="gray125"/>
    </fill>
    <fill>
      <patternFill patternType="solid">
        <fgColor rgb="FFFFFFCC"/>
      </patternFill>
    </fill>
    <fill>
      <patternFill patternType="solid">
        <fgColor theme="3"/>
        <bgColor indexed="64"/>
      </patternFill>
    </fill>
    <fill>
      <patternFill patternType="solid">
        <fgColor theme="0" tint="-0.249977111117893"/>
        <bgColor indexed="64"/>
      </patternFill>
    </fill>
    <fill>
      <patternFill patternType="solid">
        <fgColor theme="0"/>
        <bgColor indexed="64"/>
      </patternFill>
    </fill>
    <fill>
      <patternFill patternType="solid">
        <fgColor theme="6" tint="-0.249977111117893"/>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4"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8" tint="0.59999389629810485"/>
        <bgColor indexed="64"/>
      </patternFill>
    </fill>
  </fills>
  <borders count="5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diagonal/>
    </border>
    <border>
      <left/>
      <right/>
      <top/>
      <bottom style="thin">
        <color theme="4" tint="0.39997558519241921"/>
      </bottom>
      <diagonal/>
    </border>
    <border>
      <left/>
      <right/>
      <top/>
      <bottom style="thin">
        <color theme="3" tint="0.39997558519241921"/>
      </bottom>
      <diagonal/>
    </border>
    <border>
      <left style="medium">
        <color indexed="64"/>
      </left>
      <right/>
      <top style="medium">
        <color indexed="64"/>
      </top>
      <bottom style="medium">
        <color indexed="64"/>
      </bottom>
      <diagonal/>
    </border>
    <border>
      <left/>
      <right/>
      <top/>
      <bottom style="medium">
        <color indexed="64"/>
      </bottom>
      <diagonal/>
    </border>
    <border>
      <left/>
      <right/>
      <top/>
      <bottom style="thin">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style="thin">
        <color theme="0" tint="-0.34998626667073579"/>
      </top>
      <bottom style="double">
        <color theme="4"/>
      </bottom>
      <diagonal/>
    </border>
    <border>
      <left style="thin">
        <color theme="0" tint="-0.34998626667073579"/>
      </left>
      <right style="thin">
        <color theme="0" tint="-0.34998626667073579"/>
      </right>
      <top style="thin">
        <color theme="0" tint="-0.34998626667073579"/>
      </top>
      <bottom style="double">
        <color theme="4"/>
      </bottom>
      <diagonal/>
    </border>
    <border>
      <left style="thin">
        <color theme="0" tint="-0.34998626667073579"/>
      </left>
      <right/>
      <top style="thin">
        <color theme="0" tint="-0.34998626667073579"/>
      </top>
      <bottom style="double">
        <color theme="4"/>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s>
  <cellStyleXfs count="98">
    <xf numFmtId="0" fontId="0" fillId="0" borderId="0"/>
    <xf numFmtId="9" fontId="9" fillId="0" borderId="0" applyFont="0" applyFill="0" applyBorder="0" applyAlignment="0" applyProtection="0"/>
    <xf numFmtId="0" fontId="10" fillId="0" borderId="0"/>
    <xf numFmtId="0" fontId="11" fillId="0" borderId="0"/>
    <xf numFmtId="0" fontId="10" fillId="0" borderId="0"/>
    <xf numFmtId="44" fontId="10" fillId="0" borderId="0" applyFont="0" applyFill="0" applyBorder="0" applyAlignment="0" applyProtection="0"/>
    <xf numFmtId="0" fontId="13" fillId="0" borderId="0"/>
    <xf numFmtId="0" fontId="14" fillId="0" borderId="0"/>
    <xf numFmtId="0" fontId="15" fillId="0" borderId="0"/>
    <xf numFmtId="0" fontId="15" fillId="2" borderId="3" applyNumberFormat="0" applyFont="0" applyAlignment="0" applyProtection="0"/>
    <xf numFmtId="0" fontId="13" fillId="0" borderId="0"/>
    <xf numFmtId="44" fontId="13" fillId="0" borderId="0" applyFont="0" applyFill="0" applyBorder="0" applyAlignment="0" applyProtection="0"/>
    <xf numFmtId="0" fontId="10" fillId="0" borderId="0"/>
    <xf numFmtId="0" fontId="10" fillId="0" borderId="0"/>
    <xf numFmtId="43" fontId="9" fillId="0" borderId="0" applyFont="0" applyFill="0" applyBorder="0" applyAlignment="0" applyProtection="0"/>
    <xf numFmtId="0" fontId="9" fillId="0" borderId="0"/>
    <xf numFmtId="43" fontId="15" fillId="0" borderId="0" applyFont="0" applyFill="0" applyBorder="0" applyAlignment="0" applyProtection="0"/>
    <xf numFmtId="0" fontId="16" fillId="0" borderId="0"/>
    <xf numFmtId="0" fontId="19" fillId="0" borderId="0"/>
    <xf numFmtId="0" fontId="10" fillId="0" borderId="0"/>
    <xf numFmtId="0" fontId="23" fillId="0" borderId="4" applyNumberFormat="0" applyFill="0" applyAlignment="0" applyProtection="0"/>
    <xf numFmtId="0" fontId="10" fillId="0" borderId="0"/>
    <xf numFmtId="0" fontId="8" fillId="0" borderId="0"/>
    <xf numFmtId="44" fontId="9" fillId="0" borderId="0" applyFont="0" applyFill="0" applyBorder="0" applyAlignment="0" applyProtection="0"/>
    <xf numFmtId="0" fontId="29" fillId="0" borderId="0" applyNumberFormat="0" applyFill="0" applyBorder="0" applyAlignment="0" applyProtection="0"/>
    <xf numFmtId="0" fontId="30" fillId="0" borderId="5" applyNumberFormat="0" applyFill="0" applyAlignment="0" applyProtection="0"/>
    <xf numFmtId="0" fontId="31" fillId="0" borderId="6" applyNumberFormat="0" applyFill="0" applyAlignment="0" applyProtection="0"/>
    <xf numFmtId="0" fontId="32" fillId="0" borderId="7" applyNumberFormat="0" applyFill="0" applyAlignment="0" applyProtection="0"/>
    <xf numFmtId="0" fontId="32" fillId="0" borderId="0" applyNumberFormat="0" applyFill="0" applyBorder="0" applyAlignment="0" applyProtection="0"/>
    <xf numFmtId="0" fontId="33" fillId="8" borderId="0" applyNumberFormat="0" applyBorder="0" applyAlignment="0" applyProtection="0"/>
    <xf numFmtId="0" fontId="34" fillId="9" borderId="0" applyNumberFormat="0" applyBorder="0" applyAlignment="0" applyProtection="0"/>
    <xf numFmtId="0" fontId="35" fillId="10" borderId="0" applyNumberFormat="0" applyBorder="0" applyAlignment="0" applyProtection="0"/>
    <xf numFmtId="0" fontId="36" fillId="11" borderId="8" applyNumberFormat="0" applyAlignment="0" applyProtection="0"/>
    <xf numFmtId="0" fontId="37" fillId="12" borderId="9" applyNumberFormat="0" applyAlignment="0" applyProtection="0"/>
    <xf numFmtId="0" fontId="38" fillId="12" borderId="8" applyNumberFormat="0" applyAlignment="0" applyProtection="0"/>
    <xf numFmtId="0" fontId="39" fillId="0" borderId="10" applyNumberFormat="0" applyFill="0" applyAlignment="0" applyProtection="0"/>
    <xf numFmtId="0" fontId="40" fillId="13" borderId="11"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3"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43"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43"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43"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43"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43"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0" borderId="0"/>
    <xf numFmtId="44" fontId="7" fillId="0" borderId="0" applyFont="0" applyFill="0" applyBorder="0" applyAlignment="0" applyProtection="0"/>
    <xf numFmtId="0" fontId="7" fillId="2" borderId="3" applyNumberFormat="0" applyFont="0" applyAlignment="0" applyProtection="0"/>
    <xf numFmtId="44" fontId="10" fillId="0" borderId="0" applyFont="0" applyFill="0" applyBorder="0" applyAlignment="0" applyProtection="0"/>
    <xf numFmtId="0" fontId="7" fillId="2" borderId="3" applyNumberFormat="0" applyFont="0" applyAlignment="0" applyProtection="0"/>
    <xf numFmtId="0" fontId="10" fillId="0" borderId="0"/>
    <xf numFmtId="0" fontId="7" fillId="0" borderId="0"/>
    <xf numFmtId="0" fontId="10" fillId="0" borderId="0"/>
    <xf numFmtId="43" fontId="7" fillId="0" borderId="0" applyFont="0" applyFill="0" applyBorder="0" applyAlignment="0" applyProtection="0"/>
    <xf numFmtId="0" fontId="6" fillId="0" borderId="0"/>
    <xf numFmtId="44" fontId="6" fillId="0" borderId="0" applyFont="0" applyFill="0" applyBorder="0" applyAlignment="0" applyProtection="0"/>
    <xf numFmtId="0" fontId="6" fillId="2" borderId="3" applyNumberFormat="0" applyFont="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44" fontId="9" fillId="0" borderId="0" applyFont="0" applyFill="0" applyBorder="0" applyAlignment="0" applyProtection="0"/>
    <xf numFmtId="0" fontId="3" fillId="0" borderId="0"/>
    <xf numFmtId="44" fontId="3" fillId="0" borderId="0" applyFont="0" applyFill="0" applyBorder="0" applyAlignment="0" applyProtection="0"/>
    <xf numFmtId="0" fontId="2" fillId="0" borderId="0"/>
    <xf numFmtId="0" fontId="74" fillId="0" borderId="0" applyNumberFormat="0" applyFill="0" applyBorder="0" applyAlignment="0" applyProtection="0"/>
  </cellStyleXfs>
  <cellXfs count="389">
    <xf numFmtId="0" fontId="0" fillId="0" borderId="0" xfId="0"/>
    <xf numFmtId="0" fontId="12" fillId="0" borderId="0" xfId="6" applyFont="1" applyAlignment="1">
      <alignment vertical="top"/>
    </xf>
    <xf numFmtId="0" fontId="10" fillId="0" borderId="0" xfId="2"/>
    <xf numFmtId="0" fontId="17" fillId="0" borderId="0" xfId="2" applyFont="1"/>
    <xf numFmtId="167" fontId="17" fillId="0" borderId="0" xfId="14" applyNumberFormat="1" applyFont="1"/>
    <xf numFmtId="0" fontId="18" fillId="0" borderId="0" xfId="2" applyFont="1"/>
    <xf numFmtId="0" fontId="18" fillId="0" borderId="0" xfId="2" applyFont="1" applyAlignment="1">
      <alignment horizontal="right"/>
    </xf>
    <xf numFmtId="43" fontId="17" fillId="0" borderId="0" xfId="2" applyNumberFormat="1" applyFont="1"/>
    <xf numFmtId="167" fontId="17" fillId="0" borderId="0" xfId="2" applyNumberFormat="1" applyFont="1"/>
    <xf numFmtId="0" fontId="20" fillId="0" borderId="0" xfId="2" applyFont="1"/>
    <xf numFmtId="167" fontId="17" fillId="0" borderId="0" xfId="14" applyNumberFormat="1" applyFont="1" applyFill="1"/>
    <xf numFmtId="0" fontId="21" fillId="0" borderId="0" xfId="2" applyFont="1"/>
    <xf numFmtId="0" fontId="22" fillId="0" borderId="0" xfId="2" applyFont="1"/>
    <xf numFmtId="0" fontId="17" fillId="0" borderId="0" xfId="2" quotePrefix="1" applyFont="1"/>
    <xf numFmtId="0" fontId="25" fillId="0" borderId="0" xfId="2" applyFont="1"/>
    <xf numFmtId="0" fontId="24" fillId="0" borderId="0" xfId="2" applyFont="1"/>
    <xf numFmtId="167" fontId="10" fillId="0" borderId="0" xfId="2" applyNumberFormat="1"/>
    <xf numFmtId="0" fontId="26" fillId="0" borderId="4" xfId="20" applyFont="1" applyFill="1" applyAlignment="1">
      <alignment horizontal="left" wrapText="1"/>
    </xf>
    <xf numFmtId="164" fontId="26" fillId="0" borderId="4" xfId="20" applyNumberFormat="1" applyFont="1" applyFill="1"/>
    <xf numFmtId="0" fontId="28" fillId="0" borderId="0" xfId="0" applyFont="1" applyAlignment="1">
      <alignment horizontal="left"/>
    </xf>
    <xf numFmtId="164" fontId="28" fillId="0" borderId="0" xfId="0" applyNumberFormat="1" applyFont="1" applyAlignment="1">
      <alignment horizontal="center" vertical="center"/>
    </xf>
    <xf numFmtId="170" fontId="26" fillId="0" borderId="4" xfId="20" applyNumberFormat="1" applyFont="1" applyFill="1"/>
    <xf numFmtId="0" fontId="23" fillId="0" borderId="0" xfId="8" applyFont="1"/>
    <xf numFmtId="0" fontId="23" fillId="0" borderId="13" xfId="0" applyFont="1" applyBorder="1" applyAlignment="1">
      <alignment horizontal="left"/>
    </xf>
    <xf numFmtId="0" fontId="5" fillId="0" borderId="0" xfId="8" applyFont="1"/>
    <xf numFmtId="0" fontId="46" fillId="0" borderId="0" xfId="8" applyFont="1" applyAlignment="1">
      <alignment horizontal="center"/>
    </xf>
    <xf numFmtId="0" fontId="5" fillId="0" borderId="0" xfId="8" applyFont="1" applyAlignment="1">
      <alignment horizontal="center"/>
    </xf>
    <xf numFmtId="0" fontId="47" fillId="0" borderId="0" xfId="21" applyFont="1"/>
    <xf numFmtId="0" fontId="48" fillId="0" borderId="0" xfId="19" applyFont="1" applyAlignment="1">
      <alignment vertical="top"/>
    </xf>
    <xf numFmtId="169" fontId="46" fillId="0" borderId="0" xfId="8" applyNumberFormat="1" applyFont="1" applyAlignment="1">
      <alignment horizontal="center"/>
    </xf>
    <xf numFmtId="170" fontId="23" fillId="0" borderId="0" xfId="8" applyNumberFormat="1" applyFont="1"/>
    <xf numFmtId="0" fontId="50" fillId="0" borderId="0" xfId="15" applyFont="1"/>
    <xf numFmtId="0" fontId="52" fillId="0" borderId="0" xfId="21" applyFont="1"/>
    <xf numFmtId="164" fontId="52" fillId="0" borderId="0" xfId="15" applyNumberFormat="1" applyFont="1"/>
    <xf numFmtId="0" fontId="50" fillId="0" borderId="0" xfId="0" applyFont="1" applyAlignment="1">
      <alignment horizontal="left" indent="1"/>
    </xf>
    <xf numFmtId="0" fontId="23" fillId="0" borderId="14" xfId="0" applyFont="1" applyBorder="1" applyAlignment="1">
      <alignment horizontal="left"/>
    </xf>
    <xf numFmtId="0" fontId="53" fillId="0" borderId="0" xfId="2" applyFont="1"/>
    <xf numFmtId="0" fontId="54" fillId="0" borderId="0" xfId="4" applyFont="1" applyAlignment="1">
      <alignment horizontal="left"/>
    </xf>
    <xf numFmtId="164" fontId="52" fillId="0" borderId="0" xfId="11" applyNumberFormat="1" applyFont="1" applyBorder="1"/>
    <xf numFmtId="0" fontId="52" fillId="0" borderId="0" xfId="4" applyFont="1" applyAlignment="1">
      <alignment horizontal="left" wrapText="1" indent="1"/>
    </xf>
    <xf numFmtId="164" fontId="52" fillId="0" borderId="0" xfId="5" applyNumberFormat="1" applyFont="1" applyBorder="1"/>
    <xf numFmtId="164" fontId="52" fillId="0" borderId="0" xfId="5" applyNumberFormat="1" applyFont="1" applyFill="1" applyBorder="1"/>
    <xf numFmtId="164" fontId="52" fillId="0" borderId="0" xfId="5" applyNumberFormat="1" applyFont="1"/>
    <xf numFmtId="0" fontId="52" fillId="0" borderId="0" xfId="2" applyFont="1" applyAlignment="1">
      <alignment horizontal="left"/>
    </xf>
    <xf numFmtId="0" fontId="52" fillId="0" borderId="0" xfId="2" applyFont="1"/>
    <xf numFmtId="0" fontId="47" fillId="0" borderId="0" xfId="0" applyFont="1" applyAlignment="1">
      <alignment horizontal="left"/>
    </xf>
    <xf numFmtId="0" fontId="52" fillId="0" borderId="0" xfId="0" applyFont="1"/>
    <xf numFmtId="0" fontId="53" fillId="0" borderId="0" xfId="0" applyFont="1"/>
    <xf numFmtId="0" fontId="52" fillId="0" borderId="0" xfId="3" applyFont="1" applyAlignment="1">
      <alignment horizontal="left"/>
    </xf>
    <xf numFmtId="0" fontId="55" fillId="0" borderId="0" xfId="2" applyFont="1" applyAlignment="1">
      <alignment horizontal="left"/>
    </xf>
    <xf numFmtId="0" fontId="55" fillId="4" borderId="0" xfId="4" applyFont="1" applyFill="1" applyAlignment="1">
      <alignment horizontal="left" wrapText="1"/>
    </xf>
    <xf numFmtId="0" fontId="55" fillId="4" borderId="0" xfId="0" applyFont="1" applyFill="1" applyAlignment="1" applyProtection="1">
      <alignment horizontal="center"/>
      <protection locked="0"/>
    </xf>
    <xf numFmtId="0" fontId="53" fillId="0" borderId="0" xfId="4" applyFont="1" applyAlignment="1">
      <alignment horizontal="right" wrapText="1"/>
    </xf>
    <xf numFmtId="164" fontId="53" fillId="0" borderId="0" xfId="2" applyNumberFormat="1" applyFont="1"/>
    <xf numFmtId="170" fontId="53" fillId="0" borderId="0" xfId="2" applyNumberFormat="1" applyFont="1"/>
    <xf numFmtId="0" fontId="53" fillId="7" borderId="0" xfId="4" applyFont="1" applyFill="1" applyAlignment="1">
      <alignment horizontal="right" wrapText="1"/>
    </xf>
    <xf numFmtId="164" fontId="53" fillId="7" borderId="0" xfId="2" applyNumberFormat="1" applyFont="1" applyFill="1"/>
    <xf numFmtId="170" fontId="53" fillId="7" borderId="0" xfId="2" applyNumberFormat="1" applyFont="1" applyFill="1"/>
    <xf numFmtId="170" fontId="52" fillId="0" borderId="0" xfId="2" applyNumberFormat="1" applyFont="1"/>
    <xf numFmtId="0" fontId="56" fillId="0" borderId="0" xfId="3" applyFont="1" applyAlignment="1">
      <alignment wrapText="1"/>
    </xf>
    <xf numFmtId="0" fontId="56" fillId="0" borderId="0" xfId="0" applyFont="1" applyAlignment="1">
      <alignment wrapText="1"/>
    </xf>
    <xf numFmtId="0" fontId="52" fillId="0" borderId="0" xfId="3" applyFont="1" applyAlignment="1">
      <alignment vertical="top" wrapText="1"/>
    </xf>
    <xf numFmtId="164" fontId="52" fillId="0" borderId="0" xfId="2" applyNumberFormat="1" applyFont="1"/>
    <xf numFmtId="0" fontId="53" fillId="0" borderId="0" xfId="2" applyFont="1" applyAlignment="1">
      <alignment horizontal="left"/>
    </xf>
    <xf numFmtId="0" fontId="50" fillId="0" borderId="0" xfId="0" applyFont="1"/>
    <xf numFmtId="0" fontId="51" fillId="3" borderId="0" xfId="0" applyFont="1" applyFill="1" applyAlignment="1">
      <alignment horizontal="center" vertical="center" wrapText="1"/>
    </xf>
    <xf numFmtId="0" fontId="51" fillId="3" borderId="0" xfId="0" applyFont="1" applyFill="1" applyAlignment="1">
      <alignment horizontal="center" vertical="center"/>
    </xf>
    <xf numFmtId="0" fontId="28" fillId="0" borderId="0" xfId="0" applyFont="1" applyAlignment="1">
      <alignment wrapText="1"/>
    </xf>
    <xf numFmtId="164" fontId="28" fillId="0" borderId="0" xfId="0" applyNumberFormat="1" applyFont="1"/>
    <xf numFmtId="0" fontId="57" fillId="0" borderId="0" xfId="0" applyFont="1" applyAlignment="1">
      <alignment wrapText="1"/>
    </xf>
    <xf numFmtId="0" fontId="28" fillId="0" borderId="0" xfId="0" applyFont="1"/>
    <xf numFmtId="0" fontId="50" fillId="0" borderId="0" xfId="0" applyFont="1" applyAlignment="1">
      <alignment horizontal="left"/>
    </xf>
    <xf numFmtId="0" fontId="21" fillId="0" borderId="0" xfId="0" applyFont="1" applyAlignment="1">
      <alignment wrapText="1"/>
    </xf>
    <xf numFmtId="0" fontId="58" fillId="0" borderId="0" xfId="8" applyFont="1" applyAlignment="1">
      <alignment vertical="top"/>
    </xf>
    <xf numFmtId="0" fontId="59" fillId="0" borderId="0" xfId="8" applyFont="1" applyAlignment="1">
      <alignment vertical="top"/>
    </xf>
    <xf numFmtId="0" fontId="60" fillId="0" borderId="0" xfId="13" applyFont="1"/>
    <xf numFmtId="164" fontId="60" fillId="0" borderId="0" xfId="13" applyNumberFormat="1" applyFont="1"/>
    <xf numFmtId="0" fontId="62" fillId="0" borderId="0" xfId="13" applyFont="1" applyAlignment="1">
      <alignment wrapText="1"/>
    </xf>
    <xf numFmtId="0" fontId="60" fillId="0" borderId="0" xfId="13" applyFont="1" applyAlignment="1">
      <alignment wrapText="1"/>
    </xf>
    <xf numFmtId="0" fontId="61" fillId="0" borderId="0" xfId="13" applyFont="1"/>
    <xf numFmtId="164" fontId="61" fillId="0" borderId="0" xfId="13" applyNumberFormat="1" applyFont="1"/>
    <xf numFmtId="164" fontId="62" fillId="0" borderId="2" xfId="13" applyNumberFormat="1" applyFont="1" applyBorder="1"/>
    <xf numFmtId="171" fontId="63" fillId="0" borderId="0" xfId="0" applyNumberFormat="1" applyFont="1"/>
    <xf numFmtId="0" fontId="62" fillId="0" borderId="0" xfId="13" applyFont="1" applyAlignment="1">
      <alignment horizontal="right" wrapText="1"/>
    </xf>
    <xf numFmtId="164" fontId="62" fillId="0" borderId="0" xfId="13" applyNumberFormat="1" applyFont="1"/>
    <xf numFmtId="164" fontId="60" fillId="0" borderId="0" xfId="13" applyNumberFormat="1" applyFont="1" applyAlignment="1">
      <alignment wrapText="1"/>
    </xf>
    <xf numFmtId="0" fontId="62" fillId="0" borderId="1" xfId="13" applyFont="1" applyBorder="1" applyAlignment="1">
      <alignment wrapText="1"/>
    </xf>
    <xf numFmtId="0" fontId="60" fillId="0" borderId="2" xfId="13" applyFont="1" applyBorder="1" applyAlignment="1">
      <alignment wrapText="1"/>
    </xf>
    <xf numFmtId="164" fontId="62" fillId="5" borderId="2" xfId="13" applyNumberFormat="1" applyFont="1" applyFill="1" applyBorder="1"/>
    <xf numFmtId="171" fontId="60" fillId="0" borderId="0" xfId="23" applyNumberFormat="1" applyFont="1" applyAlignment="1">
      <alignment horizontal="center" vertical="center"/>
    </xf>
    <xf numFmtId="0" fontId="4" fillId="0" borderId="0" xfId="8" applyFont="1"/>
    <xf numFmtId="0" fontId="23" fillId="0" borderId="12" xfId="20" applyBorder="1"/>
    <xf numFmtId="6" fontId="23" fillId="0" borderId="12" xfId="20" applyNumberFormat="1" applyBorder="1" applyAlignment="1">
      <alignment horizontal="center"/>
    </xf>
    <xf numFmtId="6" fontId="23" fillId="0" borderId="0" xfId="8" applyNumberFormat="1" applyFont="1"/>
    <xf numFmtId="0" fontId="4" fillId="0" borderId="0" xfId="8" applyFont="1" applyAlignment="1">
      <alignment horizontal="center"/>
    </xf>
    <xf numFmtId="0" fontId="44" fillId="0" borderId="0" xfId="8" applyFont="1" applyAlignment="1">
      <alignment horizontal="center"/>
    </xf>
    <xf numFmtId="0" fontId="23" fillId="0" borderId="0" xfId="8" applyFont="1" applyAlignment="1">
      <alignment horizontal="center"/>
    </xf>
    <xf numFmtId="0" fontId="52" fillId="0" borderId="0" xfId="3" applyFont="1" applyAlignment="1">
      <alignment wrapText="1"/>
    </xf>
    <xf numFmtId="0" fontId="4" fillId="0" borderId="0" xfId="8" applyFont="1" applyAlignment="1">
      <alignment horizontal="center" vertical="center"/>
    </xf>
    <xf numFmtId="0" fontId="48" fillId="0" borderId="0" xfId="3" applyFont="1" applyAlignment="1">
      <alignment vertical="top"/>
    </xf>
    <xf numFmtId="164" fontId="65" fillId="0" borderId="0" xfId="10" applyNumberFormat="1" applyFont="1" applyAlignment="1">
      <alignment horizontal="center"/>
    </xf>
    <xf numFmtId="0" fontId="28" fillId="0" borderId="0" xfId="10" applyFont="1" applyAlignment="1">
      <alignment horizontal="center"/>
    </xf>
    <xf numFmtId="164" fontId="28" fillId="0" borderId="0" xfId="10" applyNumberFormat="1" applyFont="1" applyAlignment="1">
      <alignment horizontal="center"/>
    </xf>
    <xf numFmtId="0" fontId="28" fillId="0" borderId="0" xfId="10" applyFont="1"/>
    <xf numFmtId="0" fontId="28" fillId="0" borderId="0" xfId="3" applyFont="1" applyAlignment="1">
      <alignment horizontal="left"/>
    </xf>
    <xf numFmtId="164" fontId="28" fillId="0" borderId="0" xfId="0" applyNumberFormat="1" applyFont="1" applyAlignment="1">
      <alignment horizontal="center"/>
    </xf>
    <xf numFmtId="164" fontId="28" fillId="5" borderId="0" xfId="0" applyNumberFormat="1" applyFont="1" applyFill="1" applyAlignment="1">
      <alignment horizontal="center"/>
    </xf>
    <xf numFmtId="166" fontId="53" fillId="0" borderId="0" xfId="2" applyNumberFormat="1" applyFont="1"/>
    <xf numFmtId="0" fontId="28" fillId="0" borderId="0" xfId="3" applyFont="1"/>
    <xf numFmtId="164" fontId="28" fillId="0" borderId="0" xfId="10" applyNumberFormat="1" applyFont="1"/>
    <xf numFmtId="0" fontId="57" fillId="0" borderId="0" xfId="3" applyFont="1"/>
    <xf numFmtId="0" fontId="57" fillId="0" borderId="0" xfId="0" applyFont="1"/>
    <xf numFmtId="0" fontId="28" fillId="0" borderId="0" xfId="0" applyFont="1" applyAlignment="1">
      <alignment horizontal="center"/>
    </xf>
    <xf numFmtId="166" fontId="28" fillId="0" borderId="0" xfId="10" applyNumberFormat="1" applyFont="1" applyAlignment="1">
      <alignment horizontal="center"/>
    </xf>
    <xf numFmtId="165" fontId="28" fillId="0" borderId="0" xfId="1" applyNumberFormat="1" applyFont="1" applyFill="1" applyBorder="1" applyAlignment="1">
      <alignment horizontal="center"/>
    </xf>
    <xf numFmtId="0" fontId="67" fillId="0" borderId="0" xfId="10" applyFont="1"/>
    <xf numFmtId="164" fontId="4" fillId="0" borderId="0" xfId="8" applyNumberFormat="1" applyFont="1" applyAlignment="1">
      <alignment horizontal="center"/>
    </xf>
    <xf numFmtId="164" fontId="51" fillId="3" borderId="0" xfId="8" applyNumberFormat="1" applyFont="1" applyFill="1" applyAlignment="1">
      <alignment horizontal="center" vertical="center"/>
    </xf>
    <xf numFmtId="0" fontId="51" fillId="3" borderId="0" xfId="8" applyFont="1" applyFill="1" applyAlignment="1">
      <alignment horizontal="center" vertical="center"/>
    </xf>
    <xf numFmtId="0" fontId="21" fillId="0" borderId="0" xfId="8" applyFont="1"/>
    <xf numFmtId="164" fontId="28" fillId="0" borderId="0" xfId="8" applyNumberFormat="1" applyFont="1"/>
    <xf numFmtId="164" fontId="28" fillId="0" borderId="0" xfId="8" applyNumberFormat="1" applyFont="1" applyAlignment="1">
      <alignment horizontal="center"/>
    </xf>
    <xf numFmtId="164" fontId="28" fillId="0" borderId="0" xfId="14" applyNumberFormat="1" applyFont="1" applyFill="1" applyBorder="1" applyAlignment="1">
      <alignment horizontal="center"/>
    </xf>
    <xf numFmtId="164" fontId="28" fillId="5" borderId="0" xfId="14" applyNumberFormat="1" applyFont="1" applyFill="1" applyBorder="1" applyAlignment="1">
      <alignment horizontal="center"/>
    </xf>
    <xf numFmtId="6" fontId="28" fillId="0" borderId="0" xfId="8" applyNumberFormat="1" applyFont="1" applyAlignment="1">
      <alignment horizontal="center"/>
    </xf>
    <xf numFmtId="0" fontId="28" fillId="0" borderId="0" xfId="3" applyFont="1" applyAlignment="1">
      <alignment horizontal="center"/>
    </xf>
    <xf numFmtId="0" fontId="28" fillId="0" borderId="0" xfId="3" applyFont="1" applyAlignment="1">
      <alignment vertical="top"/>
    </xf>
    <xf numFmtId="0" fontId="49" fillId="0" borderId="0" xfId="8" applyFont="1"/>
    <xf numFmtId="0" fontId="68" fillId="0" borderId="0" xfId="8" applyFont="1"/>
    <xf numFmtId="164" fontId="68" fillId="0" borderId="0" xfId="0" applyNumberFormat="1" applyFont="1"/>
    <xf numFmtId="166" fontId="52" fillId="0" borderId="0" xfId="2" applyNumberFormat="1" applyFont="1"/>
    <xf numFmtId="164" fontId="68" fillId="0" borderId="0" xfId="8" applyNumberFormat="1" applyFont="1"/>
    <xf numFmtId="0" fontId="70" fillId="0" borderId="0" xfId="8" applyFont="1"/>
    <xf numFmtId="171" fontId="50" fillId="0" borderId="0" xfId="0" applyNumberFormat="1" applyFont="1" applyAlignment="1">
      <alignment horizontal="center" vertical="center"/>
    </xf>
    <xf numFmtId="0" fontId="50" fillId="0" borderId="0" xfId="0" applyFont="1" applyAlignment="1">
      <alignment horizontal="center" vertical="center"/>
    </xf>
    <xf numFmtId="0" fontId="15" fillId="0" borderId="0" xfId="8"/>
    <xf numFmtId="0" fontId="15" fillId="0" borderId="0" xfId="8" applyAlignment="1">
      <alignment horizontal="center"/>
    </xf>
    <xf numFmtId="170" fontId="15" fillId="0" borderId="0" xfId="8" applyNumberFormat="1"/>
    <xf numFmtId="0" fontId="23" fillId="38" borderId="0" xfId="8" applyFont="1" applyFill="1"/>
    <xf numFmtId="170" fontId="68" fillId="0" borderId="0" xfId="8" applyNumberFormat="1" applyFont="1"/>
    <xf numFmtId="0" fontId="70" fillId="0" borderId="4" xfId="20" applyFont="1" applyFill="1" applyAlignment="1">
      <alignment horizontal="left" wrapText="1"/>
    </xf>
    <xf numFmtId="164" fontId="70" fillId="0" borderId="4" xfId="20" applyNumberFormat="1" applyFont="1" applyFill="1"/>
    <xf numFmtId="0" fontId="53" fillId="0" borderId="0" xfId="2" applyFont="1" applyAlignment="1">
      <alignment horizontal="center"/>
    </xf>
    <xf numFmtId="164" fontId="52" fillId="0" borderId="0" xfId="5" applyNumberFormat="1" applyFont="1" applyAlignment="1">
      <alignment horizontal="center"/>
    </xf>
    <xf numFmtId="164" fontId="70" fillId="0" borderId="4" xfId="20" applyNumberFormat="1" applyFont="1" applyFill="1" applyAlignment="1">
      <alignment horizontal="center"/>
    </xf>
    <xf numFmtId="171" fontId="52" fillId="0" borderId="0" xfId="23" applyNumberFormat="1" applyFont="1"/>
    <xf numFmtId="170" fontId="28" fillId="0" borderId="0" xfId="2" applyNumberFormat="1" applyFont="1"/>
    <xf numFmtId="0" fontId="70" fillId="0" borderId="4" xfId="20" applyFont="1" applyFill="1" applyAlignment="1">
      <alignment horizontal="left"/>
    </xf>
    <xf numFmtId="164" fontId="70" fillId="0" borderId="4" xfId="20" applyNumberFormat="1" applyFont="1" applyFill="1" applyAlignment="1"/>
    <xf numFmtId="0" fontId="52" fillId="0" borderId="0" xfId="10" applyFont="1"/>
    <xf numFmtId="0" fontId="70" fillId="0" borderId="4" xfId="20" applyFont="1"/>
    <xf numFmtId="164" fontId="70" fillId="0" borderId="4" xfId="20" applyNumberFormat="1" applyFont="1"/>
    <xf numFmtId="0" fontId="59" fillId="0" borderId="4" xfId="20" applyFont="1"/>
    <xf numFmtId="164" fontId="59" fillId="0" borderId="4" xfId="20" applyNumberFormat="1" applyFont="1" applyAlignment="1">
      <alignment horizontal="center" vertical="center"/>
    </xf>
    <xf numFmtId="0" fontId="72" fillId="0" borderId="0" xfId="13" applyFont="1"/>
    <xf numFmtId="0" fontId="28" fillId="0" borderId="0" xfId="0" applyFont="1" applyAlignment="1">
      <alignment horizontal="left" vertical="center" wrapText="1"/>
    </xf>
    <xf numFmtId="0" fontId="50" fillId="0" borderId="0" xfId="0" applyFont="1" applyAlignment="1">
      <alignment horizontal="left" vertical="center"/>
    </xf>
    <xf numFmtId="171" fontId="68" fillId="0" borderId="0" xfId="8" applyNumberFormat="1" applyFont="1"/>
    <xf numFmtId="0" fontId="70" fillId="0" borderId="4" xfId="20" applyFont="1" applyFill="1"/>
    <xf numFmtId="0" fontId="52" fillId="0" borderId="0" xfId="15" applyFont="1"/>
    <xf numFmtId="0" fontId="48" fillId="0" borderId="0" xfId="4" applyFont="1" applyAlignment="1">
      <alignment vertical="top"/>
    </xf>
    <xf numFmtId="0" fontId="52" fillId="0" borderId="0" xfId="21" applyFont="1" applyAlignment="1">
      <alignment horizontal="left" wrapText="1"/>
    </xf>
    <xf numFmtId="0" fontId="52" fillId="0" borderId="0" xfId="3" applyFont="1" applyAlignment="1">
      <alignment horizontal="left" vertical="center" wrapText="1"/>
    </xf>
    <xf numFmtId="172" fontId="60" fillId="0" borderId="0" xfId="13" applyNumberFormat="1" applyFont="1"/>
    <xf numFmtId="0" fontId="23" fillId="0" borderId="17" xfId="0" applyFont="1" applyBorder="1" applyAlignment="1">
      <alignment horizontal="left"/>
    </xf>
    <xf numFmtId="9" fontId="50" fillId="0" borderId="0" xfId="1" applyFont="1"/>
    <xf numFmtId="164" fontId="50" fillId="0" borderId="0" xfId="15" applyNumberFormat="1" applyFont="1"/>
    <xf numFmtId="0" fontId="23" fillId="0" borderId="0" xfId="0" applyFont="1" applyAlignment="1">
      <alignment horizontal="left"/>
    </xf>
    <xf numFmtId="0" fontId="50" fillId="0" borderId="12" xfId="0" applyFont="1" applyBorder="1" applyAlignment="1">
      <alignment horizontal="left" indent="1"/>
    </xf>
    <xf numFmtId="9" fontId="52" fillId="0" borderId="0" xfId="1" applyFont="1"/>
    <xf numFmtId="0" fontId="49" fillId="0" borderId="0" xfId="94" applyFont="1" applyAlignment="1">
      <alignment vertical="top"/>
    </xf>
    <xf numFmtId="164" fontId="52" fillId="0" borderId="0" xfId="5" applyNumberFormat="1" applyFont="1" applyFill="1"/>
    <xf numFmtId="164" fontId="52" fillId="0" borderId="0" xfId="0" applyNumberFormat="1" applyFont="1" applyAlignment="1">
      <alignment horizontal="center" vertical="center"/>
    </xf>
    <xf numFmtId="0" fontId="52" fillId="0" borderId="0" xfId="0" applyFont="1" applyAlignment="1">
      <alignment horizontal="left"/>
    </xf>
    <xf numFmtId="0" fontId="60" fillId="0" borderId="2" xfId="13" applyFont="1" applyBorder="1" applyAlignment="1">
      <alignment horizontal="center" vertical="center" wrapText="1"/>
    </xf>
    <xf numFmtId="164" fontId="62" fillId="0" borderId="2" xfId="13" applyNumberFormat="1" applyFont="1" applyBorder="1" applyAlignment="1">
      <alignment horizontal="right" vertical="center"/>
    </xf>
    <xf numFmtId="164" fontId="62" fillId="5" borderId="2" xfId="13" applyNumberFormat="1" applyFont="1" applyFill="1" applyBorder="1" applyAlignment="1">
      <alignment horizontal="right" vertical="center"/>
    </xf>
    <xf numFmtId="171" fontId="49" fillId="0" borderId="0" xfId="23" applyNumberFormat="1" applyFont="1" applyAlignment="1">
      <alignment vertical="top"/>
    </xf>
    <xf numFmtId="171" fontId="50" fillId="0" borderId="0" xfId="23" applyNumberFormat="1" applyFont="1"/>
    <xf numFmtId="0" fontId="15" fillId="0" borderId="0" xfId="8" applyAlignment="1">
      <alignment horizontal="right" indent="1"/>
    </xf>
    <xf numFmtId="170" fontId="15" fillId="38" borderId="0" xfId="8" applyNumberFormat="1" applyFill="1" applyAlignment="1">
      <alignment horizontal="right" indent="1"/>
    </xf>
    <xf numFmtId="170" fontId="15" fillId="0" borderId="0" xfId="8" applyNumberFormat="1" applyAlignment="1">
      <alignment horizontal="right" indent="1"/>
    </xf>
    <xf numFmtId="172" fontId="15" fillId="0" borderId="0" xfId="8" applyNumberFormat="1" applyAlignment="1">
      <alignment horizontal="right" indent="1"/>
    </xf>
    <xf numFmtId="170" fontId="23" fillId="38" borderId="0" xfId="8" applyNumberFormat="1" applyFont="1" applyFill="1" applyAlignment="1">
      <alignment horizontal="right" indent="1"/>
    </xf>
    <xf numFmtId="0" fontId="5" fillId="0" borderId="0" xfId="8" applyFont="1" applyAlignment="1">
      <alignment horizontal="right" indent="1"/>
    </xf>
    <xf numFmtId="170" fontId="50" fillId="0" borderId="0" xfId="15" applyNumberFormat="1" applyFont="1"/>
    <xf numFmtId="0" fontId="23" fillId="0" borderId="14" xfId="0" applyFont="1" applyBorder="1" applyAlignment="1">
      <alignment horizontal="right" indent="1"/>
    </xf>
    <xf numFmtId="164" fontId="47" fillId="0" borderId="14" xfId="15" applyNumberFormat="1" applyFont="1" applyBorder="1" applyAlignment="1">
      <alignment horizontal="right" indent="1"/>
    </xf>
    <xf numFmtId="164" fontId="52" fillId="0" borderId="0" xfId="15" applyNumberFormat="1" applyFont="1" applyAlignment="1">
      <alignment horizontal="right" indent="1"/>
    </xf>
    <xf numFmtId="164" fontId="47" fillId="0" borderId="17" xfId="15" applyNumberFormat="1" applyFont="1" applyBorder="1" applyAlignment="1">
      <alignment horizontal="right" indent="1"/>
    </xf>
    <xf numFmtId="164" fontId="47" fillId="0" borderId="0" xfId="15" applyNumberFormat="1" applyFont="1" applyAlignment="1">
      <alignment horizontal="right" indent="1"/>
    </xf>
    <xf numFmtId="164" fontId="52" fillId="0" borderId="12" xfId="15" applyNumberFormat="1" applyFont="1" applyBorder="1" applyAlignment="1">
      <alignment horizontal="right" indent="1"/>
    </xf>
    <xf numFmtId="170" fontId="23" fillId="41" borderId="0" xfId="8" applyNumberFormat="1" applyFont="1" applyFill="1" applyAlignment="1">
      <alignment horizontal="right" indent="1"/>
    </xf>
    <xf numFmtId="0" fontId="28" fillId="0" borderId="18" xfId="0" applyFont="1" applyBorder="1" applyAlignment="1">
      <alignment horizontal="left" vertical="center" wrapText="1"/>
    </xf>
    <xf numFmtId="6" fontId="60" fillId="0" borderId="18" xfId="0" applyNumberFormat="1" applyFont="1" applyBorder="1" applyAlignment="1">
      <alignment horizontal="center" vertical="center"/>
    </xf>
    <xf numFmtId="0" fontId="74" fillId="0" borderId="0" xfId="97"/>
    <xf numFmtId="170" fontId="0" fillId="0" borderId="0" xfId="0" applyNumberFormat="1" applyAlignment="1">
      <alignment horizontal="right" indent="1"/>
    </xf>
    <xf numFmtId="6" fontId="0" fillId="0" borderId="0" xfId="0" applyNumberFormat="1"/>
    <xf numFmtId="175" fontId="0" fillId="0" borderId="0" xfId="0" applyNumberFormat="1"/>
    <xf numFmtId="0" fontId="52" fillId="0" borderId="0" xfId="0" applyFont="1" applyAlignment="1">
      <alignment horizontal="left" vertical="top" wrapText="1"/>
    </xf>
    <xf numFmtId="0" fontId="49" fillId="0" borderId="0" xfId="8" applyFont="1" applyAlignment="1">
      <alignment vertical="top"/>
    </xf>
    <xf numFmtId="0" fontId="62" fillId="0" borderId="2" xfId="13" applyFont="1" applyBorder="1" applyAlignment="1">
      <alignment wrapText="1"/>
    </xf>
    <xf numFmtId="164" fontId="70" fillId="0" borderId="4" xfId="23" applyNumberFormat="1" applyFont="1" applyFill="1" applyBorder="1" applyAlignment="1">
      <alignment horizontal="right" indent="1"/>
    </xf>
    <xf numFmtId="0" fontId="4" fillId="0" borderId="0" xfId="8" applyFont="1" applyAlignment="1">
      <alignment vertical="top" wrapText="1"/>
    </xf>
    <xf numFmtId="0" fontId="4" fillId="0" borderId="0" xfId="8" applyFont="1" applyAlignment="1">
      <alignment vertical="top"/>
    </xf>
    <xf numFmtId="0" fontId="60" fillId="0" borderId="0" xfId="13" applyFont="1" applyAlignment="1">
      <alignment vertical="top"/>
    </xf>
    <xf numFmtId="0" fontId="78" fillId="0" borderId="0" xfId="15" applyFont="1" applyAlignment="1">
      <alignment horizontal="left"/>
    </xf>
    <xf numFmtId="176" fontId="52" fillId="0" borderId="0" xfId="15" applyNumberFormat="1" applyFont="1" applyAlignment="1">
      <alignment horizontal="center"/>
    </xf>
    <xf numFmtId="176" fontId="52" fillId="0" borderId="0" xfId="15" applyNumberFormat="1" applyFont="1"/>
    <xf numFmtId="168" fontId="52" fillId="0" borderId="0" xfId="15" applyNumberFormat="1" applyFont="1"/>
    <xf numFmtId="177" fontId="47" fillId="0" borderId="0" xfId="15" applyNumberFormat="1" applyFont="1" applyAlignment="1">
      <alignment horizontal="center" vertical="center" wrapText="1"/>
    </xf>
    <xf numFmtId="168" fontId="79" fillId="0" borderId="22" xfId="15" applyNumberFormat="1" applyFont="1" applyBorder="1" applyAlignment="1">
      <alignment horizontal="center" vertical="center"/>
    </xf>
    <xf numFmtId="168" fontId="47" fillId="0" borderId="23" xfId="15" quotePrefix="1" applyNumberFormat="1" applyFont="1" applyBorder="1" applyAlignment="1">
      <alignment horizontal="left" vertical="center"/>
    </xf>
    <xf numFmtId="168" fontId="52" fillId="0" borderId="23" xfId="15" applyNumberFormat="1" applyFont="1" applyBorder="1" applyAlignment="1">
      <alignment vertical="center"/>
    </xf>
    <xf numFmtId="168" fontId="52" fillId="0" borderId="24" xfId="15" applyNumberFormat="1" applyFont="1" applyBorder="1" applyAlignment="1">
      <alignment vertical="center"/>
    </xf>
    <xf numFmtId="169" fontId="47" fillId="0" borderId="18" xfId="15" applyNumberFormat="1" applyFont="1" applyBorder="1" applyAlignment="1">
      <alignment horizontal="center" vertical="center" wrapText="1"/>
    </xf>
    <xf numFmtId="168" fontId="52" fillId="0" borderId="0" xfId="15" applyNumberFormat="1" applyFont="1" applyAlignment="1">
      <alignment vertical="center"/>
    </xf>
    <xf numFmtId="168" fontId="52" fillId="0" borderId="25" xfId="15" applyNumberFormat="1" applyFont="1" applyBorder="1" applyAlignment="1">
      <alignment vertical="center"/>
    </xf>
    <xf numFmtId="178" fontId="52" fillId="0" borderId="18" xfId="15" applyNumberFormat="1" applyFont="1" applyBorder="1" applyAlignment="1">
      <alignment vertical="center"/>
    </xf>
    <xf numFmtId="178" fontId="52" fillId="0" borderId="18" xfId="15" applyNumberFormat="1" applyFont="1" applyBorder="1" applyAlignment="1">
      <alignment horizontal="right" vertical="center"/>
    </xf>
    <xf numFmtId="168" fontId="52" fillId="0" borderId="1" xfId="15" applyNumberFormat="1" applyFont="1" applyBorder="1" applyAlignment="1">
      <alignment vertical="center"/>
    </xf>
    <xf numFmtId="168" fontId="52" fillId="0" borderId="18" xfId="15" applyNumberFormat="1" applyFont="1" applyBorder="1" applyAlignment="1">
      <alignment vertical="center"/>
    </xf>
    <xf numFmtId="168" fontId="81" fillId="0" borderId="18" xfId="15" applyNumberFormat="1" applyFont="1" applyBorder="1" applyAlignment="1" applyProtection="1">
      <alignment vertical="center"/>
      <protection locked="0"/>
    </xf>
    <xf numFmtId="168" fontId="82" fillId="0" borderId="18" xfId="15" applyNumberFormat="1" applyFont="1" applyBorder="1" applyAlignment="1" applyProtection="1">
      <alignment vertical="center"/>
      <protection locked="0"/>
    </xf>
    <xf numFmtId="168" fontId="52" fillId="0" borderId="18" xfId="15" applyNumberFormat="1" applyFont="1" applyBorder="1" applyAlignment="1" applyProtection="1">
      <alignment vertical="center"/>
      <protection locked="0"/>
    </xf>
    <xf numFmtId="168" fontId="52" fillId="0" borderId="26" xfId="15" applyNumberFormat="1" applyFont="1" applyBorder="1" applyAlignment="1">
      <alignment vertical="center"/>
    </xf>
    <xf numFmtId="178" fontId="52" fillId="0" borderId="27" xfId="15" applyNumberFormat="1" applyFont="1" applyBorder="1" applyAlignment="1">
      <alignment vertical="center"/>
    </xf>
    <xf numFmtId="168" fontId="52" fillId="0" borderId="28" xfId="15" applyNumberFormat="1" applyFont="1" applyBorder="1" applyAlignment="1">
      <alignment vertical="center"/>
    </xf>
    <xf numFmtId="168" fontId="52" fillId="0" borderId="29" xfId="15" applyNumberFormat="1" applyFont="1" applyBorder="1" applyAlignment="1">
      <alignment vertical="center"/>
    </xf>
    <xf numFmtId="168" fontId="81" fillId="0" borderId="29" xfId="15" applyNumberFormat="1" applyFont="1" applyBorder="1" applyAlignment="1" applyProtection="1">
      <alignment vertical="center"/>
      <protection locked="0"/>
    </xf>
    <xf numFmtId="168" fontId="82" fillId="0" borderId="29" xfId="15" applyNumberFormat="1" applyFont="1" applyBorder="1" applyAlignment="1" applyProtection="1">
      <alignment vertical="center"/>
      <protection locked="0"/>
    </xf>
    <xf numFmtId="168" fontId="52" fillId="0" borderId="29" xfId="15" applyNumberFormat="1" applyFont="1" applyBorder="1" applyAlignment="1" applyProtection="1">
      <alignment vertical="center"/>
      <protection locked="0"/>
    </xf>
    <xf numFmtId="168" fontId="47" fillId="0" borderId="19" xfId="15" applyNumberFormat="1" applyFont="1" applyBorder="1" applyAlignment="1">
      <alignment horizontal="right" vertical="center"/>
    </xf>
    <xf numFmtId="178" fontId="47" fillId="0" borderId="20" xfId="15" applyNumberFormat="1" applyFont="1" applyBorder="1" applyAlignment="1">
      <alignment vertical="center"/>
    </xf>
    <xf numFmtId="178" fontId="47" fillId="0" borderId="21" xfId="15" applyNumberFormat="1" applyFont="1" applyBorder="1" applyAlignment="1">
      <alignment vertical="center"/>
    </xf>
    <xf numFmtId="178" fontId="83" fillId="0" borderId="21" xfId="15" applyNumberFormat="1" applyFont="1" applyBorder="1" applyAlignment="1">
      <alignment vertical="center"/>
    </xf>
    <xf numFmtId="177" fontId="47" fillId="0" borderId="0" xfId="15" applyNumberFormat="1" applyFont="1" applyAlignment="1">
      <alignment horizontal="left" vertical="center" wrapText="1"/>
    </xf>
    <xf numFmtId="168" fontId="47" fillId="0" borderId="0" xfId="15" applyNumberFormat="1" applyFont="1" applyAlignment="1">
      <alignment vertical="center"/>
    </xf>
    <xf numFmtId="178" fontId="52" fillId="0" borderId="23" xfId="15" applyNumberFormat="1" applyFont="1" applyBorder="1" applyAlignment="1">
      <alignment vertical="center"/>
    </xf>
    <xf numFmtId="168" fontId="52" fillId="0" borderId="30" xfId="15" applyNumberFormat="1" applyFont="1" applyBorder="1" applyAlignment="1">
      <alignment vertical="center"/>
    </xf>
    <xf numFmtId="169" fontId="47" fillId="0" borderId="31" xfId="15" applyNumberFormat="1" applyFont="1" applyBorder="1" applyAlignment="1">
      <alignment horizontal="center" vertical="center" wrapText="1"/>
    </xf>
    <xf numFmtId="169" fontId="83" fillId="0" borderId="31" xfId="15" applyNumberFormat="1" applyFont="1" applyBorder="1" applyAlignment="1">
      <alignment horizontal="center" vertical="center" wrapText="1"/>
    </xf>
    <xf numFmtId="168" fontId="47" fillId="0" borderId="25" xfId="15" applyNumberFormat="1" applyFont="1" applyBorder="1" applyAlignment="1">
      <alignment vertical="center"/>
    </xf>
    <xf numFmtId="177" fontId="47" fillId="0" borderId="0" xfId="15" applyNumberFormat="1" applyFont="1" applyAlignment="1">
      <alignment horizontal="left" vertical="center"/>
    </xf>
    <xf numFmtId="169" fontId="83" fillId="0" borderId="18" xfId="15" applyNumberFormat="1" applyFont="1" applyBorder="1" applyAlignment="1">
      <alignment horizontal="center" vertical="center" wrapText="1"/>
    </xf>
    <xf numFmtId="169" fontId="84" fillId="0" borderId="18" xfId="15" applyNumberFormat="1" applyFont="1" applyBorder="1" applyAlignment="1">
      <alignment horizontal="center" vertical="center" wrapText="1"/>
    </xf>
    <xf numFmtId="168" fontId="52" fillId="0" borderId="32" xfId="15" applyNumberFormat="1" applyFont="1" applyBorder="1" applyAlignment="1">
      <alignment vertical="center"/>
    </xf>
    <xf numFmtId="168" fontId="81" fillId="0" borderId="32" xfId="15" applyNumberFormat="1" applyFont="1" applyBorder="1" applyAlignment="1" applyProtection="1">
      <alignment vertical="center"/>
      <protection locked="0"/>
    </xf>
    <xf numFmtId="168" fontId="85" fillId="0" borderId="32" xfId="15" applyNumberFormat="1" applyFont="1" applyBorder="1" applyAlignment="1" applyProtection="1">
      <alignment vertical="center"/>
      <protection locked="0"/>
    </xf>
    <xf numFmtId="168" fontId="52" fillId="0" borderId="32" xfId="15" applyNumberFormat="1" applyFont="1" applyBorder="1" applyAlignment="1" applyProtection="1">
      <alignment vertical="center"/>
      <protection locked="0"/>
    </xf>
    <xf numFmtId="168" fontId="52" fillId="0" borderId="26" xfId="15" applyNumberFormat="1" applyFont="1" applyBorder="1" applyAlignment="1">
      <alignment horizontal="right" vertical="center"/>
    </xf>
    <xf numFmtId="178" fontId="52" fillId="0" borderId="33" xfId="15" applyNumberFormat="1" applyFont="1" applyBorder="1" applyAlignment="1">
      <alignment vertical="center"/>
    </xf>
    <xf numFmtId="178" fontId="52" fillId="0" borderId="34" xfId="15" applyNumberFormat="1" applyFont="1" applyBorder="1" applyAlignment="1">
      <alignment vertical="center"/>
    </xf>
    <xf numFmtId="178" fontId="81" fillId="0" borderId="34" xfId="15" applyNumberFormat="1" applyFont="1" applyBorder="1" applyAlignment="1">
      <alignment vertical="center"/>
    </xf>
    <xf numFmtId="43" fontId="47" fillId="0" borderId="21" xfId="15" applyNumberFormat="1" applyFont="1" applyBorder="1" applyAlignment="1">
      <alignment vertical="center"/>
    </xf>
    <xf numFmtId="168" fontId="47" fillId="0" borderId="35" xfId="15" applyNumberFormat="1" applyFont="1" applyBorder="1" applyAlignment="1">
      <alignment vertical="center"/>
    </xf>
    <xf numFmtId="168" fontId="47" fillId="0" borderId="22" xfId="15" applyNumberFormat="1" applyFont="1" applyBorder="1" applyAlignment="1">
      <alignment vertical="center"/>
    </xf>
    <xf numFmtId="168" fontId="52" fillId="0" borderId="25" xfId="15" quotePrefix="1" applyNumberFormat="1" applyFont="1" applyBorder="1" applyAlignment="1">
      <alignment horizontal="left" vertical="center"/>
    </xf>
    <xf numFmtId="168" fontId="52" fillId="0" borderId="26" xfId="15" quotePrefix="1" applyNumberFormat="1" applyFont="1" applyBorder="1" applyAlignment="1">
      <alignment horizontal="left" vertical="center"/>
    </xf>
    <xf numFmtId="168" fontId="47" fillId="0" borderId="36" xfId="15" applyNumberFormat="1" applyFont="1" applyBorder="1" applyAlignment="1">
      <alignment horizontal="right" vertical="center"/>
    </xf>
    <xf numFmtId="178" fontId="47" fillId="0" borderId="29" xfId="15" applyNumberFormat="1" applyFont="1" applyBorder="1" applyAlignment="1">
      <alignment vertical="center"/>
    </xf>
    <xf numFmtId="178" fontId="47" fillId="0" borderId="37" xfId="15" applyNumberFormat="1" applyFont="1" applyBorder="1" applyAlignment="1">
      <alignment vertical="center"/>
    </xf>
    <xf numFmtId="178" fontId="83" fillId="0" borderId="37" xfId="15" applyNumberFormat="1" applyFont="1" applyBorder="1" applyAlignment="1">
      <alignment vertical="center"/>
    </xf>
    <xf numFmtId="178" fontId="47" fillId="0" borderId="23" xfId="15" applyNumberFormat="1" applyFont="1" applyBorder="1" applyAlignment="1">
      <alignment vertical="center"/>
    </xf>
    <xf numFmtId="168" fontId="47" fillId="0" borderId="30" xfId="15" applyNumberFormat="1" applyFont="1" applyBorder="1" applyAlignment="1">
      <alignment vertical="center"/>
    </xf>
    <xf numFmtId="178" fontId="52" fillId="0" borderId="27" xfId="15" quotePrefix="1" applyNumberFormat="1" applyFont="1" applyBorder="1" applyAlignment="1">
      <alignment horizontal="right" vertical="center"/>
    </xf>
    <xf numFmtId="168" fontId="82" fillId="0" borderId="32" xfId="15" applyNumberFormat="1" applyFont="1" applyBorder="1" applyAlignment="1" applyProtection="1">
      <alignment vertical="center"/>
      <protection locked="0"/>
    </xf>
    <xf numFmtId="168" fontId="47" fillId="42" borderId="36" xfId="15" applyNumberFormat="1" applyFont="1" applyFill="1" applyBorder="1" applyAlignment="1">
      <alignment horizontal="right" vertical="center"/>
    </xf>
    <xf numFmtId="178" fontId="47" fillId="42" borderId="38" xfId="15" applyNumberFormat="1" applyFont="1" applyFill="1" applyBorder="1" applyAlignment="1">
      <alignment vertical="center"/>
    </xf>
    <xf numFmtId="178" fontId="47" fillId="42" borderId="39" xfId="15" applyNumberFormat="1" applyFont="1" applyFill="1" applyBorder="1" applyAlignment="1">
      <alignment vertical="center"/>
    </xf>
    <xf numFmtId="178" fontId="83" fillId="42" borderId="39" xfId="15" applyNumberFormat="1" applyFont="1" applyFill="1" applyBorder="1" applyAlignment="1">
      <alignment vertical="center"/>
    </xf>
    <xf numFmtId="168" fontId="47" fillId="43" borderId="19" xfId="15" applyNumberFormat="1" applyFont="1" applyFill="1" applyBorder="1" applyAlignment="1">
      <alignment horizontal="right" vertical="center"/>
    </xf>
    <xf numFmtId="178" fontId="47" fillId="43" borderId="20" xfId="15" applyNumberFormat="1" applyFont="1" applyFill="1" applyBorder="1" applyAlignment="1">
      <alignment vertical="center"/>
    </xf>
    <xf numFmtId="178" fontId="47" fillId="43" borderId="21" xfId="15" applyNumberFormat="1" applyFont="1" applyFill="1" applyBorder="1" applyAlignment="1">
      <alignment vertical="center"/>
    </xf>
    <xf numFmtId="169" fontId="47" fillId="43" borderId="40" xfId="15" applyNumberFormat="1" applyFont="1" applyFill="1" applyBorder="1" applyAlignment="1">
      <alignment horizontal="right" vertical="center"/>
    </xf>
    <xf numFmtId="169" fontId="83" fillId="43" borderId="40" xfId="15" applyNumberFormat="1" applyFont="1" applyFill="1" applyBorder="1" applyAlignment="1">
      <alignment horizontal="right" vertical="center"/>
    </xf>
    <xf numFmtId="168" fontId="79" fillId="0" borderId="41" xfId="15" applyNumberFormat="1" applyFont="1" applyBorder="1" applyAlignment="1">
      <alignment horizontal="center" vertical="center"/>
    </xf>
    <xf numFmtId="178" fontId="47" fillId="0" borderId="31" xfId="15" applyNumberFormat="1" applyFont="1" applyBorder="1" applyAlignment="1">
      <alignment vertical="center"/>
    </xf>
    <xf numFmtId="176" fontId="47" fillId="0" borderId="18" xfId="15" applyNumberFormat="1" applyFont="1" applyBorder="1" applyAlignment="1">
      <alignment horizontal="center" vertical="center" wrapText="1"/>
    </xf>
    <xf numFmtId="176" fontId="83" fillId="0" borderId="18" xfId="15" applyNumberFormat="1" applyFont="1" applyBorder="1" applyAlignment="1">
      <alignment horizontal="center" vertical="center" wrapText="1"/>
    </xf>
    <xf numFmtId="168" fontId="81" fillId="0" borderId="18" xfId="15" applyNumberFormat="1" applyFont="1" applyBorder="1" applyAlignment="1">
      <alignment vertical="center"/>
    </xf>
    <xf numFmtId="178" fontId="52" fillId="0" borderId="28" xfId="15" applyNumberFormat="1" applyFont="1" applyBorder="1" applyAlignment="1">
      <alignment vertical="center"/>
    </xf>
    <xf numFmtId="178" fontId="81" fillId="0" borderId="28" xfId="15" applyNumberFormat="1" applyFont="1" applyBorder="1" applyAlignment="1">
      <alignment vertical="center"/>
    </xf>
    <xf numFmtId="168" fontId="47" fillId="0" borderId="15" xfId="15" applyNumberFormat="1" applyFont="1" applyBorder="1" applyAlignment="1">
      <alignment horizontal="right" vertical="center"/>
    </xf>
    <xf numFmtId="178" fontId="47" fillId="0" borderId="42" xfId="15" applyNumberFormat="1" applyFont="1" applyBorder="1" applyAlignment="1">
      <alignment vertical="center"/>
    </xf>
    <xf numFmtId="178" fontId="47" fillId="0" borderId="42" xfId="15" applyNumberFormat="1" applyFont="1" applyBorder="1" applyAlignment="1">
      <alignment horizontal="center" vertical="center"/>
    </xf>
    <xf numFmtId="176" fontId="47" fillId="0" borderId="0" xfId="15" applyNumberFormat="1" applyFont="1" applyAlignment="1">
      <alignment horizontal="center" wrapText="1"/>
    </xf>
    <xf numFmtId="177" fontId="47" fillId="0" borderId="0" xfId="15" applyNumberFormat="1" applyFont="1" applyAlignment="1">
      <alignment horizontal="center" wrapText="1"/>
    </xf>
    <xf numFmtId="168" fontId="52" fillId="0" borderId="0" xfId="15" applyNumberFormat="1" applyFont="1" applyAlignment="1">
      <alignment wrapText="1"/>
    </xf>
    <xf numFmtId="177" fontId="52" fillId="0" borderId="0" xfId="15" applyNumberFormat="1" applyFont="1"/>
    <xf numFmtId="164" fontId="48" fillId="0" borderId="0" xfId="8" applyNumberFormat="1" applyFont="1" applyAlignment="1">
      <alignment vertical="top"/>
    </xf>
    <xf numFmtId="0" fontId="48" fillId="0" borderId="0" xfId="0" applyFont="1" applyAlignment="1">
      <alignment vertical="top"/>
    </xf>
    <xf numFmtId="177" fontId="51" fillId="3" borderId="19" xfId="15" applyNumberFormat="1" applyFont="1" applyFill="1" applyBorder="1" applyAlignment="1">
      <alignment horizontal="center" vertical="center" wrapText="1"/>
    </xf>
    <xf numFmtId="177" fontId="51" fillId="3" borderId="20" xfId="15" quotePrefix="1" applyNumberFormat="1" applyFont="1" applyFill="1" applyBorder="1" applyAlignment="1">
      <alignment horizontal="center" vertical="center" wrapText="1"/>
    </xf>
    <xf numFmtId="177" fontId="51" fillId="3" borderId="20" xfId="15" applyNumberFormat="1" applyFont="1" applyFill="1" applyBorder="1" applyAlignment="1">
      <alignment horizontal="center" vertical="center" wrapText="1"/>
    </xf>
    <xf numFmtId="177" fontId="51" fillId="3" borderId="21" xfId="15" applyNumberFormat="1" applyFont="1" applyFill="1" applyBorder="1" applyAlignment="1">
      <alignment horizontal="center" vertical="center" wrapText="1"/>
    </xf>
    <xf numFmtId="0" fontId="1" fillId="0" borderId="0" xfId="8" applyFont="1" applyAlignment="1">
      <alignment horizontal="right" indent="1"/>
    </xf>
    <xf numFmtId="0" fontId="1" fillId="38" borderId="0" xfId="8" applyFont="1" applyFill="1"/>
    <xf numFmtId="0" fontId="1" fillId="0" borderId="0" xfId="8" applyFont="1"/>
    <xf numFmtId="174" fontId="1" fillId="0" borderId="0" xfId="8" applyNumberFormat="1" applyFont="1" applyAlignment="1">
      <alignment horizontal="right" indent="1"/>
    </xf>
    <xf numFmtId="0" fontId="1" fillId="0" borderId="0" xfId="8" applyFont="1" applyAlignment="1">
      <alignment vertical="top" wrapText="1"/>
    </xf>
    <xf numFmtId="0" fontId="1" fillId="0" borderId="0" xfId="8" applyFont="1" applyAlignment="1">
      <alignment horizontal="center"/>
    </xf>
    <xf numFmtId="0" fontId="1" fillId="0" borderId="0" xfId="0" applyFont="1" applyAlignment="1">
      <alignment horizontal="center"/>
    </xf>
    <xf numFmtId="0" fontId="1" fillId="0" borderId="0" xfId="0" applyFont="1" applyAlignment="1">
      <alignment horizontal="left"/>
    </xf>
    <xf numFmtId="164" fontId="1" fillId="0" borderId="0" xfId="8" applyNumberFormat="1" applyFont="1" applyAlignment="1">
      <alignment horizontal="center"/>
    </xf>
    <xf numFmtId="0" fontId="1" fillId="0" borderId="0" xfId="8" applyFont="1" applyAlignment="1">
      <alignment vertical="top"/>
    </xf>
    <xf numFmtId="0" fontId="1" fillId="0" borderId="0" xfId="8" applyFont="1" applyAlignment="1">
      <alignment horizontal="center" vertical="center"/>
    </xf>
    <xf numFmtId="171" fontId="1" fillId="0" borderId="0" xfId="23" applyNumberFormat="1" applyFont="1"/>
    <xf numFmtId="0" fontId="1" fillId="0" borderId="0" xfId="8" applyFont="1" applyAlignment="1">
      <alignment horizontal="center" vertical="top" wrapText="1"/>
    </xf>
    <xf numFmtId="164" fontId="1" fillId="0" borderId="0" xfId="8" applyNumberFormat="1" applyFont="1" applyAlignment="1">
      <alignment vertical="top"/>
    </xf>
    <xf numFmtId="172" fontId="15" fillId="38" borderId="0" xfId="8" applyNumberFormat="1" applyFill="1" applyAlignment="1">
      <alignment horizontal="right" indent="1"/>
    </xf>
    <xf numFmtId="172" fontId="23" fillId="38" borderId="0" xfId="8" applyNumberFormat="1" applyFont="1" applyFill="1" applyAlignment="1">
      <alignment horizontal="right" indent="1"/>
    </xf>
    <xf numFmtId="0" fontId="1" fillId="0" borderId="0" xfId="8" applyFont="1" applyAlignment="1">
      <alignment horizontal="left" vertical="top"/>
    </xf>
    <xf numFmtId="0" fontId="88" fillId="3" borderId="0" xfId="4" applyFont="1" applyFill="1" applyAlignment="1">
      <alignment horizontal="center" vertical="center" wrapText="1"/>
    </xf>
    <xf numFmtId="0" fontId="88" fillId="40" borderId="0" xfId="0" applyFont="1" applyFill="1" applyAlignment="1" applyProtection="1">
      <alignment horizontal="center" vertical="center"/>
      <protection locked="0"/>
    </xf>
    <xf numFmtId="0" fontId="88" fillId="3" borderId="0" xfId="0" applyFont="1" applyFill="1" applyAlignment="1" applyProtection="1">
      <alignment horizontal="center" vertical="center"/>
      <protection locked="0"/>
    </xf>
    <xf numFmtId="0" fontId="88" fillId="6" borderId="0" xfId="0" applyFont="1" applyFill="1" applyAlignment="1" applyProtection="1">
      <alignment horizontal="center" vertical="center"/>
      <protection locked="0"/>
    </xf>
    <xf numFmtId="0" fontId="88" fillId="3" borderId="0" xfId="0" applyFont="1" applyFill="1" applyAlignment="1">
      <alignment horizontal="center" vertical="center"/>
    </xf>
    <xf numFmtId="0" fontId="88" fillId="3" borderId="0" xfId="0" applyFont="1" applyFill="1" applyAlignment="1">
      <alignment horizontal="center" vertical="center" wrapText="1"/>
    </xf>
    <xf numFmtId="0" fontId="68" fillId="0" borderId="0" xfId="8" applyFont="1" applyAlignment="1">
      <alignment horizontal="center" vertical="center" wrapText="1"/>
    </xf>
    <xf numFmtId="0" fontId="88" fillId="3" borderId="0" xfId="3" applyFont="1" applyFill="1" applyAlignment="1">
      <alignment horizontal="center" vertical="center"/>
    </xf>
    <xf numFmtId="0" fontId="70" fillId="39" borderId="0" xfId="0" applyFont="1" applyFill="1" applyAlignment="1" applyProtection="1">
      <alignment horizontal="center" vertical="center"/>
      <protection locked="0"/>
    </xf>
    <xf numFmtId="49" fontId="88" fillId="3" borderId="0" xfId="5" applyNumberFormat="1" applyFont="1" applyFill="1" applyBorder="1" applyAlignment="1">
      <alignment horizontal="center" vertical="center"/>
    </xf>
    <xf numFmtId="164" fontId="88" fillId="3" borderId="0" xfId="8" applyNumberFormat="1" applyFont="1" applyFill="1" applyAlignment="1">
      <alignment horizontal="center" vertical="center"/>
    </xf>
    <xf numFmtId="0" fontId="88" fillId="3" borderId="0" xfId="8" applyFont="1" applyFill="1" applyAlignment="1">
      <alignment horizontal="center" vertical="center"/>
    </xf>
    <xf numFmtId="0" fontId="88" fillId="3" borderId="0" xfId="12" applyFont="1" applyFill="1" applyAlignment="1">
      <alignment horizontal="center" vertical="center"/>
    </xf>
    <xf numFmtId="0" fontId="88" fillId="3" borderId="0" xfId="13" applyFont="1" applyFill="1" applyAlignment="1">
      <alignment horizontal="center" vertical="center" wrapText="1"/>
    </xf>
    <xf numFmtId="0" fontId="88" fillId="3" borderId="0" xfId="13" applyFont="1" applyFill="1" applyAlignment="1">
      <alignment horizontal="center" vertical="center"/>
    </xf>
    <xf numFmtId="0" fontId="52" fillId="0" borderId="0" xfId="13" applyFont="1" applyAlignment="1">
      <alignment horizontal="center" vertical="center"/>
    </xf>
    <xf numFmtId="0" fontId="52" fillId="0" borderId="0" xfId="0" applyFont="1" applyAlignment="1">
      <alignment horizontal="center" vertical="center"/>
    </xf>
    <xf numFmtId="0" fontId="88" fillId="3" borderId="0" xfId="21" applyFont="1" applyFill="1" applyAlignment="1">
      <alignment horizontal="center" vertical="center"/>
    </xf>
    <xf numFmtId="171" fontId="88" fillId="3" borderId="0" xfId="23" applyNumberFormat="1" applyFont="1" applyFill="1" applyAlignment="1">
      <alignment horizontal="center" vertical="center"/>
    </xf>
    <xf numFmtId="0" fontId="70" fillId="0" borderId="0" xfId="8" applyFont="1" applyAlignment="1">
      <alignment vertical="center"/>
    </xf>
    <xf numFmtId="0" fontId="90" fillId="0" borderId="0" xfId="8" applyFont="1" applyAlignment="1">
      <alignment vertical="center"/>
    </xf>
    <xf numFmtId="0" fontId="52" fillId="0" borderId="0" xfId="21" applyFont="1" applyAlignment="1">
      <alignment vertical="top" wrapText="1"/>
    </xf>
    <xf numFmtId="0" fontId="52" fillId="0" borderId="0" xfId="0" applyFont="1" applyAlignment="1">
      <alignment vertical="top" wrapText="1"/>
    </xf>
    <xf numFmtId="164" fontId="52" fillId="0" borderId="0" xfId="23" applyNumberFormat="1" applyFont="1" applyAlignment="1">
      <alignment horizontal="right" vertical="center"/>
    </xf>
    <xf numFmtId="164" fontId="70" fillId="0" borderId="4" xfId="23" applyNumberFormat="1" applyFont="1" applyFill="1" applyBorder="1" applyAlignment="1">
      <alignment horizontal="right"/>
    </xf>
    <xf numFmtId="164" fontId="28" fillId="0" borderId="0" xfId="0" applyNumberFormat="1" applyFont="1" applyAlignment="1">
      <alignment horizontal="right"/>
    </xf>
    <xf numFmtId="164" fontId="28" fillId="5" borderId="0" xfId="0" applyNumberFormat="1" applyFont="1" applyFill="1" applyAlignment="1">
      <alignment horizontal="right"/>
    </xf>
    <xf numFmtId="164" fontId="70" fillId="0" borderId="4" xfId="20" applyNumberFormat="1" applyFont="1" applyFill="1" applyAlignment="1">
      <alignment horizontal="right"/>
    </xf>
    <xf numFmtId="0" fontId="28" fillId="0" borderId="43" xfId="0" applyFont="1" applyBorder="1" applyAlignment="1">
      <alignment horizontal="left" vertical="center" wrapText="1"/>
    </xf>
    <xf numFmtId="1" fontId="60" fillId="0" borderId="43" xfId="0" applyNumberFormat="1" applyFont="1" applyBorder="1" applyAlignment="1">
      <alignment horizontal="center" vertical="center"/>
    </xf>
    <xf numFmtId="0" fontId="60" fillId="0" borderId="43" xfId="0" applyFont="1" applyBorder="1" applyAlignment="1">
      <alignment vertical="center" wrapText="1"/>
    </xf>
    <xf numFmtId="164" fontId="60" fillId="0" borderId="43" xfId="0" applyNumberFormat="1" applyFont="1" applyBorder="1" applyAlignment="1">
      <alignment horizontal="right" vertical="center"/>
    </xf>
    <xf numFmtId="164" fontId="60" fillId="5" borderId="43" xfId="0" applyNumberFormat="1" applyFont="1" applyFill="1" applyBorder="1" applyAlignment="1">
      <alignment horizontal="right" vertical="center"/>
    </xf>
    <xf numFmtId="0" fontId="75" fillId="0" borderId="43" xfId="0" applyFont="1" applyBorder="1" applyAlignment="1">
      <alignment vertical="center" wrapText="1"/>
    </xf>
    <xf numFmtId="0" fontId="59" fillId="0" borderId="44" xfId="20" applyFont="1" applyBorder="1"/>
    <xf numFmtId="0" fontId="59" fillId="0" borderId="45" xfId="20" applyNumberFormat="1" applyFont="1" applyBorder="1" applyAlignment="1">
      <alignment horizontal="center" vertical="center"/>
    </xf>
    <xf numFmtId="164" fontId="59" fillId="0" borderId="45" xfId="20" applyNumberFormat="1" applyFont="1" applyBorder="1" applyAlignment="1">
      <alignment horizontal="center" vertical="center"/>
    </xf>
    <xf numFmtId="164" fontId="59" fillId="0" borderId="46" xfId="20" applyNumberFormat="1" applyFont="1" applyBorder="1" applyAlignment="1">
      <alignment horizontal="right" vertical="center"/>
    </xf>
    <xf numFmtId="172" fontId="23" fillId="0" borderId="0" xfId="8" applyNumberFormat="1" applyFont="1" applyAlignment="1">
      <alignment horizontal="right" indent="1"/>
    </xf>
    <xf numFmtId="0" fontId="47" fillId="0" borderId="47" xfId="8" applyFont="1" applyBorder="1"/>
    <xf numFmtId="0" fontId="57" fillId="0" borderId="48" xfId="8" applyFont="1" applyBorder="1"/>
    <xf numFmtId="173" fontId="57" fillId="0" borderId="49" xfId="8" applyNumberFormat="1" applyFont="1" applyBorder="1" applyAlignment="1">
      <alignment horizontal="right" indent="1"/>
    </xf>
    <xf numFmtId="179" fontId="23" fillId="0" borderId="49" xfId="23" applyNumberFormat="1" applyFont="1" applyFill="1" applyBorder="1" applyAlignment="1">
      <alignment horizontal="right" indent="1"/>
    </xf>
    <xf numFmtId="164" fontId="68" fillId="0" borderId="0" xfId="0" applyNumberFormat="1" applyFont="1" applyAlignment="1">
      <alignment vertical="center"/>
    </xf>
    <xf numFmtId="164" fontId="70" fillId="0" borderId="4" xfId="20" applyNumberFormat="1" applyFont="1" applyAlignment="1">
      <alignment vertical="center"/>
    </xf>
    <xf numFmtId="170" fontId="23" fillId="38" borderId="0" xfId="8" applyNumberFormat="1" applyFont="1" applyFill="1" applyAlignment="1">
      <alignment horizontal="right" vertical="center" indent="1"/>
    </xf>
    <xf numFmtId="0" fontId="1" fillId="0" borderId="0" xfId="8" applyFont="1" applyAlignment="1">
      <alignment horizontal="left" vertical="top" wrapText="1"/>
    </xf>
    <xf numFmtId="0" fontId="15" fillId="0" borderId="0" xfId="8" applyAlignment="1">
      <alignment horizontal="left" vertical="top" wrapText="1"/>
    </xf>
    <xf numFmtId="0" fontId="1" fillId="0" borderId="0" xfId="8" applyFont="1" applyAlignment="1">
      <alignment vertical="top" wrapText="1"/>
    </xf>
    <xf numFmtId="0" fontId="15" fillId="0" borderId="0" xfId="8" applyAlignment="1">
      <alignment vertical="top" wrapText="1"/>
    </xf>
    <xf numFmtId="168" fontId="28" fillId="0" borderId="0" xfId="0" applyNumberFormat="1" applyFont="1" applyAlignment="1">
      <alignment horizontal="left" vertical="top" wrapText="1"/>
    </xf>
    <xf numFmtId="0" fontId="23" fillId="41" borderId="0" xfId="8" applyFont="1" applyFill="1" applyAlignment="1">
      <alignment horizontal="left"/>
    </xf>
    <xf numFmtId="168" fontId="47" fillId="0" borderId="47" xfId="15" applyNumberFormat="1" applyFont="1" applyBorder="1" applyAlignment="1">
      <alignment horizontal="left" vertical="center"/>
    </xf>
    <xf numFmtId="168" fontId="47" fillId="0" borderId="48" xfId="15" applyNumberFormat="1" applyFont="1" applyBorder="1" applyAlignment="1">
      <alignment horizontal="left" vertical="center"/>
    </xf>
    <xf numFmtId="0" fontId="52" fillId="0" borderId="0" xfId="3" applyFont="1" applyAlignment="1">
      <alignment horizontal="left" vertical="top" wrapText="1"/>
    </xf>
    <xf numFmtId="0" fontId="52" fillId="0" borderId="0" xfId="21" applyFont="1" applyAlignment="1">
      <alignment horizontal="left" vertical="top" wrapText="1"/>
    </xf>
    <xf numFmtId="0" fontId="52" fillId="0" borderId="0" xfId="3" applyFont="1" applyAlignment="1">
      <alignment horizontal="left" wrapText="1"/>
    </xf>
    <xf numFmtId="0" fontId="52" fillId="0" borderId="0" xfId="3" applyFont="1" applyAlignment="1">
      <alignment horizontal="left"/>
    </xf>
    <xf numFmtId="0" fontId="49" fillId="0" borderId="0" xfId="8" applyFont="1" applyAlignment="1">
      <alignment vertical="top"/>
    </xf>
    <xf numFmtId="0" fontId="1" fillId="0" borderId="0" xfId="0" applyFont="1" applyAlignment="1">
      <alignment horizontal="left" vertical="top" wrapText="1"/>
    </xf>
    <xf numFmtId="0" fontId="28" fillId="0" borderId="0" xfId="3" applyFont="1" applyAlignment="1">
      <alignment horizontal="left" vertical="top" wrapText="1"/>
    </xf>
    <xf numFmtId="0" fontId="28" fillId="0" borderId="0" xfId="3" applyFont="1" applyAlignment="1">
      <alignment horizontal="left" vertical="top"/>
    </xf>
    <xf numFmtId="0" fontId="60" fillId="0" borderId="0" xfId="13" applyFont="1" applyAlignment="1">
      <alignment horizontal="left" vertical="top" wrapText="1"/>
    </xf>
    <xf numFmtId="0" fontId="62" fillId="0" borderId="2" xfId="13" applyFont="1" applyBorder="1" applyAlignment="1">
      <alignment horizontal="left" wrapText="1"/>
    </xf>
    <xf numFmtId="0" fontId="62" fillId="0" borderId="2" xfId="13" applyFont="1" applyBorder="1" applyAlignment="1">
      <alignment wrapText="1"/>
    </xf>
    <xf numFmtId="0" fontId="60" fillId="0" borderId="0" xfId="13" applyFont="1" applyAlignment="1">
      <alignment horizontal="left" vertical="top"/>
    </xf>
    <xf numFmtId="0" fontId="28" fillId="0" borderId="0" xfId="0" applyFont="1" applyAlignment="1">
      <alignment horizontal="left" vertical="top" wrapText="1"/>
    </xf>
    <xf numFmtId="168" fontId="87" fillId="0" borderId="0" xfId="97" applyNumberFormat="1" applyFont="1" applyAlignment="1">
      <alignment horizontal="left" vertical="top" wrapText="1"/>
    </xf>
    <xf numFmtId="168" fontId="52" fillId="0" borderId="0" xfId="15" applyNumberFormat="1" applyFont="1" applyAlignment="1">
      <alignment horizontal="center" vertical="top" wrapText="1"/>
    </xf>
    <xf numFmtId="168" fontId="48" fillId="0" borderId="16" xfId="15" applyNumberFormat="1" applyFont="1" applyBorder="1" applyAlignment="1">
      <alignment vertical="top"/>
    </xf>
    <xf numFmtId="168" fontId="86" fillId="0" borderId="16" xfId="15" applyNumberFormat="1" applyFont="1" applyBorder="1" applyAlignment="1">
      <alignment vertical="top"/>
    </xf>
    <xf numFmtId="0" fontId="48" fillId="0" borderId="16" xfId="15" applyFont="1" applyBorder="1" applyAlignment="1">
      <alignment vertical="top"/>
    </xf>
    <xf numFmtId="168" fontId="47" fillId="0" borderId="0" xfId="15" applyNumberFormat="1" applyFont="1" applyAlignment="1">
      <alignment horizontal="left" vertical="top" wrapText="1"/>
    </xf>
    <xf numFmtId="0" fontId="50" fillId="0" borderId="0" xfId="15" applyFont="1" applyAlignment="1">
      <alignment horizontal="left" vertical="top" wrapText="1"/>
    </xf>
    <xf numFmtId="168" fontId="52" fillId="0" borderId="0" xfId="15" applyNumberFormat="1" applyFont="1" applyAlignment="1">
      <alignment horizontal="left" vertical="top" wrapText="1"/>
    </xf>
    <xf numFmtId="168" fontId="52" fillId="0" borderId="0" xfId="15" applyNumberFormat="1" applyFont="1" applyAlignment="1">
      <alignment horizontal="left" vertical="top"/>
    </xf>
  </cellXfs>
  <cellStyles count="98">
    <cellStyle name="20% - Accent1" xfId="40" builtinId="30" customBuiltin="1"/>
    <cellStyle name="20% - Accent1 2" xfId="75" xr:uid="{9F793D84-2330-4383-973F-5E69715F76F0}"/>
    <cellStyle name="20% - Accent2" xfId="44" builtinId="34" customBuiltin="1"/>
    <cellStyle name="20% - Accent2 2" xfId="78" xr:uid="{E2AC9992-9CC6-452A-A5B8-65C9C6A90161}"/>
    <cellStyle name="20% - Accent3" xfId="48" builtinId="38" customBuiltin="1"/>
    <cellStyle name="20% - Accent3 2" xfId="81" xr:uid="{168FE759-B88A-437D-ABDA-693DD45F4425}"/>
    <cellStyle name="20% - Accent4" xfId="52" builtinId="42" customBuiltin="1"/>
    <cellStyle name="20% - Accent4 2" xfId="84" xr:uid="{CCBFFC12-BE94-4EDC-B72F-30D549D44C00}"/>
    <cellStyle name="20% - Accent5" xfId="56" builtinId="46" customBuiltin="1"/>
    <cellStyle name="20% - Accent5 2" xfId="87" xr:uid="{C3425F4D-7F49-4CD1-B36F-DEF33C9D49AF}"/>
    <cellStyle name="20% - Accent6" xfId="60" builtinId="50" customBuiltin="1"/>
    <cellStyle name="20% - Accent6 2" xfId="90" xr:uid="{34908B35-197B-4104-A2CC-406D7D3393DA}"/>
    <cellStyle name="40% - Accent1" xfId="41" builtinId="31" customBuiltin="1"/>
    <cellStyle name="40% - Accent1 2" xfId="76" xr:uid="{4052EAEF-6CC2-495F-9C1E-ED9852933C34}"/>
    <cellStyle name="40% - Accent2" xfId="45" builtinId="35" customBuiltin="1"/>
    <cellStyle name="40% - Accent2 2" xfId="79" xr:uid="{3E634BBD-D0B4-47C0-A32E-A4C2C41E19C1}"/>
    <cellStyle name="40% - Accent3" xfId="49" builtinId="39" customBuiltin="1"/>
    <cellStyle name="40% - Accent3 2" xfId="82" xr:uid="{06ED9CC3-456B-4737-ACC7-51AC81299C1D}"/>
    <cellStyle name="40% - Accent4" xfId="53" builtinId="43" customBuiltin="1"/>
    <cellStyle name="40% - Accent4 2" xfId="85" xr:uid="{08A8288A-BE0B-44BD-9253-EF2C91A25FE4}"/>
    <cellStyle name="40% - Accent5" xfId="57" builtinId="47" customBuiltin="1"/>
    <cellStyle name="40% - Accent5 2" xfId="88" xr:uid="{2E2CD203-E2FD-4B6F-92F6-8FC36FEDED52}"/>
    <cellStyle name="40% - Accent6" xfId="61" builtinId="51" customBuiltin="1"/>
    <cellStyle name="40% - Accent6 2" xfId="91" xr:uid="{2BA24E37-9E94-4119-942B-126B85EE1316}"/>
    <cellStyle name="60% - Accent1" xfId="42" builtinId="32" customBuiltin="1"/>
    <cellStyle name="60% - Accent1 2" xfId="77" xr:uid="{86399CE7-E528-4A73-8D38-DF495F59C5F3}"/>
    <cellStyle name="60% - Accent2" xfId="46" builtinId="36" customBuiltin="1"/>
    <cellStyle name="60% - Accent2 2" xfId="80" xr:uid="{37BEFD31-D522-407E-9DAD-53DBB11CDE3A}"/>
    <cellStyle name="60% - Accent3" xfId="50" builtinId="40" customBuiltin="1"/>
    <cellStyle name="60% - Accent3 2" xfId="83" xr:uid="{945A3882-D495-45C5-8A41-D787BC9BF51F}"/>
    <cellStyle name="60% - Accent4" xfId="54" builtinId="44" customBuiltin="1"/>
    <cellStyle name="60% - Accent4 2" xfId="86" xr:uid="{9CC4F12C-3FA3-4BF1-95B7-0BA5926C2EF5}"/>
    <cellStyle name="60% - Accent5" xfId="58" builtinId="48" customBuiltin="1"/>
    <cellStyle name="60% - Accent5 2" xfId="89" xr:uid="{7D1857CE-C8F0-47EE-BD80-E18868290372}"/>
    <cellStyle name="60% - Accent6" xfId="62" builtinId="52" customBuiltin="1"/>
    <cellStyle name="60% - Accent6 2" xfId="92" xr:uid="{DFDA3269-8840-4AE2-891D-AE9BFC7EBE86}"/>
    <cellStyle name="Accent1" xfId="39" builtinId="29" customBuiltin="1"/>
    <cellStyle name="Accent2" xfId="43" builtinId="33" customBuiltin="1"/>
    <cellStyle name="Accent3" xfId="47" builtinId="37" customBuiltin="1"/>
    <cellStyle name="Accent4" xfId="51" builtinId="41" customBuiltin="1"/>
    <cellStyle name="Accent5" xfId="55" builtinId="45" customBuiltin="1"/>
    <cellStyle name="Accent6" xfId="59" builtinId="49" customBuiltin="1"/>
    <cellStyle name="Bad" xfId="30" builtinId="27" customBuiltin="1"/>
    <cellStyle name="Calculation" xfId="34" builtinId="22" customBuiltin="1"/>
    <cellStyle name="Check Cell" xfId="36" builtinId="23" customBuiltin="1"/>
    <cellStyle name="Comma" xfId="14" builtinId="3"/>
    <cellStyle name="Comma 2" xfId="16" xr:uid="{00000000-0005-0000-0000-000001000000}"/>
    <cellStyle name="Comma 2 2" xfId="71" xr:uid="{5F6FF4F2-CFC2-48BC-8002-9ADB69EB2032}"/>
    <cellStyle name="Currency" xfId="23" builtinId="4"/>
    <cellStyle name="Currency 2" xfId="5" xr:uid="{00000000-0005-0000-0000-000002000000}"/>
    <cellStyle name="Currency 2 2" xfId="93" xr:uid="{79B11CA2-651C-4AB5-957B-08D2674A361C}"/>
    <cellStyle name="Currency 3" xfId="11" xr:uid="{00000000-0005-0000-0000-000003000000}"/>
    <cellStyle name="Currency 3 2" xfId="66" xr:uid="{FBF258D4-1780-4F25-BA75-C04F3AE1D13F}"/>
    <cellStyle name="Currency 4" xfId="64" xr:uid="{75647B01-64CD-40C6-9B6B-7AF3151DA7E8}"/>
    <cellStyle name="Currency 5" xfId="73" xr:uid="{BB1CD6C1-CBF8-4486-8860-E8A6558B1EBA}"/>
    <cellStyle name="Currency 6" xfId="95" xr:uid="{46167A3B-E247-4165-8647-8F75029F579D}"/>
    <cellStyle name="Explanatory Text" xfId="38" builtinId="53" customBuiltin="1"/>
    <cellStyle name="Good" xfId="29" builtinId="26" customBuiltin="1"/>
    <cellStyle name="Heading 1" xfId="25" builtinId="16" customBuiltin="1"/>
    <cellStyle name="Heading 2" xfId="26" builtinId="17" customBuiltin="1"/>
    <cellStyle name="Heading 3" xfId="27" builtinId="18" customBuiltin="1"/>
    <cellStyle name="Heading 4" xfId="28" builtinId="19" customBuiltin="1"/>
    <cellStyle name="Hyperlink" xfId="97" builtinId="8"/>
    <cellStyle name="Input" xfId="32" builtinId="20" customBuiltin="1"/>
    <cellStyle name="Linked Cell" xfId="35" builtinId="24" customBuiltin="1"/>
    <cellStyle name="Neutral" xfId="31" builtinId="28" customBuiltin="1"/>
    <cellStyle name="Normal" xfId="0" builtinId="0"/>
    <cellStyle name="Normal 2" xfId="2" xr:uid="{00000000-0005-0000-0000-000005000000}"/>
    <cellStyle name="Normal 2 2" xfId="10" xr:uid="{00000000-0005-0000-0000-000006000000}"/>
    <cellStyle name="Normal 2 2 2" xfId="21" xr:uid="{D03CCFD8-5251-4696-A9E1-C12CF9989567}"/>
    <cellStyle name="Normal 2 3" xfId="15" xr:uid="{00000000-0005-0000-0000-000007000000}"/>
    <cellStyle name="Normal 3" xfId="6" xr:uid="{00000000-0005-0000-0000-000008000000}"/>
    <cellStyle name="Normal 3 2" xfId="19" xr:uid="{00000000-0005-0000-0000-000009000000}"/>
    <cellStyle name="Normal 4" xfId="7" xr:uid="{00000000-0005-0000-0000-00000A000000}"/>
    <cellStyle name="Normal 5" xfId="8" xr:uid="{00000000-0005-0000-0000-00000B000000}"/>
    <cellStyle name="Normal 5 2" xfId="12" xr:uid="{00000000-0005-0000-0000-00000C000000}"/>
    <cellStyle name="Normal 5 3" xfId="22" xr:uid="{99DC4FC5-1DAF-4A73-A7ED-B66A3830C839}"/>
    <cellStyle name="Normal 5 3 2" xfId="94" xr:uid="{103A1F76-4993-4CD3-B285-C2498B7DD60A}"/>
    <cellStyle name="Normal 5 3 3" xfId="96" xr:uid="{AD85FBEF-56B5-4633-ADCB-7B664E50D814}"/>
    <cellStyle name="Normal 5 4" xfId="69" xr:uid="{071E15F7-C6B8-4865-96FD-8D076DC89746}"/>
    <cellStyle name="Normal 6" xfId="17" xr:uid="{00000000-0005-0000-0000-00000D000000}"/>
    <cellStyle name="Normal 6 2" xfId="70" xr:uid="{9EBBF8B7-BCE9-419E-AB0D-8DD6003624BB}"/>
    <cellStyle name="Normal 7" xfId="18" xr:uid="{00000000-0005-0000-0000-00000E000000}"/>
    <cellStyle name="Normal 7 2" xfId="68" xr:uid="{E420F519-EA29-4773-89BF-E21088540FE0}"/>
    <cellStyle name="Normal 8" xfId="63" xr:uid="{71A95011-10FC-4E4F-8B07-8863C1597BBF}"/>
    <cellStyle name="Normal 9" xfId="72" xr:uid="{592DA8F4-C049-4838-AA51-6DAC7D0B7691}"/>
    <cellStyle name="Normal_78 - 04 FW spending report Spring 05Revised" xfId="13" xr:uid="{00000000-0005-0000-0000-00000F000000}"/>
    <cellStyle name="Normal_Gov Report File" xfId="3" xr:uid="{00000000-0005-0000-0000-000010000000}"/>
    <cellStyle name="Normal_Sheet1" xfId="4" xr:uid="{00000000-0005-0000-0000-000011000000}"/>
    <cellStyle name="Note 2" xfId="9" xr:uid="{00000000-0005-0000-0000-000012000000}"/>
    <cellStyle name="Note 2 2" xfId="67" xr:uid="{2517521B-D28D-4C14-B9DF-22D6E900F291}"/>
    <cellStyle name="Note 3" xfId="65" xr:uid="{E78F0AF6-1434-4371-80AA-39B6C0948DB6}"/>
    <cellStyle name="Note 4" xfId="74" xr:uid="{328A0D6F-E92D-464B-A003-5FF2E60A2906}"/>
    <cellStyle name="Output" xfId="33" builtinId="21" customBuiltin="1"/>
    <cellStyle name="Percent" xfId="1" builtinId="5"/>
    <cellStyle name="Title" xfId="24" builtinId="15" customBuiltin="1"/>
    <cellStyle name="Total" xfId="20" builtinId="25" customBuiltin="1"/>
    <cellStyle name="Warning Text" xfId="37" builtinId="11" customBuiltin="1"/>
  </cellStyles>
  <dxfs count="0"/>
  <tableStyles count="0" defaultTableStyle="TableStyleMedium9" defaultPivotStyle="PivotStyleLight16"/>
  <colors>
    <mruColors>
      <color rgb="FFC3D69B"/>
      <color rgb="FFFAC090"/>
      <color rgb="FFB7DEE8"/>
      <color rgb="FF856BA5"/>
      <color rgb="FFF4E89E"/>
      <color rgb="FF9BBB59"/>
      <color rgb="FF43BDB7"/>
      <color rgb="FFC0504D"/>
      <color rgb="FFFFFF66"/>
      <color rgb="FF8064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powerPivotData" Target="model/item.data"/><Relationship Id="rId26" Type="http://schemas.openxmlformats.org/officeDocument/2006/relationships/customXml" Target="../customXml/item7.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5"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0.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8.xml"/><Relationship Id="rId1" Type="http://schemas.microsoft.com/office/2011/relationships/chartStyle" Target="style8.xml"/></Relationships>
</file>

<file path=xl/charts/_rels/chart12.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11.xml"/><Relationship Id="rId1" Type="http://schemas.microsoft.com/office/2011/relationships/chartStyle" Target="style11.xml"/></Relationships>
</file>

<file path=xl/charts/_rels/chart15.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133127870560645"/>
          <c:y val="2.5747012858375901E-2"/>
          <c:w val="0.74802984105657788"/>
          <c:h val="0.94392369942745302"/>
        </c:manualLayout>
      </c:layout>
      <c:pieChart>
        <c:varyColors val="1"/>
        <c:ser>
          <c:idx val="0"/>
          <c:order val="0"/>
          <c:spPr>
            <a:ln>
              <a:noFill/>
            </a:ln>
            <a:effectLst>
              <a:outerShdw blurRad="50800" dist="38100" dir="2700000" algn="tl" rotWithShape="0">
                <a:prstClr val="black">
                  <a:alpha val="40000"/>
                </a:prstClr>
              </a:outerShdw>
            </a:effectLst>
          </c:spPr>
          <c:dPt>
            <c:idx val="0"/>
            <c:bubble3D val="0"/>
            <c:spPr>
              <a:solidFill>
                <a:schemeClr val="accent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2-5F6D-4283-8A95-885EFEEB2E0F}"/>
              </c:ext>
            </c:extLst>
          </c:dPt>
          <c:dPt>
            <c:idx val="1"/>
            <c:bubble3D val="0"/>
            <c:spPr>
              <a:solidFill>
                <a:schemeClr val="accent2"/>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3-5F6D-4283-8A95-885EFEEB2E0F}"/>
              </c:ext>
            </c:extLst>
          </c:dPt>
          <c:dPt>
            <c:idx val="2"/>
            <c:bubble3D val="0"/>
            <c:spPr>
              <a:solidFill>
                <a:schemeClr val="accent3"/>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4-5F6D-4283-8A95-885EFEEB2E0F}"/>
              </c:ext>
            </c:extLst>
          </c:dPt>
          <c:dPt>
            <c:idx val="3"/>
            <c:bubble3D val="0"/>
            <c:spPr>
              <a:solidFill>
                <a:schemeClr val="accent4"/>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5F6D-4283-8A95-885EFEEB2E0F}"/>
              </c:ext>
            </c:extLst>
          </c:dPt>
          <c:dLbls>
            <c:dLbl>
              <c:idx val="0"/>
              <c:layout>
                <c:manualLayout>
                  <c:x val="-0.20459401850322764"/>
                  <c:y val="7.5029572500294378E-2"/>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F6D-4283-8A95-885EFEEB2E0F}"/>
                </c:ext>
              </c:extLst>
            </c:dLbl>
            <c:dLbl>
              <c:idx val="1"/>
              <c:layout>
                <c:manualLayout>
                  <c:x val="-0.1406551313876894"/>
                  <c:y val="-0.15368774109532507"/>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F6D-4283-8A95-885EFEEB2E0F}"/>
                </c:ext>
              </c:extLst>
            </c:dLbl>
            <c:dLbl>
              <c:idx val="2"/>
              <c:layout>
                <c:manualLayout>
                  <c:x val="0.21761457017060218"/>
                  <c:y val="-0.18528792766557473"/>
                </c:manualLayout>
              </c:layout>
              <c:tx>
                <c:rich>
                  <a:bodyPr/>
                  <a:lstStyle/>
                  <a:p>
                    <a:fld id="{57039540-C1BB-4C32-92D4-051F8B9DDD84}" type="CATEGORYNAME">
                      <a:rPr lang="en-US"/>
                      <a:pPr/>
                      <a:t>[CATEGORY NAME]</a:t>
                    </a:fld>
                    <a:r>
                      <a:rPr lang="en-US" baseline="0"/>
                      <a:t>, </a:t>
                    </a:r>
                    <a:fld id="{F24BC830-0E73-47DD-9070-81DA1860D270}" type="VALUE">
                      <a:rPr lang="en-US" baseline="0"/>
                      <a:pPr/>
                      <a:t>[VALUE]</a:t>
                    </a:fld>
                    <a:r>
                      <a:rPr lang="en-US" baseline="0"/>
                      <a:t>, </a:t>
                    </a:r>
                    <a:fld id="{5ADA4E3C-5D39-49D5-9489-E5220B7CF927}" type="PERCENTAGE">
                      <a:rPr lang="en-US" baseline="0"/>
                      <a:pPr/>
                      <a:t>[PERCENTAGE]</a:t>
                    </a:fld>
                    <a:endParaRPr lang="en-US" baseline="0"/>
                  </a:p>
                </c:rich>
              </c:tx>
              <c:dLblPos val="bestFit"/>
              <c:showLegendKey val="0"/>
              <c:showVal val="1"/>
              <c:showCatName val="1"/>
              <c:showSerName val="0"/>
              <c:showPercent val="1"/>
              <c:showBubbleSize val="0"/>
              <c:extLst>
                <c:ext xmlns:c15="http://schemas.microsoft.com/office/drawing/2012/chart" uri="{CE6537A1-D6FC-4f65-9D91-7224C49458BB}">
                  <c15:layout>
                    <c:manualLayout>
                      <c:w val="0.25830768936526066"/>
                      <c:h val="0.14247300419743214"/>
                    </c:manualLayout>
                  </c15:layout>
                  <c15:dlblFieldTable/>
                  <c15:showDataLabelsRange val="0"/>
                </c:ext>
                <c:ext xmlns:c16="http://schemas.microsoft.com/office/drawing/2014/chart" uri="{C3380CC4-5D6E-409C-BE32-E72D297353CC}">
                  <c16:uniqueId val="{00000004-5F6D-4283-8A95-885EFEEB2E0F}"/>
                </c:ext>
              </c:extLst>
            </c:dLbl>
            <c:dLbl>
              <c:idx val="3"/>
              <c:layout>
                <c:manualLayout>
                  <c:x val="0.12079660958822801"/>
                  <c:y val="0.15002846172590231"/>
                </c:manualLayout>
              </c:layout>
              <c:dLblPos val="bestFi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F6D-4283-8A95-885EFEEB2E0F}"/>
                </c:ext>
              </c:extLst>
            </c:dLbl>
            <c:spPr>
              <a:solidFill>
                <a:sysClr val="window" lastClr="FFFFFF">
                  <a:lumMod val="95000"/>
                  <a:alpha val="89000"/>
                </a:sysClr>
              </a:solid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dLblPos val="bestFit"/>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'1_F&amp;W Total Costs'!$F$5:$F$8</c:f>
              <c:strCache>
                <c:ptCount val="4"/>
                <c:pt idx="0">
                  <c:v>Operating Expenses</c:v>
                </c:pt>
                <c:pt idx="1">
                  <c:v>Capital costs</c:v>
                </c:pt>
                <c:pt idx="2">
                  <c:v>Forgone Revenues and Power Purchases</c:v>
                </c:pt>
                <c:pt idx="3">
                  <c:v>Program Related Fixed Expenses</c:v>
                </c:pt>
              </c:strCache>
            </c:strRef>
          </c:cat>
          <c:val>
            <c:numRef>
              <c:f>'1_F&amp;W Total Costs'!$G$5:$G$8</c:f>
              <c:numCache>
                <c:formatCode>"$"#.#,,"M"</c:formatCode>
                <c:ptCount val="4"/>
                <c:pt idx="0">
                  <c:v>420186619.82999998</c:v>
                </c:pt>
                <c:pt idx="1">
                  <c:v>47097055</c:v>
                </c:pt>
                <c:pt idx="2">
                  <c:v>490600000</c:v>
                </c:pt>
                <c:pt idx="3">
                  <c:v>98400000</c:v>
                </c:pt>
              </c:numCache>
            </c:numRef>
          </c:val>
          <c:extLst>
            <c:ext xmlns:c16="http://schemas.microsoft.com/office/drawing/2014/chart" uri="{C3380CC4-5D6E-409C-BE32-E72D297353CC}">
              <c16:uniqueId val="{00000000-5F6D-4283-8A95-885EFEEB2E0F}"/>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3205105561002046E-2"/>
          <c:y val="5.3807786970593303E-2"/>
          <c:w val="0.91809818901971341"/>
          <c:h val="0.88462877552332686"/>
        </c:manualLayout>
      </c:layout>
      <c:barChart>
        <c:barDir val="col"/>
        <c:grouping val="clustered"/>
        <c:varyColors val="0"/>
        <c:ser>
          <c:idx val="0"/>
          <c:order val="0"/>
          <c:tx>
            <c:v>Expense</c:v>
          </c:tx>
          <c:spPr>
            <a:effectLst>
              <a:outerShdw blurRad="50800" dist="12700" algn="l" rotWithShape="0">
                <a:prstClr val="black">
                  <a:alpha val="40000"/>
                </a:prstClr>
              </a:outerShdw>
            </a:effectLst>
          </c:spPr>
          <c:invertIfNegative val="0"/>
          <c:dLbls>
            <c:numFmt formatCode="#,##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'BPA Costs Table'!$AK$2:$AU$2</c:f>
              <c:numCache>
                <c:formatCode>0_);\(0\)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'BPA Costs Table'!$AK$9:$AU$9</c:f>
              <c:numCache>
                <c:formatCode>0.0_);\(0.0\)</c:formatCode>
                <c:ptCount val="11"/>
                <c:pt idx="0">
                  <c:v>258.17721182999998</c:v>
                </c:pt>
                <c:pt idx="1">
                  <c:v>258.14218992999997</c:v>
                </c:pt>
                <c:pt idx="2">
                  <c:v>254.7</c:v>
                </c:pt>
                <c:pt idx="3">
                  <c:v>258.70465134000005</c:v>
                </c:pt>
                <c:pt idx="4">
                  <c:v>240.38390317</c:v>
                </c:pt>
                <c:pt idx="5">
                  <c:v>238.07312463000002</c:v>
                </c:pt>
                <c:pt idx="6">
                  <c:v>253.6</c:v>
                </c:pt>
                <c:pt idx="7">
                  <c:v>249.43191873000001</c:v>
                </c:pt>
                <c:pt idx="8">
                  <c:v>260.89999999999998</c:v>
                </c:pt>
                <c:pt idx="9">
                  <c:v>270.8</c:v>
                </c:pt>
                <c:pt idx="10">
                  <c:v>317.2</c:v>
                </c:pt>
              </c:numCache>
            </c:numRef>
          </c:val>
          <c:extLst>
            <c:ext xmlns:c16="http://schemas.microsoft.com/office/drawing/2014/chart" uri="{C3380CC4-5D6E-409C-BE32-E72D297353CC}">
              <c16:uniqueId val="{00000000-721A-498E-B84E-9F9BFCDC4848}"/>
            </c:ext>
          </c:extLst>
        </c:ser>
        <c:ser>
          <c:idx val="1"/>
          <c:order val="1"/>
          <c:tx>
            <c:v>Capital</c:v>
          </c:tx>
          <c:spPr>
            <a:effectLst>
              <a:outerShdw blurRad="50800" dist="12700" algn="l" rotWithShape="0">
                <a:prstClr val="black">
                  <a:alpha val="40000"/>
                </a:prstClr>
              </a:outerShdw>
            </a:effectLst>
          </c:spPr>
          <c:invertIfNegative val="0"/>
          <c:dLbls>
            <c:numFmt formatCode="\ #,##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'BPA Costs Table'!$AK$2:$AU$2</c:f>
              <c:numCache>
                <c:formatCode>0_);\(0\)</c:formatCode>
                <c:ptCount val="11"/>
                <c:pt idx="0">
                  <c:v>2015</c:v>
                </c:pt>
                <c:pt idx="1">
                  <c:v>2016</c:v>
                </c:pt>
                <c:pt idx="2">
                  <c:v>2017</c:v>
                </c:pt>
                <c:pt idx="3">
                  <c:v>2018</c:v>
                </c:pt>
                <c:pt idx="4">
                  <c:v>2019</c:v>
                </c:pt>
                <c:pt idx="5">
                  <c:v>2020</c:v>
                </c:pt>
                <c:pt idx="6">
                  <c:v>2021</c:v>
                </c:pt>
                <c:pt idx="7">
                  <c:v>2022</c:v>
                </c:pt>
                <c:pt idx="8">
                  <c:v>2023</c:v>
                </c:pt>
                <c:pt idx="9">
                  <c:v>2024</c:v>
                </c:pt>
                <c:pt idx="10">
                  <c:v>2025</c:v>
                </c:pt>
              </c:numCache>
            </c:numRef>
          </c:cat>
          <c:val>
            <c:numRef>
              <c:f>'BPA Costs Table'!$AK$4:$AU$4</c:f>
              <c:numCache>
                <c:formatCode>0.0_);\(0.0\)</c:formatCode>
                <c:ptCount val="11"/>
                <c:pt idx="0">
                  <c:v>21.373337419999999</c:v>
                </c:pt>
                <c:pt idx="1">
                  <c:v>16.02998393</c:v>
                </c:pt>
                <c:pt idx="2">
                  <c:v>5.4</c:v>
                </c:pt>
                <c:pt idx="3">
                  <c:v>30.668736860000003</c:v>
                </c:pt>
                <c:pt idx="4">
                  <c:v>22.312997709999998</c:v>
                </c:pt>
                <c:pt idx="5">
                  <c:v>40.184699219999999</c:v>
                </c:pt>
                <c:pt idx="6">
                  <c:v>41.9</c:v>
                </c:pt>
                <c:pt idx="7">
                  <c:v>16.119304669999998</c:v>
                </c:pt>
                <c:pt idx="8">
                  <c:v>14.6</c:v>
                </c:pt>
                <c:pt idx="9">
                  <c:v>27.8</c:v>
                </c:pt>
                <c:pt idx="10">
                  <c:v>38</c:v>
                </c:pt>
              </c:numCache>
            </c:numRef>
          </c:val>
          <c:extLst>
            <c:ext xmlns:c16="http://schemas.microsoft.com/office/drawing/2014/chart" uri="{C3380CC4-5D6E-409C-BE32-E72D297353CC}">
              <c16:uniqueId val="{00000001-721A-498E-B84E-9F9BFCDC4848}"/>
            </c:ext>
          </c:extLst>
        </c:ser>
        <c:dLbls>
          <c:showLegendKey val="0"/>
          <c:showVal val="0"/>
          <c:showCatName val="0"/>
          <c:showSerName val="0"/>
          <c:showPercent val="0"/>
          <c:showBubbleSize val="0"/>
        </c:dLbls>
        <c:gapWidth val="76"/>
        <c:axId val="483676240"/>
        <c:axId val="483676632"/>
      </c:barChart>
      <c:catAx>
        <c:axId val="483676240"/>
        <c:scaling>
          <c:orientation val="minMax"/>
        </c:scaling>
        <c:delete val="0"/>
        <c:axPos val="b"/>
        <c:numFmt formatCode="0_);\(0\)" sourceLinked="1"/>
        <c:majorTickMark val="out"/>
        <c:minorTickMark val="none"/>
        <c:tickLblPos val="nextTo"/>
        <c:crossAx val="483676632"/>
        <c:crosses val="autoZero"/>
        <c:auto val="1"/>
        <c:lblAlgn val="ctr"/>
        <c:lblOffset val="100"/>
        <c:tickLblSkip val="1"/>
        <c:tickMarkSkip val="1"/>
        <c:noMultiLvlLbl val="0"/>
      </c:catAx>
      <c:valAx>
        <c:axId val="483676632"/>
        <c:scaling>
          <c:orientation val="minMax"/>
          <c:min val="0"/>
        </c:scaling>
        <c:delete val="0"/>
        <c:axPos val="l"/>
        <c:majorGridlines>
          <c:spPr>
            <a:ln>
              <a:solidFill>
                <a:schemeClr val="bg1">
                  <a:lumMod val="65000"/>
                </a:schemeClr>
              </a:solidFill>
            </a:ln>
          </c:spPr>
        </c:majorGridlines>
        <c:title>
          <c:tx>
            <c:rich>
              <a:bodyPr/>
              <a:lstStyle/>
              <a:p>
                <a:pPr>
                  <a:defRPr/>
                </a:pPr>
                <a:r>
                  <a:rPr lang="en-US"/>
                  <a:t>(Millions)</a:t>
                </a:r>
              </a:p>
            </c:rich>
          </c:tx>
          <c:overlay val="0"/>
        </c:title>
        <c:numFmt formatCode="&quot;$&quot;#,##0" sourceLinked="0"/>
        <c:majorTickMark val="out"/>
        <c:minorTickMark val="none"/>
        <c:tickLblPos val="nextTo"/>
        <c:spPr>
          <a:ln>
            <a:solidFill>
              <a:schemeClr val="bg1">
                <a:lumMod val="65000"/>
              </a:schemeClr>
            </a:solidFill>
          </a:ln>
        </c:spPr>
        <c:crossAx val="483676240"/>
        <c:crosses val="autoZero"/>
        <c:crossBetween val="between"/>
      </c:valAx>
      <c:spPr>
        <a:ln>
          <a:solidFill>
            <a:sysClr val="window" lastClr="FFFFFF">
              <a:lumMod val="65000"/>
            </a:sysClr>
          </a:solidFill>
        </a:ln>
      </c:spPr>
    </c:plotArea>
    <c:legend>
      <c:legendPos val="l"/>
      <c:layout>
        <c:manualLayout>
          <c:xMode val="edge"/>
          <c:yMode val="edge"/>
          <c:x val="7.5356105524014866E-2"/>
          <c:y val="7.7598331782734828E-2"/>
          <c:w val="0.13954995680692875"/>
          <c:h val="9.0838461477246488E-2"/>
        </c:manualLayout>
      </c:layout>
      <c:overlay val="0"/>
    </c:legend>
    <c:plotVisOnly val="1"/>
    <c:dispBlanksAs val="gap"/>
    <c:showDLblsOverMax val="0"/>
  </c:chart>
  <c:spPr>
    <a:solidFill>
      <a:sysClr val="window" lastClr="FFFFFF"/>
    </a:solidFill>
    <a:ln w="25400" cap="flat" cmpd="sng" algn="ctr">
      <a:noFill/>
      <a:prstDash val="solid"/>
    </a:ln>
    <a:effectLst/>
  </c:spPr>
  <c:txPr>
    <a:bodyPr/>
    <a:lstStyle/>
    <a:p>
      <a:pPr>
        <a:defRPr>
          <a:solidFill>
            <a:sysClr val="windowText" lastClr="000000"/>
          </a:solidFill>
          <a:latin typeface="Calibri Light" panose="020F0302020204030204" pitchFamily="34" charset="0"/>
          <a:ea typeface="+mn-ea"/>
          <a:cs typeface="Calibri Light" panose="020F0302020204030204" pitchFamily="34" charset="0"/>
        </a:defRPr>
      </a:pPr>
      <a:endParaRPr lang="en-US"/>
    </a:p>
  </c:txPr>
  <c:printSettings>
    <c:headerFooter/>
    <c:pageMargins b="0.75000000000000033" l="0.70000000000000029" r="0.70000000000000029" t="0.75000000000000033" header="0.30000000000000016" footer="0.30000000000000016"/>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600" b="1"/>
              <a:t>Primary Project Emphasis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'2_F&amp;W Purpose &amp; Emphasis Update'!$F$3</c:f>
              <c:strCache>
                <c:ptCount val="1"/>
                <c:pt idx="0">
                  <c:v>Primary Project Emphasis</c:v>
                </c:pt>
              </c:strCache>
            </c:strRef>
          </c:tx>
          <c:spPr>
            <a:ln>
              <a:noFill/>
            </a:ln>
            <a:effectLst>
              <a:outerShdw blurRad="50800" dist="38100" dir="2700000" algn="tl" rotWithShape="0">
                <a:prstClr val="black">
                  <a:alpha val="40000"/>
                </a:prstClr>
              </a:outerShdw>
            </a:effectLst>
          </c:spPr>
          <c:dPt>
            <c:idx val="0"/>
            <c:bubble3D val="0"/>
            <c:spPr>
              <a:solidFill>
                <a:schemeClr val="accent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CD69-4884-A0D5-3F23625AC46A}"/>
              </c:ext>
            </c:extLst>
          </c:dPt>
          <c:dPt>
            <c:idx val="1"/>
            <c:bubble3D val="0"/>
            <c:spPr>
              <a:solidFill>
                <a:schemeClr val="accent2"/>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3-CD69-4884-A0D5-3F23625AC46A}"/>
              </c:ext>
            </c:extLst>
          </c:dPt>
          <c:dPt>
            <c:idx val="2"/>
            <c:bubble3D val="0"/>
            <c:spPr>
              <a:solidFill>
                <a:schemeClr val="accent3"/>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5-CD69-4884-A0D5-3F23625AC46A}"/>
              </c:ext>
            </c:extLst>
          </c:dPt>
          <c:dPt>
            <c:idx val="3"/>
            <c:bubble3D val="0"/>
            <c:spPr>
              <a:solidFill>
                <a:schemeClr val="accent4"/>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7-CD69-4884-A0D5-3F23625AC46A}"/>
              </c:ext>
            </c:extLst>
          </c:dPt>
          <c:dPt>
            <c:idx val="4"/>
            <c:bubble3D val="0"/>
            <c:spPr>
              <a:solidFill>
                <a:schemeClr val="accent5"/>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9-CD69-4884-A0D5-3F23625AC46A}"/>
              </c:ext>
            </c:extLst>
          </c:dPt>
          <c:dPt>
            <c:idx val="5"/>
            <c:bubble3D val="0"/>
            <c:spPr>
              <a:solidFill>
                <a:schemeClr val="accent6"/>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B-CD69-4884-A0D5-3F23625AC46A}"/>
              </c:ext>
            </c:extLst>
          </c:dPt>
          <c:dPt>
            <c:idx val="6"/>
            <c:bubble3D val="0"/>
            <c:spPr>
              <a:solidFill>
                <a:schemeClr val="accent1">
                  <a:lumMod val="60000"/>
                </a:schemeClr>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D-CD69-4884-A0D5-3F23625AC46A}"/>
              </c:ext>
            </c:extLst>
          </c:dPt>
          <c:dLbls>
            <c:dLbl>
              <c:idx val="0"/>
              <c:layout>
                <c:manualLayout>
                  <c:x val="-0.13822043467588135"/>
                  <c:y val="5.0060889362893039E-2"/>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CD69-4884-A0D5-3F23625AC46A}"/>
                </c:ext>
              </c:extLst>
            </c:dLbl>
            <c:dLbl>
              <c:idx val="1"/>
              <c:layout>
                <c:manualLayout>
                  <c:x val="9.8007137597009006E-2"/>
                  <c:y val="-0.2191136626653658"/>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CD69-4884-A0D5-3F23625AC46A}"/>
                </c:ext>
              </c:extLst>
            </c:dLbl>
            <c:dLbl>
              <c:idx val="2"/>
              <c:layout>
                <c:manualLayout>
                  <c:x val="0.14353465888706357"/>
                  <c:y val="0.16238474513452389"/>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533812949640285"/>
                      <c:h val="0.22522589575438517"/>
                    </c:manualLayout>
                  </c15:layout>
                </c:ext>
                <c:ext xmlns:c16="http://schemas.microsoft.com/office/drawing/2014/chart" uri="{C3380CC4-5D6E-409C-BE32-E72D297353CC}">
                  <c16:uniqueId val="{00000005-CD69-4884-A0D5-3F23625AC46A}"/>
                </c:ext>
              </c:extLst>
            </c:dLbl>
            <c:dLbl>
              <c:idx val="3"/>
              <c:layout>
                <c:manualLayout>
                  <c:x val="-0.15275635869257351"/>
                  <c:y val="0.25088384124895047"/>
                </c:manualLayout>
              </c:layout>
              <c:spPr>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45192"/>
                        <a:gd name="adj2" fmla="val 101123"/>
                        <a:gd name="adj3" fmla="val 42320"/>
                        <a:gd name="adj4" fmla="val 231658"/>
                      </a:avLst>
                    </a:prstGeom>
                    <a:noFill/>
                    <a:ln>
                      <a:noFill/>
                    </a:ln>
                  </c15:spPr>
                </c:ext>
                <c:ext xmlns:c16="http://schemas.microsoft.com/office/drawing/2014/chart" uri="{C3380CC4-5D6E-409C-BE32-E72D297353CC}">
                  <c16:uniqueId val="{00000007-CD69-4884-A0D5-3F23625AC46A}"/>
                </c:ext>
              </c:extLst>
            </c:dLbl>
            <c:dLbl>
              <c:idx val="4"/>
              <c:layout>
                <c:manualLayout>
                  <c:x val="-0.20882509110821582"/>
                  <c:y val="9.9914830530909868E-2"/>
                </c:manualLayout>
              </c:layout>
              <c:spPr>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51802"/>
                        <a:gd name="adj2" fmla="val 100647"/>
                        <a:gd name="adj3" fmla="val 43102"/>
                        <a:gd name="adj4" fmla="val 301377"/>
                      </a:avLst>
                    </a:prstGeom>
                    <a:noFill/>
                    <a:ln>
                      <a:noFill/>
                    </a:ln>
                  </c15:spPr>
                </c:ext>
                <c:ext xmlns:c16="http://schemas.microsoft.com/office/drawing/2014/chart" uri="{C3380CC4-5D6E-409C-BE32-E72D297353CC}">
                  <c16:uniqueId val="{00000009-CD69-4884-A0D5-3F23625AC46A}"/>
                </c:ext>
              </c:extLst>
            </c:dLbl>
            <c:dLbl>
              <c:idx val="5"/>
              <c:layout>
                <c:manualLayout>
                  <c:x val="0.19708604769727525"/>
                  <c:y val="0.15372045353120481"/>
                </c:manualLayout>
              </c:layout>
              <c:spPr>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53455"/>
                        <a:gd name="adj2" fmla="val -2008"/>
                        <a:gd name="adj3" fmla="val 54041"/>
                        <a:gd name="adj4" fmla="val -215402"/>
                      </a:avLst>
                    </a:prstGeom>
                    <a:noFill/>
                    <a:ln>
                      <a:noFill/>
                    </a:ln>
                  </c15:spPr>
                </c:ext>
                <c:ext xmlns:c16="http://schemas.microsoft.com/office/drawing/2014/chart" uri="{C3380CC4-5D6E-409C-BE32-E72D297353CC}">
                  <c16:uniqueId val="{0000000B-CD69-4884-A0D5-3F23625AC46A}"/>
                </c:ext>
              </c:extLst>
            </c:dLbl>
            <c:dLbl>
              <c:idx val="6"/>
              <c:layout>
                <c:manualLayout>
                  <c:x val="0.2891424563308897"/>
                  <c:y val="0.1620504034217945"/>
                </c:manualLayout>
              </c:layout>
              <c:spPr>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48497"/>
                        <a:gd name="adj2" fmla="val 1788"/>
                        <a:gd name="adj3" fmla="val -1168"/>
                        <a:gd name="adj4" fmla="val -383415"/>
                      </a:avLst>
                    </a:prstGeom>
                    <a:noFill/>
                    <a:ln>
                      <a:noFill/>
                    </a:ln>
                  </c15:spPr>
                </c:ext>
                <c:ext xmlns:c16="http://schemas.microsoft.com/office/drawing/2014/chart" uri="{C3380CC4-5D6E-409C-BE32-E72D297353CC}">
                  <c16:uniqueId val="{0000000D-CD69-4884-A0D5-3F23625AC46A}"/>
                </c:ext>
              </c:extLst>
            </c:dLbl>
            <c:spPr>
              <a:solidFill>
                <a:schemeClr val="bg1">
                  <a:lumMod val="95000"/>
                </a:scheme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borderCallout1">
                    <a:avLst/>
                  </a:prstGeom>
                  <a:noFill/>
                  <a:ln>
                    <a:noFill/>
                  </a:ln>
                </c15:spPr>
              </c:ext>
            </c:extLst>
          </c:dLbls>
          <c:cat>
            <c:strRef>
              <c:f>'2_F&amp;W Purpose &amp; Emphasis Update'!$F$4:$F$9</c:f>
              <c:strCache>
                <c:ptCount val="6"/>
                <c:pt idx="0">
                  <c:v>Habitat</c:v>
                </c:pt>
                <c:pt idx="1">
                  <c:v>Combined RM&amp;E</c:v>
                </c:pt>
                <c:pt idx="2">
                  <c:v>Artificial Production</c:v>
                </c:pt>
                <c:pt idx="3">
                  <c:v>Programmatic</c:v>
                </c:pt>
                <c:pt idx="4">
                  <c:v>Predation</c:v>
                </c:pt>
                <c:pt idx="5">
                  <c:v>Harvest</c:v>
                </c:pt>
              </c:strCache>
            </c:strRef>
          </c:cat>
          <c:val>
            <c:numRef>
              <c:f>'2_F&amp;W Purpose &amp; Emphasis Update'!$G$4:$G$9</c:f>
              <c:numCache>
                <c:formatCode>"$"#.#,,"M"</c:formatCode>
                <c:ptCount val="6"/>
                <c:pt idx="0">
                  <c:v>125272622</c:v>
                </c:pt>
                <c:pt idx="1">
                  <c:v>86148451</c:v>
                </c:pt>
                <c:pt idx="2">
                  <c:v>62101102</c:v>
                </c:pt>
                <c:pt idx="3">
                  <c:v>10229546</c:v>
                </c:pt>
                <c:pt idx="4">
                  <c:v>5111598</c:v>
                </c:pt>
                <c:pt idx="5">
                  <c:v>1736037</c:v>
                </c:pt>
              </c:numCache>
            </c:numRef>
          </c:val>
          <c:extLst>
            <c:ext xmlns:c16="http://schemas.microsoft.com/office/drawing/2014/chart" uri="{C3380CC4-5D6E-409C-BE32-E72D297353CC}">
              <c16:uniqueId val="{0000000E-CD69-4884-A0D5-3F23625AC46A}"/>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sz="1600" b="1"/>
              <a:t>RM&amp;E Emphasis</a:t>
            </a:r>
            <a:r>
              <a:rPr lang="en-US" sz="1600" b="1" baseline="0"/>
              <a:t> Breakout</a:t>
            </a:r>
            <a:endParaRPr lang="en-US" sz="1600"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pieChart>
        <c:varyColors val="1"/>
        <c:ser>
          <c:idx val="0"/>
          <c:order val="0"/>
          <c:tx>
            <c:strRef>
              <c:f>'2_F&amp;W Purpose &amp; Emphasis Update'!$A$6</c:f>
              <c:strCache>
                <c:ptCount val="1"/>
                <c:pt idx="0">
                  <c:v>Combined RM&amp;E (includes data management) by Purpose2</c:v>
                </c:pt>
              </c:strCache>
            </c:strRef>
          </c:tx>
          <c:spPr>
            <a:ln>
              <a:noFill/>
            </a:ln>
          </c:spPr>
          <c:dPt>
            <c:idx val="0"/>
            <c:bubble3D val="0"/>
            <c:spPr>
              <a:solidFill>
                <a:schemeClr val="accent2">
                  <a:shade val="50000"/>
                </a:schemeClr>
              </a:solidFill>
              <a:ln w="19050">
                <a:noFill/>
              </a:ln>
              <a:effectLst/>
            </c:spPr>
            <c:extLst>
              <c:ext xmlns:c16="http://schemas.microsoft.com/office/drawing/2014/chart" uri="{C3380CC4-5D6E-409C-BE32-E72D297353CC}">
                <c16:uniqueId val="{00000001-EBF2-4516-BA4C-E564E7EB5CB5}"/>
              </c:ext>
            </c:extLst>
          </c:dPt>
          <c:dPt>
            <c:idx val="1"/>
            <c:bubble3D val="0"/>
            <c:spPr>
              <a:solidFill>
                <a:schemeClr val="accent2">
                  <a:shade val="70000"/>
                </a:schemeClr>
              </a:solidFill>
              <a:ln w="19050">
                <a:noFill/>
              </a:ln>
              <a:effectLst/>
            </c:spPr>
            <c:extLst>
              <c:ext xmlns:c16="http://schemas.microsoft.com/office/drawing/2014/chart" uri="{C3380CC4-5D6E-409C-BE32-E72D297353CC}">
                <c16:uniqueId val="{00000003-EBF2-4516-BA4C-E564E7EB5CB5}"/>
              </c:ext>
            </c:extLst>
          </c:dPt>
          <c:dPt>
            <c:idx val="2"/>
            <c:bubble3D val="0"/>
            <c:spPr>
              <a:solidFill>
                <a:schemeClr val="accent2">
                  <a:shade val="90000"/>
                </a:schemeClr>
              </a:solidFill>
              <a:ln w="19050">
                <a:noFill/>
              </a:ln>
              <a:effectLst/>
            </c:spPr>
            <c:extLst>
              <c:ext xmlns:c16="http://schemas.microsoft.com/office/drawing/2014/chart" uri="{C3380CC4-5D6E-409C-BE32-E72D297353CC}">
                <c16:uniqueId val="{00000005-EBF2-4516-BA4C-E564E7EB5CB5}"/>
              </c:ext>
            </c:extLst>
          </c:dPt>
          <c:dPt>
            <c:idx val="3"/>
            <c:bubble3D val="0"/>
            <c:spPr>
              <a:solidFill>
                <a:schemeClr val="accent2">
                  <a:tint val="77000"/>
                </a:schemeClr>
              </a:solidFill>
              <a:ln w="19050">
                <a:noFill/>
              </a:ln>
              <a:effectLst/>
            </c:spPr>
            <c:extLst>
              <c:ext xmlns:c16="http://schemas.microsoft.com/office/drawing/2014/chart" uri="{C3380CC4-5D6E-409C-BE32-E72D297353CC}">
                <c16:uniqueId val="{00000007-EBF2-4516-BA4C-E564E7EB5CB5}"/>
              </c:ext>
            </c:extLst>
          </c:dPt>
          <c:dPt>
            <c:idx val="4"/>
            <c:bubble3D val="0"/>
            <c:spPr>
              <a:solidFill>
                <a:schemeClr val="accent2">
                  <a:tint val="70000"/>
                </a:schemeClr>
              </a:solidFill>
              <a:ln w="19050">
                <a:noFill/>
              </a:ln>
              <a:effectLst/>
            </c:spPr>
            <c:extLst>
              <c:ext xmlns:c16="http://schemas.microsoft.com/office/drawing/2014/chart" uri="{C3380CC4-5D6E-409C-BE32-E72D297353CC}">
                <c16:uniqueId val="{00000009-EBF2-4516-BA4C-E564E7EB5CB5}"/>
              </c:ext>
            </c:extLst>
          </c:dPt>
          <c:dPt>
            <c:idx val="5"/>
            <c:bubble3D val="0"/>
            <c:spPr>
              <a:solidFill>
                <a:schemeClr val="accent2">
                  <a:tint val="30000"/>
                </a:schemeClr>
              </a:solidFill>
              <a:ln w="19050">
                <a:noFill/>
              </a:ln>
              <a:effectLst/>
            </c:spPr>
            <c:extLst>
              <c:ext xmlns:c16="http://schemas.microsoft.com/office/drawing/2014/chart" uri="{C3380CC4-5D6E-409C-BE32-E72D297353CC}">
                <c16:uniqueId val="{0000000B-EBF2-4516-BA4C-E564E7EB5CB5}"/>
              </c:ext>
            </c:extLst>
          </c:dPt>
          <c:dLbls>
            <c:dLbl>
              <c:idx val="0"/>
              <c:layout>
                <c:manualLayout>
                  <c:x val="-0.20420584863850277"/>
                  <c:y val="2.5071645739253405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r>
                      <a:rPr lang="en-US" sz="1000">
                        <a:solidFill>
                          <a:schemeClr val="bg1"/>
                        </a:solidFill>
                      </a:rPr>
                      <a:t>Programmatic</a:t>
                    </a:r>
                    <a:r>
                      <a:rPr lang="en-US" sz="1000" baseline="0">
                        <a:solidFill>
                          <a:schemeClr val="bg1"/>
                        </a:solidFill>
                      </a:rPr>
                      <a:t>
</a:t>
                    </a:r>
                    <a:fld id="{9FB14AE1-627A-43F6-97A4-DF0D381BAAB0}" type="VALUE">
                      <a:rPr lang="en-US" sz="1000" baseline="0">
                        <a:solidFill>
                          <a:schemeClr val="bg1"/>
                        </a:solidFill>
                      </a:rPr>
                      <a:pPr>
                        <a:defRPr sz="1000">
                          <a:solidFill>
                            <a:schemeClr val="bg1"/>
                          </a:solidFill>
                        </a:defRPr>
                      </a:pPr>
                      <a:t>[VALUE]</a:t>
                    </a:fld>
                    <a:r>
                      <a:rPr lang="en-US" sz="1000" baseline="0">
                        <a:solidFill>
                          <a:schemeClr val="bg1"/>
                        </a:solidFill>
                      </a:rPr>
                      <a:t>
</a:t>
                    </a:r>
                    <a:fld id="{EF5C5CA9-E176-4057-922E-D9A0F627C2E0}" type="PERCENTAGE">
                      <a:rPr lang="en-US" sz="1000" baseline="0">
                        <a:solidFill>
                          <a:schemeClr val="bg1"/>
                        </a:solidFill>
                      </a:rPr>
                      <a:pPr>
                        <a:defRPr sz="1000">
                          <a:solidFill>
                            <a:schemeClr val="bg1"/>
                          </a:solidFill>
                        </a:defRPr>
                      </a:pPr>
                      <a:t>[PERCENTAGE]</a:t>
                    </a:fld>
                    <a:endParaRPr lang="en-US" sz="1000" baseline="0">
                      <a:solidFill>
                        <a:schemeClr val="bg1"/>
                      </a:solidFill>
                    </a:endParaRPr>
                  </a:p>
                </c:rich>
              </c:tx>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dlblFieldTable/>
                  <c15:showDataLabelsRange val="0"/>
                </c:ext>
                <c:ext xmlns:c16="http://schemas.microsoft.com/office/drawing/2014/chart" uri="{C3380CC4-5D6E-409C-BE32-E72D297353CC}">
                  <c16:uniqueId val="{00000001-EBF2-4516-BA4C-E564E7EB5CB5}"/>
                </c:ext>
              </c:extLst>
            </c:dLbl>
            <c:dLbl>
              <c:idx val="1"/>
              <c:layout>
                <c:manualLayout>
                  <c:x val="9.293029767795187E-2"/>
                  <c:y val="-0.18860638394077744"/>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EBF2-4516-BA4C-E564E7EB5CB5}"/>
                </c:ext>
              </c:extLst>
            </c:dLbl>
            <c:dLbl>
              <c:idx val="2"/>
              <c:layout>
                <c:manualLayout>
                  <c:x val="0.20256459170412408"/>
                  <c:y val="6.6582544511849057E-2"/>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EBF2-4516-BA4C-E564E7EB5CB5}"/>
                </c:ext>
              </c:extLst>
            </c:dLbl>
            <c:dLbl>
              <c:idx val="3"/>
              <c:layout>
                <c:manualLayout>
                  <c:x val="8.826882821136034E-2"/>
                  <c:y val="0.17705739221672631"/>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7-EBF2-4516-BA4C-E564E7EB5CB5}"/>
                </c:ext>
              </c:extLst>
            </c:dLbl>
            <c:dLbl>
              <c:idx val="4"/>
              <c:layout>
                <c:manualLayout>
                  <c:x val="-0.19809780433342247"/>
                  <c:y val="0.10699872706186099"/>
                </c:manualLayout>
              </c:layout>
              <c:spPr>
                <a:xfrm>
                  <a:off x="1191740" y="567006"/>
                  <a:ext cx="626017" cy="508024"/>
                </a:xfrm>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53035"/>
                        <a:gd name="adj2" fmla="val 99533"/>
                        <a:gd name="adj3" fmla="val 50033"/>
                        <a:gd name="adj4" fmla="val 254300"/>
                      </a:avLst>
                    </a:prstGeom>
                    <a:noFill/>
                    <a:ln>
                      <a:noFill/>
                    </a:ln>
                  </c15:spPr>
                  <c15:layout>
                    <c:manualLayout>
                      <c:w val="0.106626685584157"/>
                      <c:h val="0.13433384402462106"/>
                    </c:manualLayout>
                  </c15:layout>
                </c:ext>
                <c:ext xmlns:c16="http://schemas.microsoft.com/office/drawing/2014/chart" uri="{C3380CC4-5D6E-409C-BE32-E72D297353CC}">
                  <c16:uniqueId val="{00000009-EBF2-4516-BA4C-E564E7EB5CB5}"/>
                </c:ext>
              </c:extLst>
            </c:dLbl>
            <c:dLbl>
              <c:idx val="5"/>
              <c:layout>
                <c:manualLayout>
                  <c:x val="0.25751587008248861"/>
                  <c:y val="0.14151877861400461"/>
                </c:manualLayout>
              </c:layout>
              <c:spPr>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46844"/>
                        <a:gd name="adj2" fmla="val -3895"/>
                        <a:gd name="adj3" fmla="val 46419"/>
                        <a:gd name="adj4" fmla="val -213904"/>
                      </a:avLst>
                    </a:prstGeom>
                    <a:noFill/>
                    <a:ln>
                      <a:noFill/>
                    </a:ln>
                  </c15:spPr>
                </c:ext>
                <c:ext xmlns:c16="http://schemas.microsoft.com/office/drawing/2014/chart" uri="{C3380CC4-5D6E-409C-BE32-E72D297353CC}">
                  <c16:uniqueId val="{0000000B-EBF2-4516-BA4C-E564E7EB5CB5}"/>
                </c:ext>
              </c:extLst>
            </c:dLbl>
            <c:dLbl>
              <c:idx val="6"/>
              <c:layout>
                <c:manualLayout>
                  <c:x val="7.3394844091695293E-3"/>
                  <c:y val="-2.7736677880610783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C-EBF2-4516-BA4C-E564E7EB5CB5}"/>
                </c:ext>
              </c:extLst>
            </c:dLbl>
            <c:spPr>
              <a:solidFill>
                <a:schemeClr val="bg1">
                  <a:lumMod val="95000"/>
                </a:scheme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borderCallout1">
                    <a:avLst/>
                  </a:prstGeom>
                  <a:noFill/>
                  <a:ln>
                    <a:noFill/>
                  </a:ln>
                </c15:spPr>
              </c:ext>
            </c:extLst>
          </c:dLbls>
          <c:cat>
            <c:strRef>
              <c:f>'2_F&amp;W Purpose &amp; Emphasis Update'!$A$7:$A$12</c:f>
              <c:strCache>
                <c:ptCount val="6"/>
                <c:pt idx="0">
                  <c:v>Programmatic</c:v>
                </c:pt>
                <c:pt idx="1">
                  <c:v>Habitat</c:v>
                </c:pt>
                <c:pt idx="2">
                  <c:v>Artificial Production</c:v>
                </c:pt>
                <c:pt idx="3">
                  <c:v>Hydrosystem</c:v>
                </c:pt>
                <c:pt idx="4">
                  <c:v>Predation</c:v>
                </c:pt>
                <c:pt idx="5">
                  <c:v>Harvest</c:v>
                </c:pt>
              </c:strCache>
            </c:strRef>
          </c:cat>
          <c:val>
            <c:numRef>
              <c:f>'2_F&amp;W Purpose &amp; Emphasis Update'!$H$21:$H$26</c:f>
              <c:numCache>
                <c:formatCode>"$"#.#,,"M"</c:formatCode>
                <c:ptCount val="6"/>
                <c:pt idx="0">
                  <c:v>42060856</c:v>
                </c:pt>
                <c:pt idx="1">
                  <c:v>17469095</c:v>
                </c:pt>
                <c:pt idx="2">
                  <c:v>15689317</c:v>
                </c:pt>
                <c:pt idx="3">
                  <c:v>8490529</c:v>
                </c:pt>
                <c:pt idx="4">
                  <c:v>1797548</c:v>
                </c:pt>
                <c:pt idx="5" formatCode="&quot;$&quot;#,##0">
                  <c:v>641106</c:v>
                </c:pt>
              </c:numCache>
            </c:numRef>
          </c:val>
          <c:extLst>
            <c:ext xmlns:c16="http://schemas.microsoft.com/office/drawing/2014/chart" uri="{C3380CC4-5D6E-409C-BE32-E72D297353CC}">
              <c16:uniqueId val="{0000000D-EBF2-4516-BA4C-E564E7EB5CB5}"/>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'2_F&amp;W Purpose &amp; Emphasis Update'!$F$3</c:f>
              <c:strCache>
                <c:ptCount val="1"/>
                <c:pt idx="0">
                  <c:v>Primary Project Emphasis</c:v>
                </c:pt>
              </c:strCache>
            </c:strRef>
          </c:tx>
          <c:spPr>
            <a:ln>
              <a:noFill/>
            </a:ln>
            <a:effectLst>
              <a:outerShdw blurRad="50800" dist="38100" dir="2700000" algn="tl" rotWithShape="0">
                <a:prstClr val="black">
                  <a:alpha val="40000"/>
                </a:prstClr>
              </a:outerShdw>
            </a:effectLst>
          </c:spPr>
          <c:dPt>
            <c:idx val="0"/>
            <c:bubble3D val="0"/>
            <c:spPr>
              <a:solidFill>
                <a:schemeClr val="accent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E1A0-4546-A2F2-8C1EF90D27E1}"/>
              </c:ext>
            </c:extLst>
          </c:dPt>
          <c:dPt>
            <c:idx val="1"/>
            <c:bubble3D val="0"/>
            <c:spPr>
              <a:solidFill>
                <a:schemeClr val="accent2"/>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3-E1A0-4546-A2F2-8C1EF90D27E1}"/>
              </c:ext>
            </c:extLst>
          </c:dPt>
          <c:dPt>
            <c:idx val="2"/>
            <c:bubble3D val="0"/>
            <c:spPr>
              <a:solidFill>
                <a:schemeClr val="accent3"/>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5-E1A0-4546-A2F2-8C1EF90D27E1}"/>
              </c:ext>
            </c:extLst>
          </c:dPt>
          <c:dPt>
            <c:idx val="3"/>
            <c:bubble3D val="0"/>
            <c:spPr>
              <a:solidFill>
                <a:schemeClr val="accent4"/>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7-E1A0-4546-A2F2-8C1EF90D27E1}"/>
              </c:ext>
            </c:extLst>
          </c:dPt>
          <c:dPt>
            <c:idx val="4"/>
            <c:bubble3D val="0"/>
            <c:spPr>
              <a:solidFill>
                <a:schemeClr val="accent5"/>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9-E1A0-4546-A2F2-8C1EF90D27E1}"/>
              </c:ext>
            </c:extLst>
          </c:dPt>
          <c:dPt>
            <c:idx val="5"/>
            <c:bubble3D val="0"/>
            <c:spPr>
              <a:solidFill>
                <a:schemeClr val="accent6"/>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B-E1A0-4546-A2F2-8C1EF90D27E1}"/>
              </c:ext>
            </c:extLst>
          </c:dPt>
          <c:dPt>
            <c:idx val="6"/>
            <c:bubble3D val="0"/>
            <c:spPr>
              <a:solidFill>
                <a:schemeClr val="accent1">
                  <a:lumMod val="60000"/>
                </a:schemeClr>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D-E1A0-4546-A2F2-8C1EF90D27E1}"/>
              </c:ext>
            </c:extLst>
          </c:dPt>
          <c:dLbls>
            <c:dLbl>
              <c:idx val="0"/>
              <c:layout>
                <c:manualLayout>
                  <c:x val="-0.13054657376461035"/>
                  <c:y val="0.14612236870967499"/>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E1A0-4546-A2F2-8C1EF90D27E1}"/>
                </c:ext>
              </c:extLst>
            </c:dLbl>
            <c:dLbl>
              <c:idx val="1"/>
              <c:layout>
                <c:manualLayout>
                  <c:x val="9.8007137597009006E-2"/>
                  <c:y val="-0.2191136626653658"/>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E1A0-4546-A2F2-8C1EF90D27E1}"/>
                </c:ext>
              </c:extLst>
            </c:dLbl>
            <c:dLbl>
              <c:idx val="2"/>
              <c:layout>
                <c:manualLayout>
                  <c:x val="0.14353465888706357"/>
                  <c:y val="0.16238474513452389"/>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layout>
                    <c:manualLayout>
                      <c:w val="0.15533812949640285"/>
                      <c:h val="0.22522589575438517"/>
                    </c:manualLayout>
                  </c15:layout>
                </c:ext>
                <c:ext xmlns:c16="http://schemas.microsoft.com/office/drawing/2014/chart" uri="{C3380CC4-5D6E-409C-BE32-E72D297353CC}">
                  <c16:uniqueId val="{00000005-E1A0-4546-A2F2-8C1EF90D27E1}"/>
                </c:ext>
              </c:extLst>
            </c:dLbl>
            <c:dLbl>
              <c:idx val="3"/>
              <c:layout>
                <c:manualLayout>
                  <c:x val="-0.15851175437602674"/>
                  <c:y val="0.22398662703185157"/>
                </c:manualLayout>
              </c:layout>
              <c:spPr>
                <a:no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45192"/>
                        <a:gd name="adj2" fmla="val 101123"/>
                        <a:gd name="adj3" fmla="val 40445"/>
                        <a:gd name="adj4" fmla="val 241008"/>
                      </a:avLst>
                    </a:prstGeom>
                    <a:noFill/>
                    <a:ln>
                      <a:noFill/>
                    </a:ln>
                  </c15:spPr>
                </c:ext>
                <c:ext xmlns:c16="http://schemas.microsoft.com/office/drawing/2014/chart" uri="{C3380CC4-5D6E-409C-BE32-E72D297353CC}">
                  <c16:uniqueId val="{00000007-E1A0-4546-A2F2-8C1EF90D27E1}"/>
                </c:ext>
              </c:extLst>
            </c:dLbl>
            <c:dLbl>
              <c:idx val="4"/>
              <c:layout>
                <c:manualLayout>
                  <c:x val="-0.2049881606525803"/>
                  <c:y val="4.9962861270583254E-2"/>
                </c:manualLayout>
              </c:layout>
              <c:spPr>
                <a:no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51802"/>
                        <a:gd name="adj2" fmla="val 100647"/>
                        <a:gd name="adj3" fmla="val 43102"/>
                        <a:gd name="adj4" fmla="val 301377"/>
                      </a:avLst>
                    </a:prstGeom>
                    <a:noFill/>
                    <a:ln>
                      <a:noFill/>
                    </a:ln>
                  </c15:spPr>
                </c:ext>
                <c:ext xmlns:c16="http://schemas.microsoft.com/office/drawing/2014/chart" uri="{C3380CC4-5D6E-409C-BE32-E72D297353CC}">
                  <c16:uniqueId val="{00000009-E1A0-4546-A2F2-8C1EF90D27E1}"/>
                </c:ext>
              </c:extLst>
            </c:dLbl>
            <c:dLbl>
              <c:idx val="5"/>
              <c:layout>
                <c:manualLayout>
                  <c:x val="5.8956551294397481E-2"/>
                  <c:y val="0.15372045353120484"/>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53455"/>
                        <a:gd name="adj2" fmla="val -2008"/>
                        <a:gd name="adj3" fmla="val 54041"/>
                        <a:gd name="adj4" fmla="val -215402"/>
                      </a:avLst>
                    </a:prstGeom>
                    <a:noFill/>
                    <a:ln>
                      <a:noFill/>
                    </a:ln>
                  </c15:spPr>
                </c:ext>
                <c:ext xmlns:c16="http://schemas.microsoft.com/office/drawing/2014/chart" uri="{C3380CC4-5D6E-409C-BE32-E72D297353CC}">
                  <c16:uniqueId val="{0000000B-E1A0-4546-A2F2-8C1EF90D27E1}"/>
                </c:ext>
              </c:extLst>
            </c:dLbl>
            <c:dLbl>
              <c:idx val="6"/>
              <c:layout>
                <c:manualLayout>
                  <c:x val="0.2891424563308897"/>
                  <c:y val="0.1620504034217945"/>
                </c:manualLayout>
              </c:layout>
              <c:spPr>
                <a:solidFill>
                  <a:sysClr val="window" lastClr="FFFFFF">
                    <a:lumMod val="95000"/>
                  </a:sysClr>
                </a:solid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48497"/>
                        <a:gd name="adj2" fmla="val 1788"/>
                        <a:gd name="adj3" fmla="val -1168"/>
                        <a:gd name="adj4" fmla="val -383415"/>
                      </a:avLst>
                    </a:prstGeom>
                    <a:noFill/>
                    <a:ln>
                      <a:noFill/>
                    </a:ln>
                  </c15:spPr>
                </c:ext>
                <c:ext xmlns:c16="http://schemas.microsoft.com/office/drawing/2014/chart" uri="{C3380CC4-5D6E-409C-BE32-E72D297353CC}">
                  <c16:uniqueId val="{0000000D-E1A0-4546-A2F2-8C1EF90D27E1}"/>
                </c:ext>
              </c:extLst>
            </c:dLbl>
            <c:spPr>
              <a:solidFill>
                <a:schemeClr val="bg1">
                  <a:lumMod val="95000"/>
                </a:scheme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outEnd"/>
            <c:showLegendKey val="0"/>
            <c:showVal val="1"/>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borderCallout1">
                    <a:avLst/>
                  </a:prstGeom>
                  <a:noFill/>
                  <a:ln>
                    <a:noFill/>
                  </a:ln>
                </c15:spPr>
              </c:ext>
            </c:extLst>
          </c:dLbls>
          <c:cat>
            <c:strRef>
              <c:f>'2_F&amp;W Purpose &amp; Emphasis Update'!$F$4:$F$9</c:f>
              <c:strCache>
                <c:ptCount val="6"/>
                <c:pt idx="0">
                  <c:v>Habitat</c:v>
                </c:pt>
                <c:pt idx="1">
                  <c:v>Combined RM&amp;E</c:v>
                </c:pt>
                <c:pt idx="2">
                  <c:v>Artificial Production</c:v>
                </c:pt>
                <c:pt idx="3">
                  <c:v>Programmatic</c:v>
                </c:pt>
                <c:pt idx="4">
                  <c:v>Predation</c:v>
                </c:pt>
                <c:pt idx="5">
                  <c:v>Harvest</c:v>
                </c:pt>
              </c:strCache>
            </c:strRef>
          </c:cat>
          <c:val>
            <c:numRef>
              <c:f>'2_F&amp;W Purpose &amp; Emphasis Update'!$G$4:$G$9</c:f>
              <c:numCache>
                <c:formatCode>"$"#.#,,"M"</c:formatCode>
                <c:ptCount val="6"/>
                <c:pt idx="0">
                  <c:v>125272622</c:v>
                </c:pt>
                <c:pt idx="1">
                  <c:v>86148451</c:v>
                </c:pt>
                <c:pt idx="2">
                  <c:v>62101102</c:v>
                </c:pt>
                <c:pt idx="3">
                  <c:v>10229546</c:v>
                </c:pt>
                <c:pt idx="4">
                  <c:v>5111598</c:v>
                </c:pt>
                <c:pt idx="5">
                  <c:v>1736037</c:v>
                </c:pt>
              </c:numCache>
            </c:numRef>
          </c:val>
          <c:extLst>
            <c:ext xmlns:c16="http://schemas.microsoft.com/office/drawing/2014/chart" uri="{C3380CC4-5D6E-409C-BE32-E72D297353CC}">
              <c16:uniqueId val="{0000000E-E1A0-4546-A2F2-8C1EF90D27E1}"/>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pieChart>
        <c:varyColors val="1"/>
        <c:ser>
          <c:idx val="0"/>
          <c:order val="0"/>
          <c:tx>
            <c:strRef>
              <c:f>'2_F&amp;W Purpose &amp; Emphasis Update'!$A$6</c:f>
              <c:strCache>
                <c:ptCount val="1"/>
                <c:pt idx="0">
                  <c:v>Combined RM&amp;E (includes data management) by Purpose2</c:v>
                </c:pt>
              </c:strCache>
            </c:strRef>
          </c:tx>
          <c:spPr>
            <a:ln>
              <a:noFill/>
            </a:ln>
          </c:spPr>
          <c:dPt>
            <c:idx val="0"/>
            <c:bubble3D val="0"/>
            <c:spPr>
              <a:solidFill>
                <a:schemeClr val="accent2">
                  <a:shade val="50000"/>
                </a:schemeClr>
              </a:solidFill>
              <a:ln w="19050">
                <a:noFill/>
              </a:ln>
              <a:effectLst/>
            </c:spPr>
            <c:extLst>
              <c:ext xmlns:c16="http://schemas.microsoft.com/office/drawing/2014/chart" uri="{C3380CC4-5D6E-409C-BE32-E72D297353CC}">
                <c16:uniqueId val="{00000001-9450-4C0F-B8BE-3E9009123B6D}"/>
              </c:ext>
            </c:extLst>
          </c:dPt>
          <c:dPt>
            <c:idx val="1"/>
            <c:bubble3D val="0"/>
            <c:spPr>
              <a:solidFill>
                <a:schemeClr val="accent2">
                  <a:shade val="70000"/>
                </a:schemeClr>
              </a:solidFill>
              <a:ln w="19050">
                <a:noFill/>
              </a:ln>
              <a:effectLst/>
            </c:spPr>
            <c:extLst>
              <c:ext xmlns:c16="http://schemas.microsoft.com/office/drawing/2014/chart" uri="{C3380CC4-5D6E-409C-BE32-E72D297353CC}">
                <c16:uniqueId val="{00000003-9450-4C0F-B8BE-3E9009123B6D}"/>
              </c:ext>
            </c:extLst>
          </c:dPt>
          <c:dPt>
            <c:idx val="2"/>
            <c:bubble3D val="0"/>
            <c:spPr>
              <a:solidFill>
                <a:schemeClr val="accent2">
                  <a:shade val="90000"/>
                </a:schemeClr>
              </a:solidFill>
              <a:ln w="19050">
                <a:noFill/>
              </a:ln>
              <a:effectLst/>
            </c:spPr>
            <c:extLst>
              <c:ext xmlns:c16="http://schemas.microsoft.com/office/drawing/2014/chart" uri="{C3380CC4-5D6E-409C-BE32-E72D297353CC}">
                <c16:uniqueId val="{00000005-9450-4C0F-B8BE-3E9009123B6D}"/>
              </c:ext>
            </c:extLst>
          </c:dPt>
          <c:dPt>
            <c:idx val="3"/>
            <c:bubble3D val="0"/>
            <c:spPr>
              <a:solidFill>
                <a:schemeClr val="accent2">
                  <a:tint val="77000"/>
                </a:schemeClr>
              </a:solidFill>
              <a:ln w="19050">
                <a:noFill/>
              </a:ln>
              <a:effectLst/>
            </c:spPr>
            <c:extLst>
              <c:ext xmlns:c16="http://schemas.microsoft.com/office/drawing/2014/chart" uri="{C3380CC4-5D6E-409C-BE32-E72D297353CC}">
                <c16:uniqueId val="{00000007-9450-4C0F-B8BE-3E9009123B6D}"/>
              </c:ext>
            </c:extLst>
          </c:dPt>
          <c:dPt>
            <c:idx val="4"/>
            <c:bubble3D val="0"/>
            <c:spPr>
              <a:solidFill>
                <a:schemeClr val="accent2">
                  <a:tint val="70000"/>
                </a:schemeClr>
              </a:solidFill>
              <a:ln w="19050">
                <a:noFill/>
              </a:ln>
              <a:effectLst/>
            </c:spPr>
            <c:extLst>
              <c:ext xmlns:c16="http://schemas.microsoft.com/office/drawing/2014/chart" uri="{C3380CC4-5D6E-409C-BE32-E72D297353CC}">
                <c16:uniqueId val="{00000009-9450-4C0F-B8BE-3E9009123B6D}"/>
              </c:ext>
            </c:extLst>
          </c:dPt>
          <c:dPt>
            <c:idx val="5"/>
            <c:bubble3D val="0"/>
            <c:spPr>
              <a:solidFill>
                <a:schemeClr val="accent2">
                  <a:tint val="30000"/>
                </a:schemeClr>
              </a:solidFill>
              <a:ln w="19050">
                <a:noFill/>
              </a:ln>
              <a:effectLst/>
            </c:spPr>
            <c:extLst>
              <c:ext xmlns:c16="http://schemas.microsoft.com/office/drawing/2014/chart" uri="{C3380CC4-5D6E-409C-BE32-E72D297353CC}">
                <c16:uniqueId val="{0000000B-9450-4C0F-B8BE-3E9009123B6D}"/>
              </c:ext>
            </c:extLst>
          </c:dPt>
          <c:dLbls>
            <c:dLbl>
              <c:idx val="0"/>
              <c:layout>
                <c:manualLayout>
                  <c:x val="-0.20420584863850277"/>
                  <c:y val="2.5071645739253405E-2"/>
                </c:manualLayout>
              </c:layout>
              <c:tx>
                <c:rich>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Calibri (Body)"/>
                        <a:ea typeface="+mn-ea"/>
                        <a:cs typeface="+mn-cs"/>
                      </a:defRPr>
                    </a:pPr>
                    <a:r>
                      <a:rPr lang="en-US" sz="1000">
                        <a:solidFill>
                          <a:schemeClr val="bg1"/>
                        </a:solidFill>
                        <a:latin typeface="Calibri (Body)"/>
                      </a:rPr>
                      <a:t>Programmatic</a:t>
                    </a:r>
                    <a:r>
                      <a:rPr lang="en-US" sz="1000" baseline="0">
                        <a:solidFill>
                          <a:schemeClr val="bg1"/>
                        </a:solidFill>
                        <a:latin typeface="Calibri (Body)"/>
                      </a:rPr>
                      <a:t>
</a:t>
                    </a:r>
                    <a:fld id="{9FB14AE1-627A-43F6-97A4-DF0D381BAAB0}" type="VALUE">
                      <a:rPr lang="en-US" sz="1000" baseline="0">
                        <a:solidFill>
                          <a:schemeClr val="bg1"/>
                        </a:solidFill>
                        <a:latin typeface="Calibri (Body)"/>
                      </a:rPr>
                      <a:pPr>
                        <a:defRPr sz="1000">
                          <a:solidFill>
                            <a:schemeClr val="bg1"/>
                          </a:solidFill>
                          <a:latin typeface="Calibri (Body)"/>
                        </a:defRPr>
                      </a:pPr>
                      <a:t>[VALUE]</a:t>
                    </a:fld>
                    <a:r>
                      <a:rPr lang="en-US" sz="1000" baseline="0">
                        <a:solidFill>
                          <a:schemeClr val="bg1"/>
                        </a:solidFill>
                        <a:latin typeface="Calibri (Body)"/>
                      </a:rPr>
                      <a:t>
</a:t>
                    </a:r>
                    <a:fld id="{EF5C5CA9-E176-4057-922E-D9A0F627C2E0}" type="PERCENTAGE">
                      <a:rPr lang="en-US" sz="1000" baseline="0">
                        <a:solidFill>
                          <a:schemeClr val="bg1"/>
                        </a:solidFill>
                        <a:latin typeface="Calibri (Body)"/>
                      </a:rPr>
                      <a:pPr>
                        <a:defRPr sz="1000">
                          <a:solidFill>
                            <a:schemeClr val="bg1"/>
                          </a:solidFill>
                          <a:latin typeface="Calibri (Body)"/>
                        </a:defRPr>
                      </a:pPr>
                      <a:t>[PERCENTAGE]</a:t>
                    </a:fld>
                    <a:endParaRPr lang="en-US" sz="1000" baseline="0">
                      <a:solidFill>
                        <a:schemeClr val="bg1"/>
                      </a:solidFill>
                      <a:latin typeface="Calibri (Body)"/>
                    </a:endParaRPr>
                  </a:p>
                </c:rich>
              </c:tx>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Calibri (Body)"/>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15:dlblFieldTable/>
                  <c15:showDataLabelsRange val="0"/>
                </c:ext>
                <c:ext xmlns:c16="http://schemas.microsoft.com/office/drawing/2014/chart" uri="{C3380CC4-5D6E-409C-BE32-E72D297353CC}">
                  <c16:uniqueId val="{00000001-9450-4C0F-B8BE-3E9009123B6D}"/>
                </c:ext>
              </c:extLst>
            </c:dLbl>
            <c:dLbl>
              <c:idx val="1"/>
              <c:layout>
                <c:manualLayout>
                  <c:x val="9.293029767795187E-2"/>
                  <c:y val="-0.18860638394077744"/>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Calibri (Body)"/>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9450-4C0F-B8BE-3E9009123B6D}"/>
                </c:ext>
              </c:extLst>
            </c:dLbl>
            <c:dLbl>
              <c:idx val="2"/>
              <c:layout>
                <c:manualLayout>
                  <c:x val="0.20256459170412408"/>
                  <c:y val="6.6582544511849057E-2"/>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Calibri (Body)"/>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5-9450-4C0F-B8BE-3E9009123B6D}"/>
                </c:ext>
              </c:extLst>
            </c:dLbl>
            <c:dLbl>
              <c:idx val="3"/>
              <c:layout>
                <c:manualLayout>
                  <c:x val="8.826882821136034E-2"/>
                  <c:y val="0.17705739221672631"/>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Calibri (Body)"/>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7-9450-4C0F-B8BE-3E9009123B6D}"/>
                </c:ext>
              </c:extLst>
            </c:dLbl>
            <c:dLbl>
              <c:idx val="4"/>
              <c:layout>
                <c:manualLayout>
                  <c:x val="-0.21326055325119975"/>
                  <c:y val="0.10699864324410704"/>
                </c:manualLayout>
              </c:layout>
              <c:spPr>
                <a:xfrm>
                  <a:off x="1191740" y="567006"/>
                  <a:ext cx="626017" cy="508024"/>
                </a:xfrm>
                <a:noFill/>
                <a:ln w="9525" cap="flat" cmpd="sng" algn="ctr">
                  <a:solidFill>
                    <a:sysClr val="windowText" lastClr="000000">
                      <a:lumMod val="25000"/>
                      <a:lumOff val="75000"/>
                    </a:sysClr>
                  </a:solid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Calibri (Body)"/>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53035"/>
                        <a:gd name="adj2" fmla="val 99533"/>
                        <a:gd name="adj3" fmla="val 50033"/>
                        <a:gd name="adj4" fmla="val 254300"/>
                      </a:avLst>
                    </a:prstGeom>
                    <a:noFill/>
                    <a:ln>
                      <a:noFill/>
                    </a:ln>
                  </c15:spPr>
                  <c15:layout>
                    <c:manualLayout>
                      <c:w val="0.106626685584157"/>
                      <c:h val="0.13433384402462106"/>
                    </c:manualLayout>
                  </c15:layout>
                </c:ext>
                <c:ext xmlns:c16="http://schemas.microsoft.com/office/drawing/2014/chart" uri="{C3380CC4-5D6E-409C-BE32-E72D297353CC}">
                  <c16:uniqueId val="{00000009-9450-4C0F-B8BE-3E9009123B6D}"/>
                </c:ext>
              </c:extLst>
            </c:dLbl>
            <c:dLbl>
              <c:idx val="5"/>
              <c:layout>
                <c:manualLayout>
                  <c:x val="8.6393415305444213E-2"/>
                  <c:y val="0.14823907478137921"/>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bg1"/>
                      </a:solidFill>
                      <a:latin typeface="Calibri (Body)"/>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borderCallout1">
                      <a:avLst>
                        <a:gd name="adj1" fmla="val 46844"/>
                        <a:gd name="adj2" fmla="val -3895"/>
                        <a:gd name="adj3" fmla="val 46419"/>
                        <a:gd name="adj4" fmla="val -213904"/>
                      </a:avLst>
                    </a:prstGeom>
                    <a:noFill/>
                    <a:ln>
                      <a:noFill/>
                    </a:ln>
                  </c15:spPr>
                </c:ext>
                <c:ext xmlns:c16="http://schemas.microsoft.com/office/drawing/2014/chart" uri="{C3380CC4-5D6E-409C-BE32-E72D297353CC}">
                  <c16:uniqueId val="{0000000B-9450-4C0F-B8BE-3E9009123B6D}"/>
                </c:ext>
              </c:extLst>
            </c:dLbl>
            <c:dLbl>
              <c:idx val="6"/>
              <c:layout>
                <c:manualLayout>
                  <c:x val="7.3394844091695293E-3"/>
                  <c:y val="-2.7736677880610783E-3"/>
                </c:manualLayout>
              </c:layout>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C-9450-4C0F-B8BE-3E9009123B6D}"/>
                </c:ext>
              </c:extLst>
            </c:dLbl>
            <c:spPr>
              <a:solidFill>
                <a:schemeClr val="bg1">
                  <a:lumMod val="95000"/>
                </a:schemeClr>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chemeClr val="dk1">
                        <a:lumMod val="65000"/>
                        <a:lumOff val="35000"/>
                      </a:schemeClr>
                    </a:solidFill>
                    <a:latin typeface="Calibri (Body)"/>
                    <a:ea typeface="+mn-ea"/>
                    <a:cs typeface="+mn-cs"/>
                  </a:defRPr>
                </a:pPr>
                <a:endParaRPr lang="en-US"/>
              </a:p>
            </c:txPr>
            <c:dLblPos val="outEnd"/>
            <c:showLegendKey val="0"/>
            <c:showVal val="1"/>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borderCallout1">
                    <a:avLst/>
                  </a:prstGeom>
                  <a:noFill/>
                  <a:ln>
                    <a:noFill/>
                  </a:ln>
                </c15:spPr>
              </c:ext>
            </c:extLst>
          </c:dLbls>
          <c:cat>
            <c:strRef>
              <c:f>'2_F&amp;W Purpose &amp; Emphasis Update'!$A$7:$A$12</c:f>
              <c:strCache>
                <c:ptCount val="6"/>
                <c:pt idx="0">
                  <c:v>Programmatic</c:v>
                </c:pt>
                <c:pt idx="1">
                  <c:v>Habitat</c:v>
                </c:pt>
                <c:pt idx="2">
                  <c:v>Artificial Production</c:v>
                </c:pt>
                <c:pt idx="3">
                  <c:v>Hydrosystem</c:v>
                </c:pt>
                <c:pt idx="4">
                  <c:v>Predation</c:v>
                </c:pt>
                <c:pt idx="5">
                  <c:v>Harvest</c:v>
                </c:pt>
              </c:strCache>
            </c:strRef>
          </c:cat>
          <c:val>
            <c:numRef>
              <c:f>'2_F&amp;W Purpose &amp; Emphasis Update'!$H$21:$H$26</c:f>
              <c:numCache>
                <c:formatCode>"$"#.#,,"M"</c:formatCode>
                <c:ptCount val="6"/>
                <c:pt idx="0">
                  <c:v>42060856</c:v>
                </c:pt>
                <c:pt idx="1">
                  <c:v>17469095</c:v>
                </c:pt>
                <c:pt idx="2">
                  <c:v>15689317</c:v>
                </c:pt>
                <c:pt idx="3">
                  <c:v>8490529</c:v>
                </c:pt>
                <c:pt idx="4">
                  <c:v>1797548</c:v>
                </c:pt>
                <c:pt idx="5" formatCode="&quot;$&quot;#,##0">
                  <c:v>641106</c:v>
                </c:pt>
              </c:numCache>
            </c:numRef>
          </c:val>
          <c:extLst>
            <c:ext xmlns:c16="http://schemas.microsoft.com/office/drawing/2014/chart" uri="{C3380CC4-5D6E-409C-BE32-E72D297353CC}">
              <c16:uniqueId val="{0000000D-9450-4C0F-B8BE-3E9009123B6D}"/>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0686444311590418"/>
          <c:y val="0.11667643190149006"/>
          <c:w val="0.56842349327678243"/>
          <c:h val="0.85289979016265793"/>
        </c:manualLayout>
      </c:layout>
      <c:pieChart>
        <c:varyColors val="1"/>
        <c:ser>
          <c:idx val="0"/>
          <c:order val="0"/>
          <c:spPr>
            <a:ln>
              <a:noFill/>
            </a:ln>
            <a:effectLst>
              <a:outerShdw blurRad="50800" dist="38100" dir="2700000" algn="tl" rotWithShape="0">
                <a:prstClr val="black">
                  <a:alpha val="40000"/>
                </a:prstClr>
              </a:outerShdw>
            </a:effectLst>
          </c:spPr>
          <c:dPt>
            <c:idx val="0"/>
            <c:bubble3D val="0"/>
            <c:spPr>
              <a:solidFill>
                <a:srgbClr val="B7DEE8"/>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57AC-4531-B5AE-729C85665BAF}"/>
              </c:ext>
            </c:extLst>
          </c:dPt>
          <c:dPt>
            <c:idx val="1"/>
            <c:bubble3D val="0"/>
            <c:spPr>
              <a:solidFill>
                <a:srgbClr val="FAC090"/>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3-57AC-4531-B5AE-729C85665BAF}"/>
              </c:ext>
            </c:extLst>
          </c:dPt>
          <c:dPt>
            <c:idx val="2"/>
            <c:bubble3D val="0"/>
            <c:spPr>
              <a:solidFill>
                <a:srgbClr val="C3D69B"/>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4-57AC-4531-B5AE-729C85665BAF}"/>
              </c:ext>
            </c:extLst>
          </c:dPt>
          <c:dPt>
            <c:idx val="3"/>
            <c:bubble3D val="0"/>
            <c:spPr>
              <a:solidFill>
                <a:schemeClr val="accent4"/>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6-57AC-4531-B5AE-729C85665BAF}"/>
              </c:ext>
            </c:extLst>
          </c:dPt>
          <c:dPt>
            <c:idx val="4"/>
            <c:bubble3D val="0"/>
            <c:spPr>
              <a:solidFill>
                <a:schemeClr val="accent5"/>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8-57AC-4531-B5AE-729C85665BAF}"/>
              </c:ext>
            </c:extLst>
          </c:dPt>
          <c:dPt>
            <c:idx val="5"/>
            <c:bubble3D val="0"/>
            <c:spPr>
              <a:solidFill>
                <a:schemeClr val="accent6"/>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A-57AC-4531-B5AE-729C85665BAF}"/>
              </c:ext>
            </c:extLst>
          </c:dPt>
          <c:dPt>
            <c:idx val="6"/>
            <c:bubble3D val="0"/>
            <c:spPr>
              <a:solidFill>
                <a:schemeClr val="accent1">
                  <a:lumMod val="60000"/>
                </a:schemeClr>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C-57AC-4531-B5AE-729C85665BAF}"/>
              </c:ext>
            </c:extLst>
          </c:dPt>
          <c:dLbls>
            <c:dLbl>
              <c:idx val="0"/>
              <c:layout>
                <c:manualLayout>
                  <c:x val="-0.16203485028932199"/>
                  <c:y val="-0.24046449263602679"/>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7AC-4531-B5AE-729C85665BAF}"/>
                </c:ext>
              </c:extLst>
            </c:dLbl>
            <c:dLbl>
              <c:idx val="1"/>
              <c:layout>
                <c:manualLayout>
                  <c:x val="0.18317345575597357"/>
                  <c:y val="0.12985462273514076"/>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7AC-4531-B5AE-729C85665BAF}"/>
                </c:ext>
              </c:extLst>
            </c:dLbl>
            <c:dLbl>
              <c:idx val="2"/>
              <c:layout>
                <c:manualLayout>
                  <c:x val="9.2025608116614241E-2"/>
                  <c:y val="0.12399387436793503"/>
                </c:manualLayout>
              </c:layout>
              <c:showLegendKey val="0"/>
              <c:showVal val="1"/>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7AC-4531-B5AE-729C85665BAF}"/>
                </c:ext>
              </c:extLst>
            </c:dLbl>
            <c:spPr>
              <a:noFill/>
              <a:ln>
                <a:noFill/>
              </a:ln>
              <a:effectLst/>
            </c:spPr>
            <c:txPr>
              <a:bodyPr rot="0" spcFirstLastPara="1" vertOverflow="ellipsis" vert="horz" wrap="square" lIns="38100" tIns="19050" rIns="38100" bIns="19050" anchor="ctr" anchorCtr="1">
                <a:spAutoFit/>
              </a:bodyPr>
              <a:lstStyle/>
              <a:p>
                <a:pPr>
                  <a:defRPr sz="1800" b="0" i="0" u="none" strike="noStrike" kern="1200" baseline="0">
                    <a:solidFill>
                      <a:schemeClr val="tx1">
                        <a:lumMod val="85000"/>
                        <a:lumOff val="15000"/>
                      </a:schemeClr>
                    </a:solidFill>
                    <a:latin typeface="Calibri Light" panose="020F0302020204030204" pitchFamily="34" charset="0"/>
                    <a:ea typeface="Calibri Light" panose="020F0302020204030204" pitchFamily="34" charset="0"/>
                    <a:cs typeface="Calibri Light" panose="020F0302020204030204" pitchFamily="34" charset="0"/>
                  </a:defRPr>
                </a:pPr>
                <a:endParaRPr lang="en-US"/>
              </a:p>
            </c:txPr>
            <c:showLegendKey val="0"/>
            <c:showVal val="1"/>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'3_SpeciesType'!$A$20:$A$23</c:f>
              <c:strCache>
                <c:ptCount val="3"/>
                <c:pt idx="0">
                  <c:v>Anadromous Fish</c:v>
                </c:pt>
                <c:pt idx="1">
                  <c:v>Resident Fish</c:v>
                </c:pt>
                <c:pt idx="2">
                  <c:v>Wildlife</c:v>
                </c:pt>
              </c:strCache>
            </c:strRef>
          </c:cat>
          <c:val>
            <c:numRef>
              <c:f>'3_SpeciesType'!$L$20:$L$23</c:f>
              <c:numCache>
                <c:formatCode>"$"#.#,,"M"</c:formatCode>
                <c:ptCount val="3"/>
                <c:pt idx="0">
                  <c:v>210149244</c:v>
                </c:pt>
                <c:pt idx="1">
                  <c:v>52551293</c:v>
                </c:pt>
                <c:pt idx="2">
                  <c:v>23452204</c:v>
                </c:pt>
              </c:numCache>
            </c:numRef>
          </c:val>
          <c:extLst>
            <c:ext xmlns:c16="http://schemas.microsoft.com/office/drawing/2014/chart" uri="{C3380CC4-5D6E-409C-BE32-E72D297353CC}">
              <c16:uniqueId val="{0000000D-57AC-4531-B5AE-729C85665BAF}"/>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chart>
  <c:spPr>
    <a:solidFill>
      <a:schemeClr val="bg1"/>
    </a:solidFill>
    <a:ln w="28575" cap="flat" cmpd="sng" algn="ctr">
      <a:solidFill>
        <a:srgbClr val="0070C0"/>
      </a:solidFill>
      <a:round/>
    </a:ln>
    <a:effectLst/>
  </c:spPr>
  <c:txPr>
    <a:bodyPr/>
    <a:lstStyle/>
    <a:p>
      <a:pPr>
        <a:defRPr/>
      </a:pPr>
      <a:endParaRPr lang="en-US"/>
    </a:p>
  </c:tx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a:pPr>
            <a:r>
              <a:rPr lang="en-US" sz="1600">
                <a:solidFill>
                  <a:schemeClr val="tx1">
                    <a:lumMod val="65000"/>
                    <a:lumOff val="35000"/>
                  </a:schemeClr>
                </a:solidFill>
              </a:rPr>
              <a:t>ESA</a:t>
            </a:r>
            <a:r>
              <a:rPr lang="en-US" sz="1600" baseline="0">
                <a:solidFill>
                  <a:schemeClr val="tx1">
                    <a:lumMod val="65000"/>
                    <a:lumOff val="35000"/>
                  </a:schemeClr>
                </a:solidFill>
              </a:rPr>
              <a:t>-listed Species</a:t>
            </a:r>
            <a:endParaRPr lang="en-US" sz="1600">
              <a:solidFill>
                <a:schemeClr val="tx1">
                  <a:lumMod val="65000"/>
                  <a:lumOff val="35000"/>
                </a:schemeClr>
              </a:solidFill>
            </a:endParaRPr>
          </a:p>
        </c:rich>
      </c:tx>
      <c:overlay val="0"/>
    </c:title>
    <c:autoTitleDeleted val="0"/>
    <c:plotArea>
      <c:layout>
        <c:manualLayout>
          <c:layoutTarget val="inner"/>
          <c:xMode val="edge"/>
          <c:yMode val="edge"/>
          <c:x val="0.23538610430162565"/>
          <c:y val="0.13620420282069565"/>
          <c:w val="0.74760256756248122"/>
          <c:h val="0.76133021622519825"/>
        </c:manualLayout>
      </c:layout>
      <c:barChart>
        <c:barDir val="bar"/>
        <c:grouping val="stacked"/>
        <c:varyColors val="0"/>
        <c:ser>
          <c:idx val="0"/>
          <c:order val="0"/>
          <c:tx>
            <c:strRef>
              <c:f>'4_ESA by Species'!$B$25</c:f>
              <c:strCache>
                <c:ptCount val="1"/>
                <c:pt idx="0">
                  <c:v>Expense </c:v>
                </c:pt>
              </c:strCache>
            </c:strRef>
          </c:tx>
          <c:spPr>
            <a:ln>
              <a:noFill/>
            </a:ln>
            <a:effectLst/>
          </c:spPr>
          <c:invertIfNegative val="0"/>
          <c:cat>
            <c:strRef>
              <c:f>'4_ESA by Species'!$A$26:$A$40</c:f>
              <c:strCache>
                <c:ptCount val="15"/>
                <c:pt idx="0">
                  <c:v>Chum - Columbia River ESU (Threatened)</c:v>
                </c:pt>
                <c:pt idx="1">
                  <c:v>Coho - Lower Columbia River ESU (Threatened)</c:v>
                </c:pt>
                <c:pt idx="2">
                  <c:v>Steelhead - Lower Columbia River DPS (Threatened)</c:v>
                </c:pt>
                <c:pt idx="3">
                  <c:v>Chinook - Lower Columbia River ESU (Threatened)</c:v>
                </c:pt>
                <c:pt idx="4">
                  <c:v>Steelhead - Upper Willamette River DPS (Threatened)</c:v>
                </c:pt>
                <c:pt idx="5">
                  <c:v>Chinook - Upper Willamette River ESU (Threatened)</c:v>
                </c:pt>
                <c:pt idx="6">
                  <c:v>Sockeye - Snake River ESU (Endangered)</c:v>
                </c:pt>
                <c:pt idx="7">
                  <c:v>Chinook - Snake River Fall ESU (Threatened)</c:v>
                </c:pt>
                <c:pt idx="8">
                  <c:v>Sturgeon, White - Kootenai River DPS (Endangered)</c:v>
                </c:pt>
                <c:pt idx="9">
                  <c:v>Chinook - Upper Columbia River Spring ESU (Endangered)</c:v>
                </c:pt>
                <c:pt idx="10">
                  <c:v>Steelhead - Upper Columbia River DPS (Threatened)</c:v>
                </c:pt>
                <c:pt idx="11">
                  <c:v>Trout, Bull (Threatened)</c:v>
                </c:pt>
                <c:pt idx="12">
                  <c:v>Steelhead - Snake River DPS (Threatened)</c:v>
                </c:pt>
                <c:pt idx="13">
                  <c:v>Chinook - Snake River Spring/Summer ESU (Threatened)</c:v>
                </c:pt>
                <c:pt idx="14">
                  <c:v>Steelhead - Middle Columbia River DPS (Threatened)</c:v>
                </c:pt>
              </c:strCache>
            </c:strRef>
          </c:cat>
          <c:val>
            <c:numRef>
              <c:f>'4_ESA by Species'!$B$26:$B$40</c:f>
              <c:numCache>
                <c:formatCode>"$"#,##0</c:formatCode>
                <c:ptCount val="15"/>
                <c:pt idx="0">
                  <c:v>2287465.8438000018</c:v>
                </c:pt>
                <c:pt idx="1">
                  <c:v>3594072.6469999976</c:v>
                </c:pt>
                <c:pt idx="2">
                  <c:v>5135506.1972999908</c:v>
                </c:pt>
                <c:pt idx="3">
                  <c:v>6238602.4692000085</c:v>
                </c:pt>
                <c:pt idx="4">
                  <c:v>3513171.4015999963</c:v>
                </c:pt>
                <c:pt idx="5">
                  <c:v>4209141.1716999989</c:v>
                </c:pt>
                <c:pt idx="6">
                  <c:v>7607977.8289000001</c:v>
                </c:pt>
                <c:pt idx="7">
                  <c:v>10979849.951300021</c:v>
                </c:pt>
                <c:pt idx="8">
                  <c:v>11754054.739300005</c:v>
                </c:pt>
                <c:pt idx="9">
                  <c:v>14709657.951199997</c:v>
                </c:pt>
                <c:pt idx="10">
                  <c:v>16699044.217000017</c:v>
                </c:pt>
                <c:pt idx="11">
                  <c:v>14759729.731900008</c:v>
                </c:pt>
                <c:pt idx="12">
                  <c:v>22441517.994699951</c:v>
                </c:pt>
                <c:pt idx="13">
                  <c:v>24747425.962800004</c:v>
                </c:pt>
                <c:pt idx="14">
                  <c:v>44383471.62960007</c:v>
                </c:pt>
              </c:numCache>
            </c:numRef>
          </c:val>
          <c:extLst>
            <c:ext xmlns:c16="http://schemas.microsoft.com/office/drawing/2014/chart" uri="{C3380CC4-5D6E-409C-BE32-E72D297353CC}">
              <c16:uniqueId val="{00000000-2EE0-4D6F-8525-41EE350B64FB}"/>
            </c:ext>
          </c:extLst>
        </c:ser>
        <c:ser>
          <c:idx val="1"/>
          <c:order val="1"/>
          <c:tx>
            <c:strRef>
              <c:f>'4_ESA by Species'!$C$25</c:f>
              <c:strCache>
                <c:ptCount val="1"/>
                <c:pt idx="0">
                  <c:v>Capital </c:v>
                </c:pt>
              </c:strCache>
            </c:strRef>
          </c:tx>
          <c:spPr>
            <a:effectLst/>
          </c:spPr>
          <c:invertIfNegative val="0"/>
          <c:cat>
            <c:strRef>
              <c:f>'4_ESA by Species'!$A$26:$A$40</c:f>
              <c:strCache>
                <c:ptCount val="15"/>
                <c:pt idx="0">
                  <c:v>Chum - Columbia River ESU (Threatened)</c:v>
                </c:pt>
                <c:pt idx="1">
                  <c:v>Coho - Lower Columbia River ESU (Threatened)</c:v>
                </c:pt>
                <c:pt idx="2">
                  <c:v>Steelhead - Lower Columbia River DPS (Threatened)</c:v>
                </c:pt>
                <c:pt idx="3">
                  <c:v>Chinook - Lower Columbia River ESU (Threatened)</c:v>
                </c:pt>
                <c:pt idx="4">
                  <c:v>Steelhead - Upper Willamette River DPS (Threatened)</c:v>
                </c:pt>
                <c:pt idx="5">
                  <c:v>Chinook - Upper Willamette River ESU (Threatened)</c:v>
                </c:pt>
                <c:pt idx="6">
                  <c:v>Sockeye - Snake River ESU (Endangered)</c:v>
                </c:pt>
                <c:pt idx="7">
                  <c:v>Chinook - Snake River Fall ESU (Threatened)</c:v>
                </c:pt>
                <c:pt idx="8">
                  <c:v>Sturgeon, White - Kootenai River DPS (Endangered)</c:v>
                </c:pt>
                <c:pt idx="9">
                  <c:v>Chinook - Upper Columbia River Spring ESU (Endangered)</c:v>
                </c:pt>
                <c:pt idx="10">
                  <c:v>Steelhead - Upper Columbia River DPS (Threatened)</c:v>
                </c:pt>
                <c:pt idx="11">
                  <c:v>Trout, Bull (Threatened)</c:v>
                </c:pt>
                <c:pt idx="12">
                  <c:v>Steelhead - Snake River DPS (Threatened)</c:v>
                </c:pt>
                <c:pt idx="13">
                  <c:v>Chinook - Snake River Spring/Summer ESU (Threatened)</c:v>
                </c:pt>
                <c:pt idx="14">
                  <c:v>Steelhead - Middle Columbia River DPS (Threatened)</c:v>
                </c:pt>
              </c:strCache>
            </c:strRef>
          </c:cat>
          <c:val>
            <c:numRef>
              <c:f>'4_ESA by Species'!$C$26:$C$40</c:f>
              <c:numCache>
                <c:formatCode>"$"#,##0</c:formatCode>
                <c:ptCount val="15"/>
                <c:pt idx="0">
                  <c:v>142154.35840000003</c:v>
                </c:pt>
                <c:pt idx="1">
                  <c:v>142154.35840000003</c:v>
                </c:pt>
                <c:pt idx="2">
                  <c:v>236760.29460000005</c:v>
                </c:pt>
                <c:pt idx="3">
                  <c:v>236760.29460000005</c:v>
                </c:pt>
                <c:pt idx="4">
                  <c:v>2981636.0699000005</c:v>
                </c:pt>
                <c:pt idx="5">
                  <c:v>2981636.0699000005</c:v>
                </c:pt>
                <c:pt idx="7">
                  <c:v>236760.29460000005</c:v>
                </c:pt>
                <c:pt idx="9">
                  <c:v>535027.23039999988</c:v>
                </c:pt>
                <c:pt idx="10">
                  <c:v>535027.23039999988</c:v>
                </c:pt>
                <c:pt idx="11">
                  <c:v>3732343.6464</c:v>
                </c:pt>
                <c:pt idx="12">
                  <c:v>354848.53969999996</c:v>
                </c:pt>
                <c:pt idx="13">
                  <c:v>354848.53969999996</c:v>
                </c:pt>
                <c:pt idx="14">
                  <c:v>3844601.0048000007</c:v>
                </c:pt>
              </c:numCache>
            </c:numRef>
          </c:val>
          <c:extLst>
            <c:ext xmlns:c16="http://schemas.microsoft.com/office/drawing/2014/chart" uri="{C3380CC4-5D6E-409C-BE32-E72D297353CC}">
              <c16:uniqueId val="{00000001-2EE0-4D6F-8525-41EE350B64FB}"/>
            </c:ext>
          </c:extLst>
        </c:ser>
        <c:dLbls>
          <c:showLegendKey val="0"/>
          <c:showVal val="0"/>
          <c:showCatName val="0"/>
          <c:showSerName val="0"/>
          <c:showPercent val="0"/>
          <c:showBubbleSize val="0"/>
        </c:dLbls>
        <c:gapWidth val="76"/>
        <c:overlap val="100"/>
        <c:axId val="483677416"/>
        <c:axId val="483677808"/>
      </c:barChart>
      <c:catAx>
        <c:axId val="483677416"/>
        <c:scaling>
          <c:orientation val="minMax"/>
        </c:scaling>
        <c:delete val="0"/>
        <c:axPos val="l"/>
        <c:numFmt formatCode="General" sourceLinked="1"/>
        <c:majorTickMark val="out"/>
        <c:minorTickMark val="none"/>
        <c:tickLblPos val="nextTo"/>
        <c:crossAx val="483677808"/>
        <c:crosses val="autoZero"/>
        <c:auto val="1"/>
        <c:lblAlgn val="ctr"/>
        <c:lblOffset val="100"/>
        <c:noMultiLvlLbl val="0"/>
      </c:catAx>
      <c:valAx>
        <c:axId val="483677808"/>
        <c:scaling>
          <c:orientation val="minMax"/>
          <c:max val="50000000"/>
          <c:min val="0"/>
        </c:scaling>
        <c:delete val="0"/>
        <c:axPos val="b"/>
        <c:majorGridlines>
          <c:spPr>
            <a:ln>
              <a:solidFill>
                <a:schemeClr val="bg1">
                  <a:lumMod val="65000"/>
                </a:schemeClr>
              </a:solidFill>
            </a:ln>
          </c:spPr>
        </c:majorGridlines>
        <c:title>
          <c:tx>
            <c:rich>
              <a:bodyPr rot="0" vert="horz"/>
              <a:lstStyle/>
              <a:p>
                <a:pPr>
                  <a:defRPr b="0"/>
                </a:pPr>
                <a:r>
                  <a:rPr lang="en-US" b="0"/>
                  <a:t>(Millions)</a:t>
                </a:r>
              </a:p>
            </c:rich>
          </c:tx>
          <c:overlay val="0"/>
        </c:title>
        <c:numFmt formatCode="&quot;$&quot;#,##0,," sourceLinked="0"/>
        <c:majorTickMark val="out"/>
        <c:minorTickMark val="none"/>
        <c:tickLblPos val="nextTo"/>
        <c:spPr>
          <a:ln>
            <a:solidFill>
              <a:schemeClr val="bg1">
                <a:lumMod val="65000"/>
              </a:schemeClr>
            </a:solidFill>
          </a:ln>
        </c:spPr>
        <c:crossAx val="483677416"/>
        <c:crosses val="autoZero"/>
        <c:crossBetween val="between"/>
        <c:majorUnit val="10000000"/>
      </c:valAx>
      <c:spPr>
        <a:ln>
          <a:solidFill>
            <a:sysClr val="window" lastClr="FFFFFF">
              <a:lumMod val="65000"/>
            </a:sysClr>
          </a:solidFill>
        </a:ln>
      </c:spPr>
    </c:plotArea>
    <c:legend>
      <c:legendPos val="l"/>
      <c:layout>
        <c:manualLayout>
          <c:xMode val="edge"/>
          <c:yMode val="edge"/>
          <c:x val="0.38194648153332056"/>
          <c:y val="0.79587495304068157"/>
          <c:w val="0.127200875054649"/>
          <c:h val="5.1278522299970861E-2"/>
        </c:manualLayout>
      </c:layout>
      <c:overlay val="0"/>
      <c:spPr>
        <a:solidFill>
          <a:sysClr val="window" lastClr="FFFFFF"/>
        </a:solidFill>
      </c:spPr>
      <c:txPr>
        <a:bodyPr/>
        <a:lstStyle/>
        <a:p>
          <a:pPr>
            <a:defRPr sz="1200" baseline="0"/>
          </a:pPr>
          <a:endParaRPr lang="en-US"/>
        </a:p>
      </c:txPr>
    </c:legend>
    <c:plotVisOnly val="1"/>
    <c:dispBlanksAs val="gap"/>
    <c:showDLblsOverMax val="0"/>
  </c:chart>
  <c:spPr>
    <a:solidFill>
      <a:sysClr val="window" lastClr="FFFFFF"/>
    </a:solidFill>
    <a:ln w="28575" cap="flat" cmpd="sng" algn="ctr">
      <a:solidFill>
        <a:srgbClr val="4F81BD"/>
      </a:solidFill>
      <a:prstDash val="solid"/>
    </a:ln>
    <a:effectLst/>
  </c:spPr>
  <c:txPr>
    <a:bodyPr/>
    <a:lstStyle/>
    <a:p>
      <a:pPr>
        <a:defRPr>
          <a:solidFill>
            <a:sysClr val="windowText" lastClr="000000"/>
          </a:solidFill>
          <a:latin typeface="Calibri Light" panose="020F0302020204030204" pitchFamily="34" charset="0"/>
          <a:ea typeface="+mn-ea"/>
          <a:cs typeface="Calibri Light" panose="020F0302020204030204" pitchFamily="34" charset="0"/>
        </a:defRPr>
      </a:pPr>
      <a:endParaRPr lang="en-US"/>
    </a:p>
  </c:txPr>
  <c:printSettings>
    <c:headerFooter/>
    <c:pageMargins b="0.75000000000000044" l="0.7000000000000004" r="0.7000000000000004" t="0.75000000000000044" header="0.30000000000000021" footer="0.3000000000000002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solidFill>
                  <a:schemeClr val="tx1">
                    <a:lumMod val="65000"/>
                    <a:lumOff val="35000"/>
                  </a:schemeClr>
                </a:solidFill>
              </a:rPr>
              <a:t>Provinces</a:t>
            </a:r>
          </a:p>
        </c:rich>
      </c:tx>
      <c:overlay val="0"/>
    </c:title>
    <c:autoTitleDeleted val="0"/>
    <c:plotArea>
      <c:layout>
        <c:manualLayout>
          <c:layoutTarget val="inner"/>
          <c:xMode val="edge"/>
          <c:yMode val="edge"/>
          <c:x val="0.1959660274332817"/>
          <c:y val="0.11043906006969137"/>
          <c:w val="0.7775831392733219"/>
          <c:h val="0.76200250275327874"/>
        </c:manualLayout>
      </c:layout>
      <c:barChart>
        <c:barDir val="bar"/>
        <c:grouping val="clustered"/>
        <c:varyColors val="0"/>
        <c:ser>
          <c:idx val="0"/>
          <c:order val="0"/>
          <c:spPr>
            <a:solidFill>
              <a:schemeClr val="tx2">
                <a:lumMod val="40000"/>
                <a:lumOff val="60000"/>
              </a:schemeClr>
            </a:solidFill>
            <a:effectLst/>
          </c:spPr>
          <c:invertIfNegative val="0"/>
          <c:dPt>
            <c:idx val="0"/>
            <c:invertIfNegative val="0"/>
            <c:bubble3D val="0"/>
            <c:extLst>
              <c:ext xmlns:c16="http://schemas.microsoft.com/office/drawing/2014/chart" uri="{C3380CC4-5D6E-409C-BE32-E72D297353CC}">
                <c16:uniqueId val="{00000000-7FEE-4D26-A36B-86FFF3A5B10A}"/>
              </c:ext>
            </c:extLst>
          </c:dPt>
          <c:dPt>
            <c:idx val="1"/>
            <c:invertIfNegative val="0"/>
            <c:bubble3D val="0"/>
            <c:extLst>
              <c:ext xmlns:c16="http://schemas.microsoft.com/office/drawing/2014/chart" uri="{C3380CC4-5D6E-409C-BE32-E72D297353CC}">
                <c16:uniqueId val="{00000001-7FEE-4D26-A36B-86FFF3A5B10A}"/>
              </c:ext>
            </c:extLst>
          </c:dPt>
          <c:dLbls>
            <c:dLbl>
              <c:idx val="3"/>
              <c:numFmt formatCode="&quot;$&quot;#,," sourceLinked="0"/>
              <c:spPr>
                <a:noFill/>
                <a:ln>
                  <a:noFill/>
                </a:ln>
                <a:effectLst/>
              </c:spPr>
              <c:txPr>
                <a:bodyPr wrap="square" lIns="38100" tIns="19050" rIns="38100" bIns="19050" anchor="ctr">
                  <a:spAutoFit/>
                </a:bodyPr>
                <a:lstStyle/>
                <a:p>
                  <a:pPr>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2-11C5-48DB-8211-BB782F292772}"/>
                </c:ext>
              </c:extLst>
            </c:dLbl>
            <c:dLbl>
              <c:idx val="7"/>
              <c:numFmt formatCode="&quot;$&quot;##,," sourceLinked="0"/>
              <c:spPr>
                <a:noFill/>
                <a:ln>
                  <a:noFill/>
                </a:ln>
                <a:effectLst/>
              </c:spPr>
              <c:txPr>
                <a:bodyPr wrap="square" lIns="38100" tIns="19050" rIns="38100" bIns="19050" anchor="ctr">
                  <a:spAutoFit/>
                </a:bodyPr>
                <a:lstStyle/>
                <a:p>
                  <a:pPr>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3-11C5-48DB-8211-BB782F292772}"/>
                </c:ext>
              </c:extLst>
            </c:dLbl>
            <c:numFmt formatCode="&quot;$&quot;#.#,," sourceLinked="0"/>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'5A_Province'!$M$22:$M$33</c:f>
              <c:strCache>
                <c:ptCount val="12"/>
                <c:pt idx="0">
                  <c:v>OTHER </c:v>
                </c:pt>
                <c:pt idx="1">
                  <c:v>MIDDLE SNAKE</c:v>
                </c:pt>
                <c:pt idx="2">
                  <c:v>UPPER SNAKE</c:v>
                </c:pt>
                <c:pt idx="3">
                  <c:v>COLUMBIA ESTUARY</c:v>
                </c:pt>
                <c:pt idx="4">
                  <c:v>LOWER COLUMBIA</c:v>
                </c:pt>
                <c:pt idx="5">
                  <c:v>BLUE MOUNTAIN</c:v>
                </c:pt>
                <c:pt idx="6">
                  <c:v>MOUNTAIN COLUMBIA</c:v>
                </c:pt>
                <c:pt idx="7">
                  <c:v>COLUMBIA GORGE</c:v>
                </c:pt>
                <c:pt idx="8">
                  <c:v>MOUNTAIN SNAKE</c:v>
                </c:pt>
                <c:pt idx="9">
                  <c:v>INTERMOUNTAIN</c:v>
                </c:pt>
                <c:pt idx="10">
                  <c:v>COLUMBIA CASCADE</c:v>
                </c:pt>
                <c:pt idx="11">
                  <c:v>COLUMBIA PLATEAU</c:v>
                </c:pt>
              </c:strCache>
            </c:strRef>
          </c:cat>
          <c:val>
            <c:numRef>
              <c:f>'5A_Province'!$N$22:$N$33</c:f>
              <c:numCache>
                <c:formatCode>"$"#,##0</c:formatCode>
                <c:ptCount val="12"/>
                <c:pt idx="0">
                  <c:v>4218215.7400000356</c:v>
                </c:pt>
                <c:pt idx="1">
                  <c:v>4550905.789999892</c:v>
                </c:pt>
                <c:pt idx="2">
                  <c:v>5413112.4300000211</c:v>
                </c:pt>
                <c:pt idx="3">
                  <c:v>9010289.429999996</c:v>
                </c:pt>
                <c:pt idx="4">
                  <c:v>13812592.710000014</c:v>
                </c:pt>
                <c:pt idx="5">
                  <c:v>19803143.00999983</c:v>
                </c:pt>
                <c:pt idx="6">
                  <c:v>22237886.599999826</c:v>
                </c:pt>
                <c:pt idx="7">
                  <c:v>26034010.230000407</c:v>
                </c:pt>
                <c:pt idx="8">
                  <c:v>28684175.479999442</c:v>
                </c:pt>
                <c:pt idx="9">
                  <c:v>29498825.400003094</c:v>
                </c:pt>
                <c:pt idx="10">
                  <c:v>29748621.800001059</c:v>
                </c:pt>
                <c:pt idx="11">
                  <c:v>71553907.390012965</c:v>
                </c:pt>
              </c:numCache>
            </c:numRef>
          </c:val>
          <c:extLst>
            <c:ext xmlns:c16="http://schemas.microsoft.com/office/drawing/2014/chart" uri="{C3380CC4-5D6E-409C-BE32-E72D297353CC}">
              <c16:uniqueId val="{0000000C-7FEE-4D26-A36B-86FFF3A5B10A}"/>
            </c:ext>
          </c:extLst>
        </c:ser>
        <c:ser>
          <c:idx val="1"/>
          <c:order val="1"/>
          <c:tx>
            <c:v>(millions)</c:v>
          </c:tx>
          <c:invertIfNegative val="0"/>
          <c:val>
            <c:numLit>
              <c:formatCode>General</c:formatCode>
              <c:ptCount val="1"/>
              <c:pt idx="0">
                <c:v>1</c:v>
              </c:pt>
            </c:numLit>
          </c:val>
          <c:extLst>
            <c:ext xmlns:c16="http://schemas.microsoft.com/office/drawing/2014/chart" uri="{C3380CC4-5D6E-409C-BE32-E72D297353CC}">
              <c16:uniqueId val="{00000002-48F8-416C-B1CE-5B672B658A30}"/>
            </c:ext>
          </c:extLst>
        </c:ser>
        <c:dLbls>
          <c:showLegendKey val="0"/>
          <c:showVal val="0"/>
          <c:showCatName val="0"/>
          <c:showSerName val="0"/>
          <c:showPercent val="0"/>
          <c:showBubbleSize val="0"/>
        </c:dLbls>
        <c:gapWidth val="100"/>
        <c:axId val="246305327"/>
        <c:axId val="246304911"/>
      </c:barChart>
      <c:valAx>
        <c:axId val="246304911"/>
        <c:scaling>
          <c:orientation val="minMax"/>
        </c:scaling>
        <c:delete val="0"/>
        <c:axPos val="b"/>
        <c:majorGridlines>
          <c:spPr>
            <a:ln>
              <a:solidFill>
                <a:schemeClr val="bg1">
                  <a:lumMod val="85000"/>
                </a:schemeClr>
              </a:solidFill>
            </a:ln>
          </c:spPr>
        </c:majorGridlines>
        <c:title>
          <c:tx>
            <c:rich>
              <a:bodyPr anchor="b" anchorCtr="1"/>
              <a:lstStyle/>
              <a:p>
                <a:pPr algn="ctr">
                  <a:defRPr>
                    <a:solidFill>
                      <a:sysClr val="windowText" lastClr="000000"/>
                    </a:solidFill>
                  </a:defRPr>
                </a:pPr>
                <a:r>
                  <a:rPr lang="en-US" b="0">
                    <a:solidFill>
                      <a:sysClr val="windowText" lastClr="000000"/>
                    </a:solidFill>
                  </a:rPr>
                  <a:t>(Millions)</a:t>
                </a:r>
              </a:p>
            </c:rich>
          </c:tx>
          <c:layout>
            <c:manualLayout>
              <c:xMode val="edge"/>
              <c:yMode val="edge"/>
              <c:x val="0.51583469170613139"/>
              <c:y val="0.94584809907208955"/>
            </c:manualLayout>
          </c:layout>
          <c:overlay val="0"/>
        </c:title>
        <c:numFmt formatCode="&quot;$&quot;#,##0,," sourceLinked="0"/>
        <c:majorTickMark val="out"/>
        <c:minorTickMark val="none"/>
        <c:tickLblPos val="nextTo"/>
        <c:spPr>
          <a:ln>
            <a:solidFill>
              <a:schemeClr val="bg1">
                <a:lumMod val="85000"/>
              </a:schemeClr>
            </a:solidFill>
          </a:ln>
        </c:spPr>
        <c:crossAx val="246305327"/>
        <c:crosses val="autoZero"/>
        <c:crossBetween val="between"/>
      </c:valAx>
      <c:catAx>
        <c:axId val="246305327"/>
        <c:scaling>
          <c:orientation val="minMax"/>
        </c:scaling>
        <c:delete val="0"/>
        <c:axPos val="l"/>
        <c:numFmt formatCode="General" sourceLinked="1"/>
        <c:majorTickMark val="out"/>
        <c:minorTickMark val="none"/>
        <c:tickLblPos val="nextTo"/>
        <c:spPr>
          <a:ln>
            <a:solidFill>
              <a:schemeClr val="bg1">
                <a:lumMod val="85000"/>
              </a:schemeClr>
            </a:solidFill>
          </a:ln>
        </c:spPr>
        <c:crossAx val="246304911"/>
        <c:crosses val="autoZero"/>
        <c:auto val="1"/>
        <c:lblAlgn val="ctr"/>
        <c:lblOffset val="100"/>
        <c:noMultiLvlLbl val="0"/>
      </c:catAx>
      <c:spPr>
        <a:ln>
          <a:solidFill>
            <a:schemeClr val="bg1">
              <a:lumMod val="75000"/>
            </a:schemeClr>
          </a:solidFill>
        </a:ln>
      </c:spPr>
    </c:plotArea>
    <c:plotVisOnly val="1"/>
    <c:dispBlanksAs val="gap"/>
    <c:showDLblsOverMax val="0"/>
  </c:chart>
  <c:spPr>
    <a:solidFill>
      <a:schemeClr val="lt1"/>
    </a:solidFill>
    <a:ln w="28575" cap="flat" cmpd="sng" algn="ctr">
      <a:solidFill>
        <a:schemeClr val="accent1"/>
      </a:solidFill>
      <a:prstDash val="solid"/>
    </a:ln>
    <a:effectLst/>
  </c:spPr>
  <c:txPr>
    <a:bodyPr/>
    <a:lstStyle/>
    <a:p>
      <a:pPr>
        <a:defRPr>
          <a:solidFill>
            <a:schemeClr val="dk1"/>
          </a:solidFill>
          <a:latin typeface="Calibri Light" panose="020F0302020204030204" pitchFamily="34" charset="0"/>
          <a:ea typeface="+mn-ea"/>
          <a:cs typeface="Calibri Light" panose="020F0302020204030204" pitchFamily="34" charset="0"/>
        </a:defRPr>
      </a:pPr>
      <a:endParaRPr lang="en-US"/>
    </a:p>
  </c:txPr>
  <c:printSettings>
    <c:headerFooter/>
    <c:pageMargins b="0.75000000000000022" l="0.70000000000000018" r="0.70000000000000018" t="0.75000000000000022" header="0.3000000000000001" footer="0.30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dk1"/>
                </a:solidFill>
                <a:latin typeface="Calibri Light" panose="020F0302020204030204" pitchFamily="34" charset="0"/>
                <a:ea typeface="+mn-ea"/>
                <a:cs typeface="Calibri Light" panose="020F0302020204030204" pitchFamily="34" charset="0"/>
              </a:defRPr>
            </a:pPr>
            <a:r>
              <a:rPr lang="en-US" sz="1600" b="1">
                <a:solidFill>
                  <a:schemeClr val="tx1">
                    <a:lumMod val="65000"/>
                    <a:lumOff val="35000"/>
                  </a:schemeClr>
                </a:solidFill>
              </a:rPr>
              <a:t>Subbasins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dk1"/>
              </a:solidFill>
              <a:latin typeface="Calibri Light" panose="020F0302020204030204" pitchFamily="34" charset="0"/>
              <a:ea typeface="+mn-ea"/>
              <a:cs typeface="Calibri Light" panose="020F0302020204030204" pitchFamily="34" charset="0"/>
            </a:defRPr>
          </a:pPr>
          <a:endParaRPr lang="en-US"/>
        </a:p>
      </c:txPr>
    </c:title>
    <c:autoTitleDeleted val="0"/>
    <c:plotArea>
      <c:layout>
        <c:manualLayout>
          <c:layoutTarget val="inner"/>
          <c:xMode val="edge"/>
          <c:yMode val="edge"/>
          <c:x val="0.25596491032680319"/>
          <c:y val="4.1289723238835091E-2"/>
          <c:w val="0.68954660370423992"/>
          <c:h val="0.91522583873159968"/>
        </c:manualLayout>
      </c:layout>
      <c:barChart>
        <c:barDir val="bar"/>
        <c:grouping val="clustered"/>
        <c:varyColors val="0"/>
        <c:ser>
          <c:idx val="0"/>
          <c:order val="0"/>
          <c:spPr>
            <a:solidFill>
              <a:schemeClr val="accent1"/>
            </a:solidFill>
            <a:ln>
              <a:noFill/>
            </a:ln>
            <a:effectLst/>
          </c:spPr>
          <c:invertIfNegative val="0"/>
          <c:dLbls>
            <c:dLbl>
              <c:idx val="0"/>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7-5C81-44B8-8D12-6C44FC4D3155}"/>
                </c:ext>
              </c:extLst>
            </c:dLbl>
            <c:dLbl>
              <c:idx val="1"/>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6-5C81-44B8-8D12-6C44FC4D3155}"/>
                </c:ext>
              </c:extLst>
            </c:dLbl>
            <c:dLbl>
              <c:idx val="2"/>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5-5C81-44B8-8D12-6C44FC4D3155}"/>
                </c:ext>
              </c:extLst>
            </c:dLbl>
            <c:dLbl>
              <c:idx val="3"/>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4-5C81-44B8-8D12-6C44FC4D3155}"/>
                </c:ext>
              </c:extLst>
            </c:dLbl>
            <c:dLbl>
              <c:idx val="4"/>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3-5C81-44B8-8D12-6C44FC4D3155}"/>
                </c:ext>
              </c:extLst>
            </c:dLbl>
            <c:dLbl>
              <c:idx val="5"/>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2-5C81-44B8-8D12-6C44FC4D3155}"/>
                </c:ext>
              </c:extLst>
            </c:dLbl>
            <c:dLbl>
              <c:idx val="6"/>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1-5C81-44B8-8D12-6C44FC4D3155}"/>
                </c:ext>
              </c:extLst>
            </c:dLbl>
            <c:dLbl>
              <c:idx val="7"/>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30-5C81-44B8-8D12-6C44FC4D3155}"/>
                </c:ext>
              </c:extLst>
            </c:dLbl>
            <c:dLbl>
              <c:idx val="8"/>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F-5C81-44B8-8D12-6C44FC4D3155}"/>
                </c:ext>
              </c:extLst>
            </c:dLbl>
            <c:dLbl>
              <c:idx val="9"/>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E-5C81-44B8-8D12-6C44FC4D3155}"/>
                </c:ext>
              </c:extLst>
            </c:dLbl>
            <c:dLbl>
              <c:idx val="10"/>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D-5C81-44B8-8D12-6C44FC4D3155}"/>
                </c:ext>
              </c:extLst>
            </c:dLbl>
            <c:dLbl>
              <c:idx val="11"/>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C-5C81-44B8-8D12-6C44FC4D3155}"/>
                </c:ext>
              </c:extLst>
            </c:dLbl>
            <c:dLbl>
              <c:idx val="12"/>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B-5C81-44B8-8D12-6C44FC4D3155}"/>
                </c:ext>
              </c:extLst>
            </c:dLbl>
            <c:dLbl>
              <c:idx val="13"/>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A-5C81-44B8-8D12-6C44FC4D3155}"/>
                </c:ext>
              </c:extLst>
            </c:dLbl>
            <c:dLbl>
              <c:idx val="14"/>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9-5C81-44B8-8D12-6C44FC4D3155}"/>
                </c:ext>
              </c:extLst>
            </c:dLbl>
            <c:dLbl>
              <c:idx val="15"/>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8-5C81-44B8-8D12-6C44FC4D3155}"/>
                </c:ext>
              </c:extLst>
            </c:dLbl>
            <c:dLbl>
              <c:idx val="16"/>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7-5C81-44B8-8D12-6C44FC4D3155}"/>
                </c:ext>
              </c:extLst>
            </c:dLbl>
            <c:dLbl>
              <c:idx val="17"/>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6-5C81-44B8-8D12-6C44FC4D3155}"/>
                </c:ext>
              </c:extLst>
            </c:dLbl>
            <c:dLbl>
              <c:idx val="18"/>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5-5C81-44B8-8D12-6C44FC4D3155}"/>
                </c:ext>
              </c:extLst>
            </c:dLbl>
            <c:dLbl>
              <c:idx val="19"/>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4-5C81-44B8-8D12-6C44FC4D3155}"/>
                </c:ext>
              </c:extLst>
            </c:dLbl>
            <c:dLbl>
              <c:idx val="20"/>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3-5C81-44B8-8D12-6C44FC4D3155}"/>
                </c:ext>
              </c:extLst>
            </c:dLbl>
            <c:dLbl>
              <c:idx val="21"/>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2-5C81-44B8-8D12-6C44FC4D3155}"/>
                </c:ext>
              </c:extLst>
            </c:dLbl>
            <c:dLbl>
              <c:idx val="22"/>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1-5C81-44B8-8D12-6C44FC4D3155}"/>
                </c:ext>
              </c:extLst>
            </c:dLbl>
            <c:dLbl>
              <c:idx val="23"/>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20-5C81-44B8-8D12-6C44FC4D3155}"/>
                </c:ext>
              </c:extLst>
            </c:dLbl>
            <c:dLbl>
              <c:idx val="24"/>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F-5C81-44B8-8D12-6C44FC4D3155}"/>
                </c:ext>
              </c:extLst>
            </c:dLbl>
            <c:dLbl>
              <c:idx val="25"/>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E-5C81-44B8-8D12-6C44FC4D3155}"/>
                </c:ext>
              </c:extLst>
            </c:dLbl>
            <c:dLbl>
              <c:idx val="26"/>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D-5C81-44B8-8D12-6C44FC4D3155}"/>
                </c:ext>
              </c:extLst>
            </c:dLbl>
            <c:dLbl>
              <c:idx val="27"/>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C-5C81-44B8-8D12-6C44FC4D3155}"/>
                </c:ext>
              </c:extLst>
            </c:dLbl>
            <c:dLbl>
              <c:idx val="28"/>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B-5C81-44B8-8D12-6C44FC4D3155}"/>
                </c:ext>
              </c:extLst>
            </c:dLbl>
            <c:dLbl>
              <c:idx val="29"/>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A-5C81-44B8-8D12-6C44FC4D3155}"/>
                </c:ext>
              </c:extLst>
            </c:dLbl>
            <c:dLbl>
              <c:idx val="30"/>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9-5C81-44B8-8D12-6C44FC4D3155}"/>
                </c:ext>
              </c:extLst>
            </c:dLbl>
            <c:dLbl>
              <c:idx val="31"/>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8-5C81-44B8-8D12-6C44FC4D3155}"/>
                </c:ext>
              </c:extLst>
            </c:dLbl>
            <c:dLbl>
              <c:idx val="32"/>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7-5C81-44B8-8D12-6C44FC4D3155}"/>
                </c:ext>
              </c:extLst>
            </c:dLbl>
            <c:dLbl>
              <c:idx val="33"/>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6-5C81-44B8-8D12-6C44FC4D3155}"/>
                </c:ext>
              </c:extLst>
            </c:dLbl>
            <c:dLbl>
              <c:idx val="34"/>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5-5C81-44B8-8D12-6C44FC4D3155}"/>
                </c:ext>
              </c:extLst>
            </c:dLbl>
            <c:dLbl>
              <c:idx val="35"/>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4-5C81-44B8-8D12-6C44FC4D3155}"/>
                </c:ext>
              </c:extLst>
            </c:dLbl>
            <c:dLbl>
              <c:idx val="36"/>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3-5C81-44B8-8D12-6C44FC4D3155}"/>
                </c:ext>
              </c:extLst>
            </c:dLbl>
            <c:dLbl>
              <c:idx val="37"/>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2-5C81-44B8-8D12-6C44FC4D3155}"/>
                </c:ext>
              </c:extLst>
            </c:dLbl>
            <c:dLbl>
              <c:idx val="38"/>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1-5C81-44B8-8D12-6C44FC4D3155}"/>
                </c:ext>
              </c:extLst>
            </c:dLbl>
            <c:dLbl>
              <c:idx val="39"/>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10-5C81-44B8-8D12-6C44FC4D3155}"/>
                </c:ext>
              </c:extLst>
            </c:dLbl>
            <c:dLbl>
              <c:idx val="40"/>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F-5C81-44B8-8D12-6C44FC4D3155}"/>
                </c:ext>
              </c:extLst>
            </c:dLbl>
            <c:dLbl>
              <c:idx val="41"/>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E-5C81-44B8-8D12-6C44FC4D3155}"/>
                </c:ext>
              </c:extLst>
            </c:dLbl>
            <c:dLbl>
              <c:idx val="42"/>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D-5C81-44B8-8D12-6C44FC4D3155}"/>
                </c:ext>
              </c:extLst>
            </c:dLbl>
            <c:dLbl>
              <c:idx val="43"/>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C-5C81-44B8-8D12-6C44FC4D3155}"/>
                </c:ext>
              </c:extLst>
            </c:dLbl>
            <c:dLbl>
              <c:idx val="44"/>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B-5C81-44B8-8D12-6C44FC4D3155}"/>
                </c:ext>
              </c:extLst>
            </c:dLbl>
            <c:dLbl>
              <c:idx val="45"/>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A-5C81-44B8-8D12-6C44FC4D3155}"/>
                </c:ext>
              </c:extLst>
            </c:dLbl>
            <c:dLbl>
              <c:idx val="46"/>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9-5C81-44B8-8D12-6C44FC4D3155}"/>
                </c:ext>
              </c:extLst>
            </c:dLbl>
            <c:dLbl>
              <c:idx val="47"/>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8-5C81-44B8-8D12-6C44FC4D3155}"/>
                </c:ext>
              </c:extLst>
            </c:dLbl>
            <c:dLbl>
              <c:idx val="48"/>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7-5C81-44B8-8D12-6C44FC4D3155}"/>
                </c:ext>
              </c:extLst>
            </c:dLbl>
            <c:dLbl>
              <c:idx val="49"/>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6-5C81-44B8-8D12-6C44FC4D3155}"/>
                </c:ext>
              </c:extLst>
            </c:dLbl>
            <c:dLbl>
              <c:idx val="50"/>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5-5C81-44B8-8D12-6C44FC4D3155}"/>
                </c:ext>
              </c:extLst>
            </c:dLbl>
            <c:dLbl>
              <c:idx val="51"/>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4-5C81-44B8-8D12-6C44FC4D3155}"/>
                </c:ext>
              </c:extLst>
            </c:dLbl>
            <c:dLbl>
              <c:idx val="52"/>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3-5C81-44B8-8D12-6C44FC4D3155}"/>
                </c:ext>
              </c:extLst>
            </c:dLbl>
            <c:dLbl>
              <c:idx val="53"/>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2-5C81-44B8-8D12-6C44FC4D3155}"/>
                </c:ext>
              </c:extLst>
            </c:dLbl>
            <c:dLbl>
              <c:idx val="54"/>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1-5C81-44B8-8D12-6C44FC4D3155}"/>
                </c:ext>
              </c:extLst>
            </c:dLbl>
            <c:dLbl>
              <c:idx val="55"/>
              <c:numFmt formatCode="&quot;$&quot;#.#,,&quot;M&quot;"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0-5C81-44B8-8D12-6C44FC4D315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'5B_Subbasin'!$A$77:$A$136</c15:sqref>
                  </c15:fullRef>
                </c:ext>
              </c:extLst>
              <c:f>'5B_Subbasin'!$A$81:$A$136</c:f>
              <c:strCache>
                <c:ptCount val="56"/>
                <c:pt idx="0">
                  <c:v>Snake Upper Closed Basin</c:v>
                </c:pt>
                <c:pt idx="1">
                  <c:v>Snake Lower Middle</c:v>
                </c:pt>
                <c:pt idx="2">
                  <c:v>Oregon Closed Basins</c:v>
                </c:pt>
                <c:pt idx="3">
                  <c:v>Big White Salmon</c:v>
                </c:pt>
                <c:pt idx="4">
                  <c:v>Washougal</c:v>
                </c:pt>
                <c:pt idx="5">
                  <c:v>Cowlitz</c:v>
                </c:pt>
                <c:pt idx="6">
                  <c:v>Palouse</c:v>
                </c:pt>
                <c:pt idx="7">
                  <c:v>Lewis</c:v>
                </c:pt>
                <c:pt idx="8">
                  <c:v>Kalama</c:v>
                </c:pt>
                <c:pt idx="9">
                  <c:v>Fifteenmile</c:v>
                </c:pt>
                <c:pt idx="10">
                  <c:v>Little White Salmon</c:v>
                </c:pt>
                <c:pt idx="11">
                  <c:v>Clark Fork</c:v>
                </c:pt>
                <c:pt idx="12">
                  <c:v>Payette</c:v>
                </c:pt>
                <c:pt idx="13">
                  <c:v>Crab</c:v>
                </c:pt>
                <c:pt idx="14">
                  <c:v>Wind</c:v>
                </c:pt>
                <c:pt idx="15">
                  <c:v>Malheur</c:v>
                </c:pt>
                <c:pt idx="16">
                  <c:v>Lake Chelan</c:v>
                </c:pt>
                <c:pt idx="17">
                  <c:v>Asotin</c:v>
                </c:pt>
                <c:pt idx="18">
                  <c:v>Owyhee</c:v>
                </c:pt>
                <c:pt idx="19">
                  <c:v>Elochoman</c:v>
                </c:pt>
                <c:pt idx="20">
                  <c:v>Snake Hells Canyon</c:v>
                </c:pt>
                <c:pt idx="21">
                  <c:v>Imnaha</c:v>
                </c:pt>
                <c:pt idx="22">
                  <c:v>Grays</c:v>
                </c:pt>
                <c:pt idx="23">
                  <c:v>Entiat</c:v>
                </c:pt>
                <c:pt idx="24">
                  <c:v>Puget Sound</c:v>
                </c:pt>
                <c:pt idx="25">
                  <c:v>Boise</c:v>
                </c:pt>
                <c:pt idx="26">
                  <c:v>Other</c:v>
                </c:pt>
                <c:pt idx="27">
                  <c:v>Deschutes</c:v>
                </c:pt>
                <c:pt idx="28">
                  <c:v>Tucannon</c:v>
                </c:pt>
                <c:pt idx="29">
                  <c:v>Sanpoil</c:v>
                </c:pt>
                <c:pt idx="30">
                  <c:v>Coeur D'Alene</c:v>
                </c:pt>
                <c:pt idx="31">
                  <c:v>Columbia Gorge</c:v>
                </c:pt>
                <c:pt idx="32">
                  <c:v>Columbia Lower</c:v>
                </c:pt>
                <c:pt idx="33">
                  <c:v>Columbia Upper Middle</c:v>
                </c:pt>
                <c:pt idx="34">
                  <c:v>Hood</c:v>
                </c:pt>
                <c:pt idx="35">
                  <c:v>Columbia Lower Middle</c:v>
                </c:pt>
                <c:pt idx="36">
                  <c:v>Pend Oreille</c:v>
                </c:pt>
                <c:pt idx="37">
                  <c:v>Snake Upper</c:v>
                </c:pt>
                <c:pt idx="38">
                  <c:v>Snake Lower</c:v>
                </c:pt>
                <c:pt idx="39">
                  <c:v>Flathead</c:v>
                </c:pt>
                <c:pt idx="40">
                  <c:v>Columbia Estuary</c:v>
                </c:pt>
                <c:pt idx="41">
                  <c:v>Methow</c:v>
                </c:pt>
                <c:pt idx="42">
                  <c:v>Walla Walla</c:v>
                </c:pt>
                <c:pt idx="43">
                  <c:v>Wenatchee</c:v>
                </c:pt>
                <c:pt idx="44">
                  <c:v>Spokane</c:v>
                </c:pt>
                <c:pt idx="45">
                  <c:v>Okanogan</c:v>
                </c:pt>
                <c:pt idx="46">
                  <c:v>Willamette</c:v>
                </c:pt>
                <c:pt idx="47">
                  <c:v>Columbia Upper</c:v>
                </c:pt>
                <c:pt idx="48">
                  <c:v>John Day</c:v>
                </c:pt>
                <c:pt idx="49">
                  <c:v>Clearwater</c:v>
                </c:pt>
                <c:pt idx="50">
                  <c:v>Umatilla</c:v>
                </c:pt>
                <c:pt idx="51">
                  <c:v>Salmon</c:v>
                </c:pt>
                <c:pt idx="52">
                  <c:v>Kootenai</c:v>
                </c:pt>
                <c:pt idx="53">
                  <c:v>Klickitat</c:v>
                </c:pt>
                <c:pt idx="54">
                  <c:v>Grande Ronde</c:v>
                </c:pt>
                <c:pt idx="55">
                  <c:v>Yakima</c:v>
                </c:pt>
              </c:strCache>
            </c:strRef>
          </c:cat>
          <c:val>
            <c:numRef>
              <c:extLst>
                <c:ext xmlns:c15="http://schemas.microsoft.com/office/drawing/2012/chart" uri="{02D57815-91ED-43cb-92C2-25804820EDAC}">
                  <c15:fullRef>
                    <c15:sqref>'5B_Subbasin'!$B$77:$B$136</c15:sqref>
                  </c15:fullRef>
                </c:ext>
              </c:extLst>
              <c:f>'5B_Subbasin'!$B$81:$B$136</c:f>
              <c:numCache>
                <c:formatCode>"$"#,##0</c:formatCode>
                <c:ptCount val="56"/>
                <c:pt idx="0">
                  <c:v>38962.82000000016</c:v>
                </c:pt>
                <c:pt idx="1">
                  <c:v>42125.019999999975</c:v>
                </c:pt>
                <c:pt idx="2">
                  <c:v>54271.719999999958</c:v>
                </c:pt>
                <c:pt idx="3">
                  <c:v>97674.030000000042</c:v>
                </c:pt>
                <c:pt idx="4">
                  <c:v>157221.69000000012</c:v>
                </c:pt>
                <c:pt idx="5">
                  <c:v>186603.75000000035</c:v>
                </c:pt>
                <c:pt idx="6">
                  <c:v>199185.94000000009</c:v>
                </c:pt>
                <c:pt idx="7">
                  <c:v>212812.34000000049</c:v>
                </c:pt>
                <c:pt idx="8">
                  <c:v>239307.34000000011</c:v>
                </c:pt>
                <c:pt idx="9">
                  <c:v>263801.98000000505</c:v>
                </c:pt>
                <c:pt idx="10">
                  <c:v>536292.71999999927</c:v>
                </c:pt>
                <c:pt idx="11">
                  <c:v>562079.3399999995</c:v>
                </c:pt>
                <c:pt idx="12">
                  <c:v>661994.23000000045</c:v>
                </c:pt>
                <c:pt idx="13">
                  <c:v>671352.55</c:v>
                </c:pt>
                <c:pt idx="14">
                  <c:v>695336.99999999639</c:v>
                </c:pt>
                <c:pt idx="15">
                  <c:v>783836.91000000481</c:v>
                </c:pt>
                <c:pt idx="16">
                  <c:v>874266.07000000007</c:v>
                </c:pt>
                <c:pt idx="17">
                  <c:v>945491.44999999891</c:v>
                </c:pt>
                <c:pt idx="18">
                  <c:v>1124770.2099999983</c:v>
                </c:pt>
                <c:pt idx="19">
                  <c:v>1158735.2299999991</c:v>
                </c:pt>
                <c:pt idx="20">
                  <c:v>1417995.8900000043</c:v>
                </c:pt>
                <c:pt idx="21">
                  <c:v>1554664.6399999862</c:v>
                </c:pt>
                <c:pt idx="22">
                  <c:v>1660160.8699999996</c:v>
                </c:pt>
                <c:pt idx="23">
                  <c:v>1744049.9699999969</c:v>
                </c:pt>
                <c:pt idx="24">
                  <c:v>1760317.7100000004</c:v>
                </c:pt>
                <c:pt idx="25">
                  <c:v>1917940.7699999996</c:v>
                </c:pt>
                <c:pt idx="26">
                  <c:v>2362260.2800000352</c:v>
                </c:pt>
                <c:pt idx="27">
                  <c:v>2627655.3199996743</c:v>
                </c:pt>
                <c:pt idx="28">
                  <c:v>2661248.7400000016</c:v>
                </c:pt>
                <c:pt idx="29">
                  <c:v>2775590.0100000077</c:v>
                </c:pt>
                <c:pt idx="30">
                  <c:v>3313183.3300000085</c:v>
                </c:pt>
                <c:pt idx="31">
                  <c:v>3511582.2699999893</c:v>
                </c:pt>
                <c:pt idx="32">
                  <c:v>4173848.6199999908</c:v>
                </c:pt>
                <c:pt idx="33">
                  <c:v>4894316.98999999</c:v>
                </c:pt>
                <c:pt idx="34">
                  <c:v>5158223.6899998905</c:v>
                </c:pt>
                <c:pt idx="35">
                  <c:v>5197167.0000000093</c:v>
                </c:pt>
                <c:pt idx="36">
                  <c:v>5367193.6499999212</c:v>
                </c:pt>
                <c:pt idx="37">
                  <c:v>5398448.6000000061</c:v>
                </c:pt>
                <c:pt idx="38">
                  <c:v>5826710.4800000004</c:v>
                </c:pt>
                <c:pt idx="39">
                  <c:v>5970953.8799998583</c:v>
                </c:pt>
                <c:pt idx="40">
                  <c:v>6004789.5800000075</c:v>
                </c:pt>
                <c:pt idx="41">
                  <c:v>6486061.2200000314</c:v>
                </c:pt>
                <c:pt idx="42">
                  <c:v>7071369.7400000244</c:v>
                </c:pt>
                <c:pt idx="43">
                  <c:v>7089803.8899999689</c:v>
                </c:pt>
                <c:pt idx="44">
                  <c:v>7530537.9999998426</c:v>
                </c:pt>
                <c:pt idx="45">
                  <c:v>8660123.6600000393</c:v>
                </c:pt>
                <c:pt idx="46">
                  <c:v>9027968.480000129</c:v>
                </c:pt>
                <c:pt idx="47">
                  <c:v>10512320.409999616</c:v>
                </c:pt>
                <c:pt idx="48">
                  <c:v>11071773.820000593</c:v>
                </c:pt>
                <c:pt idx="49">
                  <c:v>13500877.299999634</c:v>
                </c:pt>
                <c:pt idx="50">
                  <c:v>14720332.409999924</c:v>
                </c:pt>
                <c:pt idx="51">
                  <c:v>15183298.179999495</c:v>
                </c:pt>
                <c:pt idx="52">
                  <c:v>15704853.380000161</c:v>
                </c:pt>
                <c:pt idx="53">
                  <c:v>15771098.540000034</c:v>
                </c:pt>
                <c:pt idx="54">
                  <c:v>15884991.029999908</c:v>
                </c:pt>
                <c:pt idx="55">
                  <c:v>21507111.389998406</c:v>
                </c:pt>
              </c:numCache>
            </c:numRef>
          </c:val>
          <c:extLst>
            <c:ext xmlns:c16="http://schemas.microsoft.com/office/drawing/2014/chart" uri="{C3380CC4-5D6E-409C-BE32-E72D297353CC}">
              <c16:uniqueId val="{00000000-3C35-469A-9BA5-CF3170D51A4C}"/>
            </c:ext>
          </c:extLst>
        </c:ser>
        <c:dLbls>
          <c:showLegendKey val="0"/>
          <c:showVal val="1"/>
          <c:showCatName val="0"/>
          <c:showSerName val="0"/>
          <c:showPercent val="0"/>
          <c:showBubbleSize val="0"/>
        </c:dLbls>
        <c:gapWidth val="182"/>
        <c:axId val="661650936"/>
        <c:axId val="661651264"/>
      </c:barChart>
      <c:catAx>
        <c:axId val="6616509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dk1"/>
                </a:solidFill>
                <a:latin typeface="Calibri" panose="020F0502020204030204" pitchFamily="34" charset="0"/>
                <a:ea typeface="Calibri" panose="020F0502020204030204" pitchFamily="34" charset="0"/>
                <a:cs typeface="Calibri" panose="020F0502020204030204" pitchFamily="34" charset="0"/>
              </a:defRPr>
            </a:pPr>
            <a:endParaRPr lang="en-US"/>
          </a:p>
        </c:txPr>
        <c:crossAx val="661651264"/>
        <c:crosses val="autoZero"/>
        <c:auto val="1"/>
        <c:lblAlgn val="ctr"/>
        <c:lblOffset val="100"/>
        <c:noMultiLvlLbl val="0"/>
      </c:catAx>
      <c:valAx>
        <c:axId val="6616512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dk1"/>
                    </a:solidFill>
                    <a:latin typeface="Calibri Light" panose="020F0302020204030204" pitchFamily="34" charset="0"/>
                    <a:ea typeface="+mn-ea"/>
                    <a:cs typeface="Calibri Light" panose="020F0302020204030204" pitchFamily="34" charset="0"/>
                  </a:defRPr>
                </a:pPr>
                <a:r>
                  <a:rPr lang="en-US"/>
                  <a:t>(Millions)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title>
        <c:numFmt formatCode="&quot;$&quot;#,##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crossAx val="661650936"/>
        <c:crosses val="autoZero"/>
        <c:crossBetween val="between"/>
      </c:valAx>
      <c:spPr>
        <a:noFill/>
        <a:ln>
          <a:solidFill>
            <a:schemeClr val="bg1">
              <a:lumMod val="85000"/>
            </a:schemeClr>
          </a:solid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25400" cap="flat" cmpd="sng" algn="ctr">
      <a:solidFill>
        <a:schemeClr val="accent1"/>
      </a:solidFill>
      <a:prstDash val="solid"/>
      <a:round/>
    </a:ln>
    <a:effectLst/>
  </c:spPr>
  <c:txPr>
    <a:bodyPr/>
    <a:lstStyle/>
    <a:p>
      <a:pPr>
        <a:defRPr>
          <a:solidFill>
            <a:schemeClr val="dk1"/>
          </a:solidFill>
          <a:latin typeface="Calibri Light" panose="020F0302020204030204" pitchFamily="34" charset="0"/>
          <a:ea typeface="+mn-ea"/>
          <a:cs typeface="Calibri Light" panose="020F030202020403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a:t>Geographic Locations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5314657121095865"/>
          <c:y val="0.18944625176490376"/>
          <c:w val="0.68574055874959172"/>
          <c:h val="0.77420474211381252"/>
        </c:manualLayout>
      </c:layout>
      <c:pieChart>
        <c:varyColors val="1"/>
        <c:ser>
          <c:idx val="0"/>
          <c:order val="0"/>
          <c:spPr>
            <a:ln>
              <a:noFill/>
            </a:ln>
            <a:effectLst>
              <a:outerShdw blurRad="50800" dist="38100" dir="2700000" algn="tl" rotWithShape="0">
                <a:prstClr val="black">
                  <a:alpha val="40000"/>
                </a:prstClr>
              </a:outerShdw>
            </a:effectLst>
          </c:spPr>
          <c:dPt>
            <c:idx val="0"/>
            <c:bubble3D val="0"/>
            <c:spPr>
              <a:solidFill>
                <a:schemeClr val="accent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1-66B1-4F79-A738-B541D9B18C30}"/>
              </c:ext>
            </c:extLst>
          </c:dPt>
          <c:dPt>
            <c:idx val="1"/>
            <c:bubble3D val="0"/>
            <c:spPr>
              <a:solidFill>
                <a:schemeClr val="accent2"/>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2-66B1-4F79-A738-B541D9B18C30}"/>
              </c:ext>
            </c:extLst>
          </c:dPt>
          <c:dPt>
            <c:idx val="2"/>
            <c:bubble3D val="0"/>
            <c:spPr>
              <a:solidFill>
                <a:schemeClr val="accent3"/>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3-66B1-4F79-A738-B541D9B18C30}"/>
              </c:ext>
            </c:extLst>
          </c:dPt>
          <c:dPt>
            <c:idx val="3"/>
            <c:bubble3D val="0"/>
            <c:spPr>
              <a:solidFill>
                <a:schemeClr val="accent4"/>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4-66B1-4F79-A738-B541D9B18C30}"/>
              </c:ext>
            </c:extLst>
          </c:dPt>
          <c:dPt>
            <c:idx val="4"/>
            <c:bubble3D val="0"/>
            <c:spPr>
              <a:solidFill>
                <a:schemeClr val="accent5"/>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5-66B1-4F79-A738-B541D9B18C30}"/>
              </c:ext>
            </c:extLst>
          </c:dPt>
          <c:dPt>
            <c:idx val="5"/>
            <c:bubble3D val="0"/>
            <c:spPr>
              <a:solidFill>
                <a:schemeClr val="accent6"/>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7-66B1-4F79-A738-B541D9B18C30}"/>
              </c:ext>
            </c:extLst>
          </c:dPt>
          <c:dPt>
            <c:idx val="6"/>
            <c:bubble3D val="0"/>
            <c:spPr>
              <a:solidFill>
                <a:schemeClr val="accent1">
                  <a:lumMod val="60000"/>
                </a:schemeClr>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6-66B1-4F79-A738-B541D9B18C30}"/>
              </c:ext>
            </c:extLst>
          </c:dPt>
          <c:dLbls>
            <c:dLbl>
              <c:idx val="0"/>
              <c:layout>
                <c:manualLayout>
                  <c:x val="-0.23324919486569395"/>
                  <c:y val="4.8473224036545665E-2"/>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1-66B1-4F79-A738-B541D9B18C30}"/>
                </c:ext>
              </c:extLst>
            </c:dLbl>
            <c:dLbl>
              <c:idx val="1"/>
              <c:layout>
                <c:manualLayout>
                  <c:x val="0.11551389444310028"/>
                  <c:y val="-0.20369070376792525"/>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2-66B1-4F79-A738-B541D9B18C30}"/>
                </c:ext>
              </c:extLst>
            </c:dLbl>
            <c:dLbl>
              <c:idx val="2"/>
              <c:layout>
                <c:manualLayout>
                  <c:x val="0.16159255503056941"/>
                  <c:y val="0.13427585396131553"/>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3-66B1-4F79-A738-B541D9B18C30}"/>
                </c:ext>
              </c:extLst>
            </c:dLbl>
            <c:dLbl>
              <c:idx val="3"/>
              <c:layout>
                <c:manualLayout>
                  <c:x val="3.1787448304046721E-2"/>
                  <c:y val="0.10573284164614374"/>
                </c:manualLayout>
              </c:layout>
              <c:spPr>
                <a:noFill/>
                <a:ln w="9525" cap="flat" cmpd="sng" algn="ctr">
                  <a:noFill/>
                  <a:prstDash val="solid"/>
                  <a:round/>
                  <a:headEnd type="none" w="med" len="med"/>
                  <a:tailEnd type="none" w="med" len="med"/>
                  <a:extLst>
                    <a:ext uri="{C807C97D-BFC1-408E-A445-0C87EB9F89A2}">
                      <ask:lineSketchStyleProps xmlns:ask="http://schemas.microsoft.com/office/drawing/2018/sketchyshapes" sd="0">
                        <a:custGeom>
                          <a:avLst/>
                          <a:gdLst/>
                          <a:ahLst/>
                          <a:cxnLst/>
                          <a:rect l="0" t="0" r="0" b="0"/>
                          <a:pathLst/>
                        </a:custGeom>
                        <ask:type/>
                      </ask:lineSketchStyleProps>
                    </a:ext>
                  </a:extLst>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chemeClr val="bg1"/>
                      </a:solidFill>
                      <a:latin typeface="+mn-lt"/>
                      <a:ea typeface="+mn-ea"/>
                      <a:cs typeface="+mn-cs"/>
                    </a:defRPr>
                  </a:pPr>
                  <a:endParaRPr lang="en-US"/>
                </a:p>
              </c:txPr>
              <c:dLblPos val="bestFit"/>
              <c:showLegendKey val="0"/>
              <c:showVal val="1"/>
              <c:showCatName val="1"/>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4-66B1-4F79-A738-B541D9B18C30}"/>
                </c:ext>
              </c:extLst>
            </c:dLbl>
            <c:dLbl>
              <c:idx val="4"/>
              <c:delete val="1"/>
              <c:extLst>
                <c:ext xmlns:c15="http://schemas.microsoft.com/office/drawing/2012/chart" uri="{CE6537A1-D6FC-4f65-9D91-7224C49458BB}"/>
                <c:ext xmlns:c16="http://schemas.microsoft.com/office/drawing/2014/chart" uri="{C3380CC4-5D6E-409C-BE32-E72D297353CC}">
                  <c16:uniqueId val="{00000005-66B1-4F79-A738-B541D9B18C30}"/>
                </c:ext>
              </c:extLst>
            </c:dLbl>
            <c:dLbl>
              <c:idx val="5"/>
              <c:delete val="1"/>
              <c:extLst>
                <c:ext xmlns:c15="http://schemas.microsoft.com/office/drawing/2012/chart" uri="{CE6537A1-D6FC-4f65-9D91-7224C49458BB}"/>
                <c:ext xmlns:c16="http://schemas.microsoft.com/office/drawing/2014/chart" uri="{C3380CC4-5D6E-409C-BE32-E72D297353CC}">
                  <c16:uniqueId val="{00000007-66B1-4F79-A738-B541D9B18C30}"/>
                </c:ext>
              </c:extLst>
            </c:dLbl>
            <c:dLbl>
              <c:idx val="6"/>
              <c:delete val="1"/>
              <c:extLst>
                <c:ext xmlns:c15="http://schemas.microsoft.com/office/drawing/2012/chart" uri="{CE6537A1-D6FC-4f65-9D91-7224C49458BB}"/>
                <c:ext xmlns:c16="http://schemas.microsoft.com/office/drawing/2014/chart" uri="{C3380CC4-5D6E-409C-BE32-E72D297353CC}">
                  <c16:uniqueId val="{00000006-66B1-4F79-A738-B541D9B18C30}"/>
                </c:ext>
              </c:extLst>
            </c:dLbl>
            <c:spPr>
              <a:noFill/>
              <a:ln>
                <a:noFill/>
              </a:ln>
              <a:effectLst/>
            </c:spPr>
            <c:txPr>
              <a:bodyPr rot="0" spcFirstLastPara="1" vertOverflow="clip" horzOverflow="clip" vert="horz" wrap="square" lIns="36576" tIns="18288" rIns="36576" bIns="18288" anchor="ctr" anchorCtr="1">
                <a:spAutoFit/>
              </a:bodyPr>
              <a:lstStyle/>
              <a:p>
                <a:pPr>
                  <a:defRPr sz="1000" b="0" i="0" u="none" strike="noStrike" kern="1200" baseline="0">
                    <a:solidFill>
                      <a:schemeClr val="dk1">
                        <a:lumMod val="65000"/>
                        <a:lumOff val="35000"/>
                      </a:schemeClr>
                    </a:solidFill>
                    <a:latin typeface="+mn-lt"/>
                    <a:ea typeface="+mn-ea"/>
                    <a:cs typeface="+mn-cs"/>
                  </a:defRPr>
                </a:pPr>
                <a:endParaRPr lang="en-US"/>
              </a:p>
            </c:txPr>
            <c:dLblPos val="bestFit"/>
            <c:showLegendKey val="0"/>
            <c:showVal val="1"/>
            <c:showCatName val="1"/>
            <c:showSerName val="0"/>
            <c:showPercent val="1"/>
            <c:showBubbleSize val="0"/>
            <c:separator>
</c:separator>
            <c:showLeaderLines val="0"/>
            <c:extLst>
              <c:ext xmlns:c15="http://schemas.microsoft.com/office/drawing/2012/chart" uri="{CE6537A1-D6FC-4f65-9D91-7224C49458BB}">
                <c15:spPr xmlns:c15="http://schemas.microsoft.com/office/drawing/2012/chart">
                  <a:prstGeom prst="rect">
                    <a:avLst/>
                  </a:prstGeom>
                  <a:noFill/>
                  <a:ln>
                    <a:noFill/>
                  </a:ln>
                </c15:spPr>
              </c:ext>
            </c:extLst>
          </c:dLbls>
          <c:cat>
            <c:strRef>
              <c:f>'6_Geographic Location'!$H$19:$H$25</c:f>
              <c:strCache>
                <c:ptCount val="7"/>
                <c:pt idx="0">
                  <c:v>Washington</c:v>
                </c:pt>
                <c:pt idx="1">
                  <c:v>Oregon</c:v>
                </c:pt>
                <c:pt idx="2">
                  <c:v>Idaho</c:v>
                </c:pt>
                <c:pt idx="3">
                  <c:v>Montana</c:v>
                </c:pt>
                <c:pt idx="4">
                  <c:v>Ocean</c:v>
                </c:pt>
                <c:pt idx="5">
                  <c:v>British Columbia</c:v>
                </c:pt>
                <c:pt idx="6">
                  <c:v>Nevada</c:v>
                </c:pt>
              </c:strCache>
            </c:strRef>
          </c:cat>
          <c:val>
            <c:numRef>
              <c:f>'6_Geographic Location'!$I$19:$I$25</c:f>
              <c:numCache>
                <c:formatCode>"$"#.#,,"M"</c:formatCode>
                <c:ptCount val="7"/>
                <c:pt idx="0">
                  <c:v>118684289.54001603</c:v>
                </c:pt>
                <c:pt idx="1">
                  <c:v>75270809.400019348</c:v>
                </c:pt>
                <c:pt idx="2">
                  <c:v>59062868.649997585</c:v>
                </c:pt>
                <c:pt idx="3">
                  <c:v>8393319.4499998242</c:v>
                </c:pt>
                <c:pt idx="4">
                  <c:v>1271336.3599999999</c:v>
                </c:pt>
                <c:pt idx="5">
                  <c:v>1093086.5199999965</c:v>
                </c:pt>
                <c:pt idx="6">
                  <c:v>789978.04999999935</c:v>
                </c:pt>
              </c:numCache>
            </c:numRef>
          </c:val>
          <c:extLst>
            <c:ext xmlns:c16="http://schemas.microsoft.com/office/drawing/2014/chart" uri="{C3380CC4-5D6E-409C-BE32-E72D297353CC}">
              <c16:uniqueId val="{00000000-66B1-4F79-A738-B541D9B18C30}"/>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rgbClr val="0070C0"/>
      </a:solidFill>
      <a:round/>
    </a:ln>
    <a:effectLst/>
  </c:spPr>
  <c:txPr>
    <a:bodyPr/>
    <a:lstStyle/>
    <a:p>
      <a:pPr>
        <a:defRPr/>
      </a:pPr>
      <a:endParaRPr lang="en-US"/>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dk1"/>
                </a:solidFill>
                <a:latin typeface="Calibri Light" panose="020F0302020204030204" pitchFamily="34" charset="0"/>
                <a:ea typeface="+mn-ea"/>
                <a:cs typeface="Calibri Light" panose="020F0302020204030204" pitchFamily="34" charset="0"/>
              </a:defRPr>
            </a:pPr>
            <a:r>
              <a:rPr lang="en-US" sz="1600" b="1">
                <a:solidFill>
                  <a:schemeClr val="tx1">
                    <a:lumMod val="65000"/>
                    <a:lumOff val="35000"/>
                  </a:schemeClr>
                </a:solidFill>
              </a:rPr>
              <a:t>Contractors</a:t>
            </a:r>
            <a:endParaRPr lang="en-US" sz="16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dk1"/>
              </a:solidFill>
              <a:latin typeface="Calibri Light" panose="020F0302020204030204" pitchFamily="34" charset="0"/>
              <a:ea typeface="+mn-ea"/>
              <a:cs typeface="Calibri Light" panose="020F0302020204030204" pitchFamily="34" charset="0"/>
            </a:defRPr>
          </a:pPr>
          <a:endParaRPr lang="en-US"/>
        </a:p>
      </c:txPr>
    </c:title>
    <c:autoTitleDeleted val="0"/>
    <c:plotArea>
      <c:layout>
        <c:manualLayout>
          <c:layoutTarget val="inner"/>
          <c:xMode val="edge"/>
          <c:yMode val="edge"/>
          <c:x val="0.38596564061080052"/>
          <c:y val="5.0338419701050387E-2"/>
          <c:w val="0.58529914784241743"/>
          <c:h val="0.87332109973157634"/>
        </c:manualLayout>
      </c:layout>
      <c:barChart>
        <c:barDir val="bar"/>
        <c:grouping val="clustered"/>
        <c:varyColors val="0"/>
        <c:ser>
          <c:idx val="0"/>
          <c:order val="0"/>
          <c:spPr>
            <a:solidFill>
              <a:schemeClr val="accent1"/>
            </a:solidFill>
            <a:ln>
              <a:noFill/>
            </a:ln>
            <a:effectLst/>
          </c:spPr>
          <c:invertIfNegative val="0"/>
          <c:dPt>
            <c:idx val="6"/>
            <c:invertIfNegative val="0"/>
            <c:bubble3D val="0"/>
            <c:spPr>
              <a:solidFill>
                <a:srgbClr val="C0504D"/>
              </a:solidFill>
              <a:ln>
                <a:noFill/>
              </a:ln>
              <a:effectLst/>
            </c:spPr>
            <c:extLst>
              <c:ext xmlns:c16="http://schemas.microsoft.com/office/drawing/2014/chart" uri="{C3380CC4-5D6E-409C-BE32-E72D297353CC}">
                <c16:uniqueId val="{00000001-2CDE-417D-9B2F-8D318F74F63C}"/>
              </c:ext>
            </c:extLst>
          </c:dPt>
          <c:dPt>
            <c:idx val="7"/>
            <c:invertIfNegative val="0"/>
            <c:bubble3D val="0"/>
            <c:spPr>
              <a:solidFill>
                <a:srgbClr val="C0504D"/>
              </a:solidFill>
              <a:ln>
                <a:noFill/>
              </a:ln>
              <a:effectLst/>
            </c:spPr>
            <c:extLst>
              <c:ext xmlns:c16="http://schemas.microsoft.com/office/drawing/2014/chart" uri="{C3380CC4-5D6E-409C-BE32-E72D297353CC}">
                <c16:uniqueId val="{00000003-2CDE-417D-9B2F-8D318F74F63C}"/>
              </c:ext>
            </c:extLst>
          </c:dPt>
          <c:dPt>
            <c:idx val="8"/>
            <c:invertIfNegative val="0"/>
            <c:bubble3D val="0"/>
            <c:spPr>
              <a:solidFill>
                <a:srgbClr val="C0504D"/>
              </a:solidFill>
              <a:ln>
                <a:noFill/>
              </a:ln>
              <a:effectLst/>
            </c:spPr>
            <c:extLst>
              <c:ext xmlns:c16="http://schemas.microsoft.com/office/drawing/2014/chart" uri="{C3380CC4-5D6E-409C-BE32-E72D297353CC}">
                <c16:uniqueId val="{00000005-2CDE-417D-9B2F-8D318F74F63C}"/>
              </c:ext>
            </c:extLst>
          </c:dPt>
          <c:dPt>
            <c:idx val="9"/>
            <c:invertIfNegative val="0"/>
            <c:bubble3D val="0"/>
            <c:spPr>
              <a:solidFill>
                <a:schemeClr val="accent2"/>
              </a:solidFill>
              <a:ln>
                <a:noFill/>
              </a:ln>
              <a:effectLst/>
            </c:spPr>
            <c:extLst>
              <c:ext xmlns:c16="http://schemas.microsoft.com/office/drawing/2014/chart" uri="{C3380CC4-5D6E-409C-BE32-E72D297353CC}">
                <c16:uniqueId val="{00000007-2CDE-417D-9B2F-8D318F74F63C}"/>
              </c:ext>
            </c:extLst>
          </c:dPt>
          <c:dPt>
            <c:idx val="10"/>
            <c:invertIfNegative val="0"/>
            <c:bubble3D val="0"/>
            <c:spPr>
              <a:solidFill>
                <a:schemeClr val="accent3">
                  <a:lumMod val="75000"/>
                </a:schemeClr>
              </a:solidFill>
              <a:ln>
                <a:noFill/>
              </a:ln>
              <a:effectLst/>
            </c:spPr>
            <c:extLst>
              <c:ext xmlns:c16="http://schemas.microsoft.com/office/drawing/2014/chart" uri="{C3380CC4-5D6E-409C-BE32-E72D297353CC}">
                <c16:uniqueId val="{00000009-2CDE-417D-9B2F-8D318F74F63C}"/>
              </c:ext>
            </c:extLst>
          </c:dPt>
          <c:dPt>
            <c:idx val="11"/>
            <c:invertIfNegative val="0"/>
            <c:bubble3D val="0"/>
            <c:spPr>
              <a:solidFill>
                <a:schemeClr val="accent3">
                  <a:lumMod val="75000"/>
                </a:schemeClr>
              </a:solidFill>
              <a:ln>
                <a:noFill/>
              </a:ln>
              <a:effectLst/>
            </c:spPr>
            <c:extLst>
              <c:ext xmlns:c16="http://schemas.microsoft.com/office/drawing/2014/chart" uri="{C3380CC4-5D6E-409C-BE32-E72D297353CC}">
                <c16:uniqueId val="{0000000B-2CDE-417D-9B2F-8D318F74F63C}"/>
              </c:ext>
            </c:extLst>
          </c:dPt>
          <c:dPt>
            <c:idx val="12"/>
            <c:invertIfNegative val="0"/>
            <c:bubble3D val="0"/>
            <c:spPr>
              <a:solidFill>
                <a:schemeClr val="accent3">
                  <a:lumMod val="75000"/>
                </a:schemeClr>
              </a:solidFill>
              <a:ln>
                <a:noFill/>
              </a:ln>
              <a:effectLst/>
            </c:spPr>
            <c:extLst>
              <c:ext xmlns:c16="http://schemas.microsoft.com/office/drawing/2014/chart" uri="{C3380CC4-5D6E-409C-BE32-E72D297353CC}">
                <c16:uniqueId val="{0000000D-2CDE-417D-9B2F-8D318F74F63C}"/>
              </c:ext>
            </c:extLst>
          </c:dPt>
          <c:dPt>
            <c:idx val="13"/>
            <c:invertIfNegative val="0"/>
            <c:bubble3D val="0"/>
            <c:spPr>
              <a:solidFill>
                <a:schemeClr val="accent3">
                  <a:lumMod val="75000"/>
                </a:schemeClr>
              </a:solidFill>
              <a:ln>
                <a:noFill/>
              </a:ln>
              <a:effectLst/>
            </c:spPr>
            <c:extLst>
              <c:ext xmlns:c16="http://schemas.microsoft.com/office/drawing/2014/chart" uri="{C3380CC4-5D6E-409C-BE32-E72D297353CC}">
                <c16:uniqueId val="{0000000F-2CDE-417D-9B2F-8D318F74F63C}"/>
              </c:ext>
            </c:extLst>
          </c:dPt>
          <c:dPt>
            <c:idx val="14"/>
            <c:invertIfNegative val="0"/>
            <c:bubble3D val="0"/>
            <c:spPr>
              <a:solidFill>
                <a:schemeClr val="accent3">
                  <a:lumMod val="75000"/>
                </a:schemeClr>
              </a:solidFill>
              <a:ln>
                <a:noFill/>
              </a:ln>
              <a:effectLst/>
            </c:spPr>
            <c:extLst>
              <c:ext xmlns:c16="http://schemas.microsoft.com/office/drawing/2014/chart" uri="{C3380CC4-5D6E-409C-BE32-E72D297353CC}">
                <c16:uniqueId val="{00000011-2CDE-417D-9B2F-8D318F74F63C}"/>
              </c:ext>
            </c:extLst>
          </c:dPt>
          <c:dPt>
            <c:idx val="15"/>
            <c:invertIfNegative val="0"/>
            <c:bubble3D val="0"/>
            <c:spPr>
              <a:solidFill>
                <a:schemeClr val="accent3">
                  <a:lumMod val="75000"/>
                </a:schemeClr>
              </a:solidFill>
              <a:ln>
                <a:noFill/>
              </a:ln>
              <a:effectLst/>
            </c:spPr>
            <c:extLst>
              <c:ext xmlns:c16="http://schemas.microsoft.com/office/drawing/2014/chart" uri="{C3380CC4-5D6E-409C-BE32-E72D297353CC}">
                <c16:uniqueId val="{00000013-2CDE-417D-9B2F-8D318F74F63C}"/>
              </c:ext>
            </c:extLst>
          </c:dPt>
          <c:dPt>
            <c:idx val="16"/>
            <c:invertIfNegative val="0"/>
            <c:bubble3D val="0"/>
            <c:spPr>
              <a:solidFill>
                <a:schemeClr val="accent3">
                  <a:lumMod val="75000"/>
                </a:schemeClr>
              </a:solidFill>
              <a:ln>
                <a:noFill/>
              </a:ln>
              <a:effectLst/>
            </c:spPr>
            <c:extLst>
              <c:ext xmlns:c16="http://schemas.microsoft.com/office/drawing/2014/chart" uri="{C3380CC4-5D6E-409C-BE32-E72D297353CC}">
                <c16:uniqueId val="{00000015-2CDE-417D-9B2F-8D318F74F63C}"/>
              </c:ext>
            </c:extLst>
          </c:dPt>
          <c:dPt>
            <c:idx val="17"/>
            <c:invertIfNegative val="0"/>
            <c:bubble3D val="0"/>
            <c:spPr>
              <a:solidFill>
                <a:schemeClr val="accent3">
                  <a:lumMod val="75000"/>
                </a:schemeClr>
              </a:solidFill>
              <a:ln>
                <a:noFill/>
              </a:ln>
              <a:effectLst/>
            </c:spPr>
            <c:extLst>
              <c:ext xmlns:c16="http://schemas.microsoft.com/office/drawing/2014/chart" uri="{C3380CC4-5D6E-409C-BE32-E72D297353CC}">
                <c16:uniqueId val="{00000017-2CDE-417D-9B2F-8D318F74F63C}"/>
              </c:ext>
            </c:extLst>
          </c:dPt>
          <c:dPt>
            <c:idx val="18"/>
            <c:invertIfNegative val="0"/>
            <c:bubble3D val="0"/>
            <c:spPr>
              <a:solidFill>
                <a:schemeClr val="accent3">
                  <a:lumMod val="75000"/>
                </a:schemeClr>
              </a:solidFill>
              <a:ln>
                <a:noFill/>
              </a:ln>
              <a:effectLst/>
            </c:spPr>
            <c:extLst>
              <c:ext xmlns:c16="http://schemas.microsoft.com/office/drawing/2014/chart" uri="{C3380CC4-5D6E-409C-BE32-E72D297353CC}">
                <c16:uniqueId val="{00000019-2CDE-417D-9B2F-8D318F74F63C}"/>
              </c:ext>
            </c:extLst>
          </c:dPt>
          <c:dPt>
            <c:idx val="19"/>
            <c:invertIfNegative val="0"/>
            <c:bubble3D val="0"/>
            <c:spPr>
              <a:solidFill>
                <a:schemeClr val="accent3">
                  <a:lumMod val="75000"/>
                </a:schemeClr>
              </a:solidFill>
              <a:ln>
                <a:noFill/>
              </a:ln>
              <a:effectLst/>
            </c:spPr>
            <c:extLst>
              <c:ext xmlns:c16="http://schemas.microsoft.com/office/drawing/2014/chart" uri="{C3380CC4-5D6E-409C-BE32-E72D297353CC}">
                <c16:uniqueId val="{0000001B-2CDE-417D-9B2F-8D318F74F63C}"/>
              </c:ext>
            </c:extLst>
          </c:dPt>
          <c:dPt>
            <c:idx val="20"/>
            <c:invertIfNegative val="0"/>
            <c:bubble3D val="0"/>
            <c:spPr>
              <a:solidFill>
                <a:schemeClr val="accent3">
                  <a:lumMod val="75000"/>
                </a:schemeClr>
              </a:solidFill>
              <a:ln>
                <a:noFill/>
              </a:ln>
              <a:effectLst/>
            </c:spPr>
            <c:extLst>
              <c:ext xmlns:c16="http://schemas.microsoft.com/office/drawing/2014/chart" uri="{C3380CC4-5D6E-409C-BE32-E72D297353CC}">
                <c16:uniqueId val="{0000001D-2CDE-417D-9B2F-8D318F74F63C}"/>
              </c:ext>
            </c:extLst>
          </c:dPt>
          <c:dPt>
            <c:idx val="21"/>
            <c:invertIfNegative val="0"/>
            <c:bubble3D val="0"/>
            <c:spPr>
              <a:solidFill>
                <a:schemeClr val="accent3">
                  <a:lumMod val="75000"/>
                </a:schemeClr>
              </a:solidFill>
              <a:ln>
                <a:noFill/>
              </a:ln>
              <a:effectLst/>
            </c:spPr>
            <c:extLst>
              <c:ext xmlns:c16="http://schemas.microsoft.com/office/drawing/2014/chart" uri="{C3380CC4-5D6E-409C-BE32-E72D297353CC}">
                <c16:uniqueId val="{0000001F-2CDE-417D-9B2F-8D318F74F63C}"/>
              </c:ext>
            </c:extLst>
          </c:dPt>
          <c:dPt>
            <c:idx val="22"/>
            <c:invertIfNegative val="0"/>
            <c:bubble3D val="0"/>
            <c:spPr>
              <a:solidFill>
                <a:schemeClr val="accent3">
                  <a:lumMod val="75000"/>
                </a:schemeClr>
              </a:solidFill>
              <a:ln>
                <a:noFill/>
              </a:ln>
              <a:effectLst/>
            </c:spPr>
            <c:extLst>
              <c:ext xmlns:c16="http://schemas.microsoft.com/office/drawing/2014/chart" uri="{C3380CC4-5D6E-409C-BE32-E72D297353CC}">
                <c16:uniqueId val="{00000021-2CDE-417D-9B2F-8D318F74F63C}"/>
              </c:ext>
            </c:extLst>
          </c:dPt>
          <c:dPt>
            <c:idx val="23"/>
            <c:invertIfNegative val="0"/>
            <c:bubble3D val="0"/>
            <c:spPr>
              <a:solidFill>
                <a:schemeClr val="accent3">
                  <a:lumMod val="75000"/>
                </a:schemeClr>
              </a:solidFill>
              <a:ln>
                <a:noFill/>
              </a:ln>
              <a:effectLst/>
            </c:spPr>
            <c:extLst>
              <c:ext xmlns:c16="http://schemas.microsoft.com/office/drawing/2014/chart" uri="{C3380CC4-5D6E-409C-BE32-E72D297353CC}">
                <c16:uniqueId val="{00000023-2CDE-417D-9B2F-8D318F74F63C}"/>
              </c:ext>
            </c:extLst>
          </c:dPt>
          <c:dPt>
            <c:idx val="24"/>
            <c:invertIfNegative val="0"/>
            <c:bubble3D val="0"/>
            <c:spPr>
              <a:solidFill>
                <a:schemeClr val="accent3">
                  <a:lumMod val="75000"/>
                </a:schemeClr>
              </a:solidFill>
              <a:ln>
                <a:noFill/>
              </a:ln>
              <a:effectLst/>
            </c:spPr>
            <c:extLst>
              <c:ext xmlns:c16="http://schemas.microsoft.com/office/drawing/2014/chart" uri="{C3380CC4-5D6E-409C-BE32-E72D297353CC}">
                <c16:uniqueId val="{00000025-2CDE-417D-9B2F-8D318F74F63C}"/>
              </c:ext>
            </c:extLst>
          </c:dPt>
          <c:dPt>
            <c:idx val="25"/>
            <c:invertIfNegative val="0"/>
            <c:bubble3D val="0"/>
            <c:spPr>
              <a:solidFill>
                <a:schemeClr val="accent3">
                  <a:lumMod val="75000"/>
                </a:schemeClr>
              </a:solidFill>
              <a:ln>
                <a:noFill/>
              </a:ln>
              <a:effectLst/>
            </c:spPr>
            <c:extLst>
              <c:ext xmlns:c16="http://schemas.microsoft.com/office/drawing/2014/chart" uri="{C3380CC4-5D6E-409C-BE32-E72D297353CC}">
                <c16:uniqueId val="{00000027-2CDE-417D-9B2F-8D318F74F63C}"/>
              </c:ext>
            </c:extLst>
          </c:dPt>
          <c:dPt>
            <c:idx val="26"/>
            <c:invertIfNegative val="0"/>
            <c:bubble3D val="0"/>
            <c:spPr>
              <a:solidFill>
                <a:schemeClr val="accent3">
                  <a:lumMod val="75000"/>
                </a:schemeClr>
              </a:solidFill>
              <a:ln>
                <a:noFill/>
              </a:ln>
              <a:effectLst/>
            </c:spPr>
            <c:extLst>
              <c:ext xmlns:c16="http://schemas.microsoft.com/office/drawing/2014/chart" uri="{C3380CC4-5D6E-409C-BE32-E72D297353CC}">
                <c16:uniqueId val="{00000029-2CDE-417D-9B2F-8D318F74F63C}"/>
              </c:ext>
            </c:extLst>
          </c:dPt>
          <c:dPt>
            <c:idx val="27"/>
            <c:invertIfNegative val="0"/>
            <c:bubble3D val="0"/>
            <c:spPr>
              <a:solidFill>
                <a:schemeClr val="accent3">
                  <a:lumMod val="75000"/>
                </a:schemeClr>
              </a:solidFill>
              <a:ln>
                <a:noFill/>
              </a:ln>
              <a:effectLst/>
            </c:spPr>
            <c:extLst>
              <c:ext xmlns:c16="http://schemas.microsoft.com/office/drawing/2014/chart" uri="{C3380CC4-5D6E-409C-BE32-E72D297353CC}">
                <c16:uniqueId val="{0000002B-2CDE-417D-9B2F-8D318F74F63C}"/>
              </c:ext>
            </c:extLst>
          </c:dPt>
          <c:dPt>
            <c:idx val="28"/>
            <c:invertIfNegative val="0"/>
            <c:bubble3D val="0"/>
            <c:spPr>
              <a:solidFill>
                <a:schemeClr val="accent3">
                  <a:lumMod val="75000"/>
                </a:schemeClr>
              </a:solidFill>
              <a:ln>
                <a:noFill/>
              </a:ln>
              <a:effectLst/>
            </c:spPr>
            <c:extLst>
              <c:ext xmlns:c16="http://schemas.microsoft.com/office/drawing/2014/chart" uri="{C3380CC4-5D6E-409C-BE32-E72D297353CC}">
                <c16:uniqueId val="{0000002D-2CDE-417D-9B2F-8D318F74F63C}"/>
              </c:ext>
            </c:extLst>
          </c:dPt>
          <c:dPt>
            <c:idx val="29"/>
            <c:invertIfNegative val="0"/>
            <c:bubble3D val="0"/>
            <c:spPr>
              <a:solidFill>
                <a:srgbClr val="856BA5"/>
              </a:solidFill>
              <a:ln>
                <a:noFill/>
              </a:ln>
              <a:effectLst/>
            </c:spPr>
            <c:extLst>
              <c:ext xmlns:c16="http://schemas.microsoft.com/office/drawing/2014/chart" uri="{C3380CC4-5D6E-409C-BE32-E72D297353CC}">
                <c16:uniqueId val="{0000002F-2CDE-417D-9B2F-8D318F74F63C}"/>
              </c:ext>
            </c:extLst>
          </c:dPt>
          <c:dPt>
            <c:idx val="30"/>
            <c:invertIfNegative val="0"/>
            <c:bubble3D val="0"/>
            <c:spPr>
              <a:solidFill>
                <a:srgbClr val="FFC000"/>
              </a:solidFill>
              <a:ln>
                <a:noFill/>
              </a:ln>
              <a:effectLst/>
            </c:spPr>
            <c:extLst>
              <c:ext xmlns:c16="http://schemas.microsoft.com/office/drawing/2014/chart" uri="{C3380CC4-5D6E-409C-BE32-E72D297353CC}">
                <c16:uniqueId val="{00000031-2CDE-417D-9B2F-8D318F74F63C}"/>
              </c:ext>
            </c:extLst>
          </c:dPt>
          <c:dPt>
            <c:idx val="31"/>
            <c:invertIfNegative val="0"/>
            <c:bubble3D val="0"/>
            <c:spPr>
              <a:solidFill>
                <a:schemeClr val="bg1">
                  <a:lumMod val="65000"/>
                </a:schemeClr>
              </a:solidFill>
              <a:ln>
                <a:noFill/>
              </a:ln>
              <a:effectLst/>
            </c:spPr>
            <c:extLst>
              <c:ext xmlns:c16="http://schemas.microsoft.com/office/drawing/2014/chart" uri="{C3380CC4-5D6E-409C-BE32-E72D297353CC}">
                <c16:uniqueId val="{00000033-2CDE-417D-9B2F-8D318F74F63C}"/>
              </c:ext>
            </c:extLst>
          </c:dPt>
          <c:dPt>
            <c:idx val="32"/>
            <c:invertIfNegative val="0"/>
            <c:bubble3D val="0"/>
            <c:spPr>
              <a:solidFill>
                <a:schemeClr val="bg1">
                  <a:lumMod val="65000"/>
                </a:schemeClr>
              </a:solidFill>
              <a:ln>
                <a:noFill/>
              </a:ln>
              <a:effectLst/>
            </c:spPr>
            <c:extLst>
              <c:ext xmlns:c16="http://schemas.microsoft.com/office/drawing/2014/chart" uri="{C3380CC4-5D6E-409C-BE32-E72D297353CC}">
                <c16:uniqueId val="{00000035-2CDE-417D-9B2F-8D318F74F63C}"/>
              </c:ext>
            </c:extLst>
          </c:dPt>
          <c:dPt>
            <c:idx val="33"/>
            <c:invertIfNegative val="0"/>
            <c:bubble3D val="0"/>
            <c:spPr>
              <a:solidFill>
                <a:schemeClr val="bg1">
                  <a:lumMod val="65000"/>
                </a:schemeClr>
              </a:solidFill>
              <a:ln>
                <a:noFill/>
              </a:ln>
              <a:effectLst/>
            </c:spPr>
            <c:extLst>
              <c:ext xmlns:c16="http://schemas.microsoft.com/office/drawing/2014/chart" uri="{C3380CC4-5D6E-409C-BE32-E72D297353CC}">
                <c16:uniqueId val="{00000037-2CDE-417D-9B2F-8D318F74F63C}"/>
              </c:ext>
            </c:extLst>
          </c:dPt>
          <c:dPt>
            <c:idx val="34"/>
            <c:invertIfNegative val="0"/>
            <c:bubble3D val="0"/>
            <c:spPr>
              <a:solidFill>
                <a:schemeClr val="bg1">
                  <a:lumMod val="65000"/>
                </a:schemeClr>
              </a:solidFill>
              <a:ln>
                <a:noFill/>
              </a:ln>
              <a:effectLst/>
            </c:spPr>
            <c:extLst>
              <c:ext xmlns:c16="http://schemas.microsoft.com/office/drawing/2014/chart" uri="{C3380CC4-5D6E-409C-BE32-E72D297353CC}">
                <c16:uniqueId val="{00000039-2CDE-417D-9B2F-8D318F74F63C}"/>
              </c:ext>
            </c:extLst>
          </c:dPt>
          <c:dPt>
            <c:idx val="35"/>
            <c:invertIfNegative val="0"/>
            <c:bubble3D val="0"/>
            <c:spPr>
              <a:solidFill>
                <a:schemeClr val="bg1">
                  <a:lumMod val="65000"/>
                </a:schemeClr>
              </a:solidFill>
              <a:ln>
                <a:noFill/>
              </a:ln>
              <a:effectLst/>
            </c:spPr>
            <c:extLst>
              <c:ext xmlns:c16="http://schemas.microsoft.com/office/drawing/2014/chart" uri="{C3380CC4-5D6E-409C-BE32-E72D297353CC}">
                <c16:uniqueId val="{0000003B-2CDE-417D-9B2F-8D318F74F63C}"/>
              </c:ext>
            </c:extLst>
          </c:dPt>
          <c:dPt>
            <c:idx val="36"/>
            <c:invertIfNegative val="0"/>
            <c:bubble3D val="0"/>
            <c:spPr>
              <a:solidFill>
                <a:schemeClr val="bg1">
                  <a:lumMod val="65000"/>
                </a:schemeClr>
              </a:solidFill>
              <a:ln>
                <a:noFill/>
              </a:ln>
              <a:effectLst/>
            </c:spPr>
            <c:extLst>
              <c:ext xmlns:c16="http://schemas.microsoft.com/office/drawing/2014/chart" uri="{C3380CC4-5D6E-409C-BE32-E72D297353CC}">
                <c16:uniqueId val="{0000003D-2CDE-417D-9B2F-8D318F74F63C}"/>
              </c:ext>
            </c:extLst>
          </c:dPt>
          <c:dPt>
            <c:idx val="37"/>
            <c:invertIfNegative val="0"/>
            <c:bubble3D val="0"/>
            <c:spPr>
              <a:solidFill>
                <a:schemeClr val="bg1">
                  <a:lumMod val="65000"/>
                </a:schemeClr>
              </a:solidFill>
              <a:ln>
                <a:noFill/>
              </a:ln>
              <a:effectLst/>
            </c:spPr>
            <c:extLst>
              <c:ext xmlns:c16="http://schemas.microsoft.com/office/drawing/2014/chart" uri="{C3380CC4-5D6E-409C-BE32-E72D297353CC}">
                <c16:uniqueId val="{0000003F-2CDE-417D-9B2F-8D318F74F63C}"/>
              </c:ext>
            </c:extLst>
          </c:dPt>
          <c:dPt>
            <c:idx val="38"/>
            <c:invertIfNegative val="0"/>
            <c:bubble3D val="0"/>
            <c:spPr>
              <a:solidFill>
                <a:schemeClr val="bg1">
                  <a:lumMod val="65000"/>
                </a:schemeClr>
              </a:solidFill>
              <a:ln>
                <a:noFill/>
              </a:ln>
              <a:effectLst/>
            </c:spPr>
            <c:extLst>
              <c:ext xmlns:c16="http://schemas.microsoft.com/office/drawing/2014/chart" uri="{C3380CC4-5D6E-409C-BE32-E72D297353CC}">
                <c16:uniqueId val="{00000041-2CDE-417D-9B2F-8D318F74F63C}"/>
              </c:ext>
            </c:extLst>
          </c:dPt>
          <c:dPt>
            <c:idx val="39"/>
            <c:invertIfNegative val="0"/>
            <c:bubble3D val="0"/>
            <c:spPr>
              <a:solidFill>
                <a:schemeClr val="bg1">
                  <a:lumMod val="65000"/>
                </a:schemeClr>
              </a:solidFill>
              <a:ln>
                <a:noFill/>
              </a:ln>
              <a:effectLst/>
            </c:spPr>
            <c:extLst>
              <c:ext xmlns:c16="http://schemas.microsoft.com/office/drawing/2014/chart" uri="{C3380CC4-5D6E-409C-BE32-E72D297353CC}">
                <c16:uniqueId val="{00000043-2CDE-417D-9B2F-8D318F74F63C}"/>
              </c:ext>
            </c:extLst>
          </c:dPt>
          <c:dPt>
            <c:idx val="40"/>
            <c:invertIfNegative val="0"/>
            <c:bubble3D val="0"/>
            <c:spPr>
              <a:solidFill>
                <a:schemeClr val="bg1">
                  <a:lumMod val="65000"/>
                </a:schemeClr>
              </a:solidFill>
              <a:ln>
                <a:noFill/>
              </a:ln>
              <a:effectLst/>
            </c:spPr>
            <c:extLst>
              <c:ext xmlns:c16="http://schemas.microsoft.com/office/drawing/2014/chart" uri="{C3380CC4-5D6E-409C-BE32-E72D297353CC}">
                <c16:uniqueId val="{00000045-2CDE-417D-9B2F-8D318F74F63C}"/>
              </c:ext>
            </c:extLst>
          </c:dPt>
          <c:cat>
            <c:strRef>
              <c:f>'7_Contractor updated'!$B$79:$B$116</c:f>
              <c:strCache>
                <c:ptCount val="38"/>
                <c:pt idx="0">
                  <c:v>FEDERAL- NATIONAL MARINE FISHERIES</c:v>
                </c:pt>
                <c:pt idx="1">
                  <c:v>FEDERAL- US FISH &amp; WILDLIFE SERVICE</c:v>
                </c:pt>
                <c:pt idx="2">
                  <c:v>FEDERAL- US GEOLOGICAL SURVEY</c:v>
                </c:pt>
                <c:pt idx="3">
                  <c:v>FEDERAL- US FOREST SERVICE</c:v>
                </c:pt>
                <c:pt idx="4">
                  <c:v>FEDERAL- PACIFIC NW NATIONAL LABORATORY/DEPT. OF ENERGY</c:v>
                </c:pt>
                <c:pt idx="5">
                  <c:v>FEDERAL- US BUREAU OF RECLAMATION</c:v>
                </c:pt>
                <c:pt idx="6">
                  <c:v>STATE- OREGON </c:v>
                </c:pt>
                <c:pt idx="7">
                  <c:v>STATE- WASHINGTON </c:v>
                </c:pt>
                <c:pt idx="8">
                  <c:v>STATE- IDAHO</c:v>
                </c:pt>
                <c:pt idx="9">
                  <c:v>STATE- MONTANA </c:v>
                </c:pt>
                <c:pt idx="10">
                  <c:v>TRIBE- YAKAMA CONFEDERATED TRIBES</c:v>
                </c:pt>
                <c:pt idx="11">
                  <c:v>TRIBE- COLVILLE CONFEDERATED TRIBES</c:v>
                </c:pt>
                <c:pt idx="12">
                  <c:v>TRIBE- NEZ PERCE TRIBE</c:v>
                </c:pt>
                <c:pt idx="13">
                  <c:v>TRIBE- UMATILLA CONFEDERATED TRIBES</c:v>
                </c:pt>
                <c:pt idx="14">
                  <c:v>TRIBE- KOOTENAI TRIBE</c:v>
                </c:pt>
                <c:pt idx="15">
                  <c:v>TRIBE- SPOKANE TRIBE OF INDIANS</c:v>
                </c:pt>
                <c:pt idx="16">
                  <c:v>TRIBE- COLUMBIA RIVER INTERTRIBAL FISH COMMISSION</c:v>
                </c:pt>
                <c:pt idx="17">
                  <c:v>TRIBE- CONFEDERATED TRIBES OF WARM SPRINGS</c:v>
                </c:pt>
                <c:pt idx="18">
                  <c:v>TRIBE- COEUR D'ALENE TRIBE OF IDAHO</c:v>
                </c:pt>
                <c:pt idx="19">
                  <c:v>TRIBE- SHOSHONE-BANNOCK TRIBES</c:v>
                </c:pt>
                <c:pt idx="20">
                  <c:v>TRIBE- KALISPEL TRIBE OF INDIANS</c:v>
                </c:pt>
                <c:pt idx="21">
                  <c:v>TRIBE- SHOSHONE-PAUITE TRIBES</c:v>
                </c:pt>
                <c:pt idx="22">
                  <c:v>TRIBE- BURNS PAIUTE TRIBE</c:v>
                </c:pt>
                <c:pt idx="23">
                  <c:v>TRIBE- SALISH AND KOOTENAI TRIBES CONFEDERATED TRIBES</c:v>
                </c:pt>
                <c:pt idx="24">
                  <c:v>TRIBE- UPPER COLUMBIA UNITED TRIBES (UCUT)</c:v>
                </c:pt>
                <c:pt idx="25">
                  <c:v>TRIBE- CONFEDERATED TRIBES OF GRAND RONDE</c:v>
                </c:pt>
                <c:pt idx="26">
                  <c:v>TRIBE- UPPER SNAKE RIVER TRIBES FOUNDATION</c:v>
                </c:pt>
                <c:pt idx="27">
                  <c:v>TRIBE- COWLITZ INDIAN TRIBE</c:v>
                </c:pt>
                <c:pt idx="28">
                  <c:v>TRIBE- CONFEDERATED TRIBES OF SILETZ INDIANS</c:v>
                </c:pt>
                <c:pt idx="29">
                  <c:v>INTERSTATE- PACIFIC STATES MARINE FISHERIES COMMISSION</c:v>
                </c:pt>
                <c:pt idx="30">
                  <c:v>UNIVERSITIES</c:v>
                </c:pt>
                <c:pt idx="31">
                  <c:v>OTHER- ENGINEERING OR DESIGN FIRM</c:v>
                </c:pt>
                <c:pt idx="32">
                  <c:v>OTHER- NON-PROFIT</c:v>
                </c:pt>
                <c:pt idx="33">
                  <c:v>OTHER- LOCAL/SEMI GOVERNMENT</c:v>
                </c:pt>
                <c:pt idx="34">
                  <c:v>OTHER- LAND TRUST OR WATERSHED GROUPS</c:v>
                </c:pt>
                <c:pt idx="35">
                  <c:v>OTHER- CONSULTANT</c:v>
                </c:pt>
                <c:pt idx="36">
                  <c:v>OTHER- UTILITY</c:v>
                </c:pt>
                <c:pt idx="37">
                  <c:v>OTHER- NORTHWEST POWER AND CONSERVATION COUNCIL</c:v>
                </c:pt>
              </c:strCache>
            </c:strRef>
          </c:cat>
          <c:val>
            <c:numRef>
              <c:f>'7_Contractor updated'!$C$79:$C$116</c:f>
              <c:numCache>
                <c:formatCode>"$"#,##0</c:formatCode>
                <c:ptCount val="38"/>
                <c:pt idx="0">
                  <c:v>5999712</c:v>
                </c:pt>
                <c:pt idx="1">
                  <c:v>2401042</c:v>
                </c:pt>
                <c:pt idx="2">
                  <c:v>1901846</c:v>
                </c:pt>
                <c:pt idx="3">
                  <c:v>966755</c:v>
                </c:pt>
                <c:pt idx="4">
                  <c:v>941531</c:v>
                </c:pt>
                <c:pt idx="5">
                  <c:v>137838</c:v>
                </c:pt>
                <c:pt idx="6">
                  <c:v>20474712</c:v>
                </c:pt>
                <c:pt idx="7">
                  <c:v>13605656</c:v>
                </c:pt>
                <c:pt idx="8">
                  <c:v>16763115</c:v>
                </c:pt>
                <c:pt idx="9">
                  <c:v>3856893</c:v>
                </c:pt>
                <c:pt idx="10">
                  <c:v>28061813</c:v>
                </c:pt>
                <c:pt idx="11">
                  <c:v>27095423</c:v>
                </c:pt>
                <c:pt idx="12">
                  <c:v>20080540</c:v>
                </c:pt>
                <c:pt idx="13">
                  <c:v>16797320</c:v>
                </c:pt>
                <c:pt idx="14">
                  <c:v>13256229</c:v>
                </c:pt>
                <c:pt idx="15">
                  <c:v>9748728</c:v>
                </c:pt>
                <c:pt idx="16">
                  <c:v>9568444</c:v>
                </c:pt>
                <c:pt idx="17">
                  <c:v>8324459</c:v>
                </c:pt>
                <c:pt idx="18">
                  <c:v>5708692</c:v>
                </c:pt>
                <c:pt idx="19">
                  <c:v>5005655</c:v>
                </c:pt>
                <c:pt idx="20">
                  <c:v>4442099</c:v>
                </c:pt>
                <c:pt idx="21">
                  <c:v>4000400</c:v>
                </c:pt>
                <c:pt idx="22">
                  <c:v>1145009</c:v>
                </c:pt>
                <c:pt idx="23">
                  <c:v>879554</c:v>
                </c:pt>
                <c:pt idx="24">
                  <c:v>535095</c:v>
                </c:pt>
                <c:pt idx="25">
                  <c:v>474691</c:v>
                </c:pt>
                <c:pt idx="26">
                  <c:v>338237</c:v>
                </c:pt>
                <c:pt idx="27">
                  <c:v>157902</c:v>
                </c:pt>
                <c:pt idx="28">
                  <c:v>65744</c:v>
                </c:pt>
                <c:pt idx="29">
                  <c:v>17064068</c:v>
                </c:pt>
                <c:pt idx="30">
                  <c:v>2645176</c:v>
                </c:pt>
                <c:pt idx="31">
                  <c:v>19473568</c:v>
                </c:pt>
                <c:pt idx="32">
                  <c:v>11541805</c:v>
                </c:pt>
                <c:pt idx="33">
                  <c:v>7341370</c:v>
                </c:pt>
                <c:pt idx="34">
                  <c:v>4707486</c:v>
                </c:pt>
                <c:pt idx="35">
                  <c:v>4216093</c:v>
                </c:pt>
                <c:pt idx="36">
                  <c:v>1216367</c:v>
                </c:pt>
                <c:pt idx="37">
                  <c:v>409036</c:v>
                </c:pt>
              </c:numCache>
            </c:numRef>
          </c:val>
          <c:extLst>
            <c:ext xmlns:c16="http://schemas.microsoft.com/office/drawing/2014/chart" uri="{C3380CC4-5D6E-409C-BE32-E72D297353CC}">
              <c16:uniqueId val="{00000046-2CDE-417D-9B2F-8D318F74F63C}"/>
            </c:ext>
          </c:extLst>
        </c:ser>
        <c:dLbls>
          <c:showLegendKey val="0"/>
          <c:showVal val="0"/>
          <c:showCatName val="0"/>
          <c:showSerName val="0"/>
          <c:showPercent val="0"/>
          <c:showBubbleSize val="0"/>
        </c:dLbls>
        <c:gapWidth val="150"/>
        <c:axId val="483680552"/>
        <c:axId val="483680944"/>
      </c:barChart>
      <c:catAx>
        <c:axId val="48368055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crossAx val="483680944"/>
        <c:crosses val="autoZero"/>
        <c:auto val="1"/>
        <c:lblAlgn val="ctr"/>
        <c:lblOffset val="100"/>
        <c:noMultiLvlLbl val="0"/>
      </c:catAx>
      <c:valAx>
        <c:axId val="483680944"/>
        <c:scaling>
          <c:orientation val="minMax"/>
          <c:max val="30000000"/>
        </c:scaling>
        <c:delete val="0"/>
        <c:axPos val="t"/>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dk1"/>
                    </a:solidFill>
                    <a:latin typeface="Calibri Light" panose="020F0302020204030204" pitchFamily="34" charset="0"/>
                    <a:ea typeface="+mn-ea"/>
                    <a:cs typeface="Calibri Light" panose="020F0302020204030204" pitchFamily="34" charset="0"/>
                  </a:defRPr>
                </a:pPr>
                <a:r>
                  <a:rPr lang="en-US"/>
                  <a:t>(Millions)</a:t>
                </a:r>
              </a:p>
            </c:rich>
          </c:tx>
          <c:layout>
            <c:manualLayout>
              <c:xMode val="edge"/>
              <c:yMode val="edge"/>
              <c:x val="0.64850473472872705"/>
              <c:y val="0.9542897380549173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title>
        <c:numFmt formatCode="&quot;$&quot;#0,,\ " sourceLinked="0"/>
        <c:majorTickMark val="in"/>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dk1"/>
                </a:solidFill>
                <a:latin typeface="Calibri Light" panose="020F0302020204030204" pitchFamily="34" charset="0"/>
                <a:ea typeface="+mn-ea"/>
                <a:cs typeface="Calibri Light" panose="020F0302020204030204" pitchFamily="34" charset="0"/>
              </a:defRPr>
            </a:pPr>
            <a:endParaRPr lang="en-US"/>
          </a:p>
        </c:txPr>
        <c:crossAx val="483680552"/>
        <c:crosses val="autoZero"/>
        <c:crossBetween val="between"/>
        <c:majorUnit val="5000000"/>
      </c:valAx>
      <c:spPr>
        <a:solidFill>
          <a:schemeClr val="bg1"/>
        </a:solidFill>
        <a:ln>
          <a:solidFill>
            <a:schemeClr val="bg1">
              <a:lumMod val="85000"/>
            </a:schemeClr>
          </a:solidFill>
        </a:ln>
        <a:effectLst/>
      </c:spPr>
    </c:plotArea>
    <c:plotVisOnly val="1"/>
    <c:dispBlanksAs val="gap"/>
    <c:showDLblsOverMax val="0"/>
  </c:chart>
  <c:spPr>
    <a:solidFill>
      <a:schemeClr val="lt1"/>
    </a:solidFill>
    <a:ln w="25400" cap="flat" cmpd="sng" algn="ctr">
      <a:solidFill>
        <a:schemeClr val="accent1"/>
      </a:solidFill>
      <a:prstDash val="solid"/>
      <a:round/>
    </a:ln>
    <a:effectLst/>
  </c:spPr>
  <c:txPr>
    <a:bodyPr/>
    <a:lstStyle/>
    <a:p>
      <a:pPr>
        <a:defRPr>
          <a:solidFill>
            <a:schemeClr val="dk1"/>
          </a:solidFill>
          <a:latin typeface="Calibri Light" panose="020F0302020204030204" pitchFamily="34" charset="0"/>
          <a:ea typeface="+mn-ea"/>
          <a:cs typeface="Calibri Light" panose="020F0302020204030204" pitchFamily="34"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i="0" u="none" strike="noStrike" kern="1200" spc="0" baseline="0">
                <a:solidFill>
                  <a:sysClr val="windowText" lastClr="000000">
                    <a:lumMod val="65000"/>
                    <a:lumOff val="35000"/>
                  </a:sysClr>
                </a:solidFill>
              </a:rPr>
              <a:t>Land Costs by Project Contractor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'8_Land'!$A$15</c:f>
              <c:strCache>
                <c:ptCount val="1"/>
                <c:pt idx="0">
                  <c:v>Oregon Department of Fish and Wildlife</c:v>
                </c:pt>
              </c:strCache>
            </c:strRef>
          </c:tx>
          <c:spPr>
            <a:solidFill>
              <a:schemeClr val="accent1"/>
            </a:solidFill>
            <a:ln>
              <a:noFill/>
            </a:ln>
            <a:effectLst/>
          </c:spPr>
          <c:invertIfNegative val="0"/>
          <c:val>
            <c:numRef>
              <c:f>'8_Land'!$B$15</c:f>
              <c:numCache>
                <c:formatCode>"$"#,##0</c:formatCode>
                <c:ptCount val="1"/>
                <c:pt idx="0">
                  <c:v>4232557</c:v>
                </c:pt>
              </c:numCache>
            </c:numRef>
          </c:val>
          <c:extLst>
            <c:ext xmlns:c16="http://schemas.microsoft.com/office/drawing/2014/chart" uri="{C3380CC4-5D6E-409C-BE32-E72D297353CC}">
              <c16:uniqueId val="{00000000-BB67-4233-8E75-744EEFF60BA4}"/>
            </c:ext>
          </c:extLst>
        </c:ser>
        <c:ser>
          <c:idx val="1"/>
          <c:order val="1"/>
          <c:tx>
            <c:strRef>
              <c:f>'8_Land'!$A$16</c:f>
              <c:strCache>
                <c:ptCount val="1"/>
                <c:pt idx="0">
                  <c:v>Confederated Tribes of the Umatilla Indian Reservation </c:v>
                </c:pt>
              </c:strCache>
            </c:strRef>
          </c:tx>
          <c:spPr>
            <a:solidFill>
              <a:schemeClr val="accent2"/>
            </a:solidFill>
            <a:ln>
              <a:noFill/>
            </a:ln>
            <a:effectLst/>
          </c:spPr>
          <c:invertIfNegative val="0"/>
          <c:val>
            <c:numRef>
              <c:f>'8_Land'!$B$16</c:f>
              <c:numCache>
                <c:formatCode>"$"#,##0</c:formatCode>
                <c:ptCount val="1"/>
                <c:pt idx="0">
                  <c:v>4266383</c:v>
                </c:pt>
              </c:numCache>
            </c:numRef>
          </c:val>
          <c:extLst>
            <c:ext xmlns:c16="http://schemas.microsoft.com/office/drawing/2014/chart" uri="{C3380CC4-5D6E-409C-BE32-E72D297353CC}">
              <c16:uniqueId val="{00000001-BB67-4233-8E75-744EEFF60BA4}"/>
            </c:ext>
          </c:extLst>
        </c:ser>
        <c:ser>
          <c:idx val="2"/>
          <c:order val="2"/>
          <c:tx>
            <c:strRef>
              <c:f>'8_Land'!$A$17</c:f>
              <c:strCache>
                <c:ptCount val="1"/>
                <c:pt idx="0">
                  <c:v>Salish and Kootenai Confederated Tribes</c:v>
                </c:pt>
              </c:strCache>
            </c:strRef>
          </c:tx>
          <c:spPr>
            <a:solidFill>
              <a:schemeClr val="accent3"/>
            </a:solidFill>
            <a:ln>
              <a:noFill/>
            </a:ln>
            <a:effectLst/>
          </c:spPr>
          <c:invertIfNegative val="0"/>
          <c:val>
            <c:numRef>
              <c:f>'8_Land'!$B$17</c:f>
              <c:numCache>
                <c:formatCode>"$"#,##0</c:formatCode>
                <c:ptCount val="1"/>
                <c:pt idx="0">
                  <c:v>3226029</c:v>
                </c:pt>
              </c:numCache>
            </c:numRef>
          </c:val>
          <c:extLst>
            <c:ext xmlns:c16="http://schemas.microsoft.com/office/drawing/2014/chart" uri="{C3380CC4-5D6E-409C-BE32-E72D297353CC}">
              <c16:uniqueId val="{00000002-BB67-4233-8E75-744EEFF60BA4}"/>
            </c:ext>
          </c:extLst>
        </c:ser>
        <c:ser>
          <c:idx val="3"/>
          <c:order val="3"/>
          <c:tx>
            <c:strRef>
              <c:f>'8_Land'!$A$18</c:f>
              <c:strCache>
                <c:ptCount val="1"/>
                <c:pt idx="0">
                  <c:v>Columbia River Estuary Taskforce</c:v>
                </c:pt>
              </c:strCache>
            </c:strRef>
          </c:tx>
          <c:spPr>
            <a:solidFill>
              <a:schemeClr val="accent4"/>
            </a:solidFill>
            <a:ln>
              <a:noFill/>
            </a:ln>
            <a:effectLst/>
          </c:spPr>
          <c:invertIfNegative val="0"/>
          <c:val>
            <c:numRef>
              <c:f>'8_Land'!$B$18</c:f>
              <c:numCache>
                <c:formatCode>"$"#,##0_);[Red]\("$"#,##0\)</c:formatCode>
                <c:ptCount val="1"/>
                <c:pt idx="0">
                  <c:v>123907</c:v>
                </c:pt>
              </c:numCache>
            </c:numRef>
          </c:val>
          <c:extLst>
            <c:ext xmlns:c16="http://schemas.microsoft.com/office/drawing/2014/chart" uri="{C3380CC4-5D6E-409C-BE32-E72D297353CC}">
              <c16:uniqueId val="{00000000-0E44-451F-9AF5-2D8D92670A0D}"/>
            </c:ext>
          </c:extLst>
        </c:ser>
        <c:dLbls>
          <c:showLegendKey val="0"/>
          <c:showVal val="0"/>
          <c:showCatName val="0"/>
          <c:showSerName val="0"/>
          <c:showPercent val="0"/>
          <c:showBubbleSize val="0"/>
        </c:dLbls>
        <c:gapWidth val="150"/>
        <c:overlap val="100"/>
        <c:axId val="1084722840"/>
        <c:axId val="1084722480"/>
      </c:barChart>
      <c:catAx>
        <c:axId val="1084722840"/>
        <c:scaling>
          <c:orientation val="minMax"/>
        </c:scaling>
        <c:delete val="1"/>
        <c:axPos val="b"/>
        <c:numFmt formatCode="General" sourceLinked="1"/>
        <c:majorTickMark val="none"/>
        <c:minorTickMark val="none"/>
        <c:tickLblPos val="nextTo"/>
        <c:crossAx val="1084722480"/>
        <c:crosses val="autoZero"/>
        <c:auto val="1"/>
        <c:lblAlgn val="ctr"/>
        <c:lblOffset val="100"/>
        <c:noMultiLvlLbl val="0"/>
      </c:catAx>
      <c:valAx>
        <c:axId val="108472248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r>
                  <a:rPr lang="en-US" sz="1050"/>
                  <a:t>(Millions)</a:t>
                </a:r>
              </a:p>
            </c:rich>
          </c:tx>
          <c:overlay val="0"/>
          <c:spPr>
            <a:noFill/>
            <a:ln>
              <a:noFill/>
            </a:ln>
            <a:effectLst/>
          </c:spPr>
          <c:txPr>
            <a:bodyPr rot="-54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84722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78567379319038"/>
          <c:y val="3.5859820700896494E-2"/>
          <c:w val="0.7065669533049459"/>
          <c:h val="0.86161656411805998"/>
        </c:manualLayout>
      </c:layout>
      <c:areaChart>
        <c:grouping val="stacked"/>
        <c:varyColors val="0"/>
        <c:ser>
          <c:idx val="0"/>
          <c:order val="0"/>
          <c:tx>
            <c:strRef>
              <c:f>NA_Cumulative!$A$6</c:f>
              <c:strCache>
                <c:ptCount val="1"/>
                <c:pt idx="0">
                  <c:v>Power Purchases</c:v>
                </c:pt>
              </c:strCache>
            </c:strRef>
          </c:tx>
          <c:spPr>
            <a:solidFill>
              <a:srgbClr val="4F81BD"/>
            </a:solidFill>
            <a:ln>
              <a:noFill/>
            </a:ln>
            <a:effectLst/>
          </c:spPr>
          <c:cat>
            <c:numRef>
              <c:f>NA_Cumulative!$C$5:$AN$5</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cat>
          <c:val>
            <c:numRef>
              <c:f>NA_Cumulative!$C$6:$AN$6</c:f>
              <c:numCache>
                <c:formatCode>_(* #,##0.0_);_(* \(#,##0.0\);_(* "-"??_);_(@_)</c:formatCode>
                <c:ptCount val="38"/>
                <c:pt idx="0">
                  <c:v>0</c:v>
                </c:pt>
                <c:pt idx="1">
                  <c:v>0</c:v>
                </c:pt>
                <c:pt idx="2">
                  <c:v>0</c:v>
                </c:pt>
                <c:pt idx="3">
                  <c:v>12</c:v>
                </c:pt>
                <c:pt idx="4">
                  <c:v>29</c:v>
                </c:pt>
                <c:pt idx="5">
                  <c:v>103</c:v>
                </c:pt>
                <c:pt idx="6">
                  <c:v>114</c:v>
                </c:pt>
                <c:pt idx="7">
                  <c:v>154</c:v>
                </c:pt>
                <c:pt idx="8">
                  <c:v>194</c:v>
                </c:pt>
                <c:pt idx="9">
                  <c:v>234</c:v>
                </c:pt>
                <c:pt idx="10">
                  <c:v>274</c:v>
                </c:pt>
                <c:pt idx="11">
                  <c:v>333</c:v>
                </c:pt>
                <c:pt idx="12">
                  <c:v>437</c:v>
                </c:pt>
                <c:pt idx="13">
                  <c:v>548.70000000000005</c:v>
                </c:pt>
                <c:pt idx="14">
                  <c:v>612.20000000000005</c:v>
                </c:pt>
                <c:pt idx="15">
                  <c:v>612.20000000000005</c:v>
                </c:pt>
                <c:pt idx="16">
                  <c:v>612.20000000000005</c:v>
                </c:pt>
                <c:pt idx="17">
                  <c:v>617.6</c:v>
                </c:pt>
                <c:pt idx="18">
                  <c:v>665.2</c:v>
                </c:pt>
                <c:pt idx="19">
                  <c:v>730</c:v>
                </c:pt>
                <c:pt idx="20">
                  <c:v>2119.6</c:v>
                </c:pt>
                <c:pt idx="21">
                  <c:v>2267.4</c:v>
                </c:pt>
                <c:pt idx="22">
                  <c:v>2438.5</c:v>
                </c:pt>
                <c:pt idx="23">
                  <c:v>2629.5</c:v>
                </c:pt>
                <c:pt idx="24">
                  <c:v>2740.3</c:v>
                </c:pt>
                <c:pt idx="25">
                  <c:v>2908.4776403128003</c:v>
                </c:pt>
                <c:pt idx="26">
                  <c:v>3029.1676403128004</c:v>
                </c:pt>
                <c:pt idx="27">
                  <c:v>3304.1151715013721</c:v>
                </c:pt>
                <c:pt idx="28">
                  <c:v>3544.4265926055655</c:v>
                </c:pt>
                <c:pt idx="29">
                  <c:v>3854.4929987687915</c:v>
                </c:pt>
                <c:pt idx="30">
                  <c:v>3925.1834749287914</c:v>
                </c:pt>
                <c:pt idx="31">
                  <c:v>3963.6334749287912</c:v>
                </c:pt>
                <c:pt idx="32">
                  <c:v>4049.4374749287913</c:v>
                </c:pt>
                <c:pt idx="33">
                  <c:v>4245.589253548791</c:v>
                </c:pt>
                <c:pt idx="34">
                  <c:v>4313.070576635243</c:v>
                </c:pt>
                <c:pt idx="35">
                  <c:v>4363.3616128404046</c:v>
                </c:pt>
                <c:pt idx="36">
                  <c:v>4342.8256128404046</c:v>
                </c:pt>
                <c:pt idx="37">
                  <c:v>4367.086273836534</c:v>
                </c:pt>
              </c:numCache>
            </c:numRef>
          </c:val>
          <c:extLst>
            <c:ext xmlns:c16="http://schemas.microsoft.com/office/drawing/2014/chart" uri="{C3380CC4-5D6E-409C-BE32-E72D297353CC}">
              <c16:uniqueId val="{00000000-575D-460B-AEE9-BAF0696656B2}"/>
            </c:ext>
          </c:extLst>
        </c:ser>
        <c:ser>
          <c:idx val="1"/>
          <c:order val="1"/>
          <c:tx>
            <c:strRef>
              <c:f>NA_Cumulative!$A$7</c:f>
              <c:strCache>
                <c:ptCount val="1"/>
                <c:pt idx="0">
                  <c:v>Forgone Revenues</c:v>
                </c:pt>
              </c:strCache>
            </c:strRef>
          </c:tx>
          <c:spPr>
            <a:solidFill>
              <a:srgbClr val="C0504D"/>
            </a:solidFill>
            <a:ln>
              <a:noFill/>
            </a:ln>
            <a:effectLst/>
          </c:spPr>
          <c:cat>
            <c:numRef>
              <c:f>NA_Cumulative!$C$5:$AN$5</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cat>
          <c:val>
            <c:numRef>
              <c:f>NA_Cumulative!$C$7:$AN$7</c:f>
              <c:numCache>
                <c:formatCode>_(* #,##0.0_);_(* \(#,##0.0\);_(* "-"??_);_(@_)</c:formatCode>
                <c:ptCount val="38"/>
                <c:pt idx="0">
                  <c:v>3</c:v>
                </c:pt>
                <c:pt idx="1">
                  <c:v>17</c:v>
                </c:pt>
                <c:pt idx="2">
                  <c:v>18</c:v>
                </c:pt>
                <c:pt idx="3">
                  <c:v>26</c:v>
                </c:pt>
                <c:pt idx="4">
                  <c:v>53</c:v>
                </c:pt>
                <c:pt idx="5">
                  <c:v>72</c:v>
                </c:pt>
                <c:pt idx="6">
                  <c:v>81</c:v>
                </c:pt>
                <c:pt idx="7">
                  <c:v>91</c:v>
                </c:pt>
                <c:pt idx="8">
                  <c:v>106</c:v>
                </c:pt>
                <c:pt idx="9">
                  <c:v>121</c:v>
                </c:pt>
                <c:pt idx="10">
                  <c:v>136</c:v>
                </c:pt>
                <c:pt idx="11">
                  <c:v>159</c:v>
                </c:pt>
                <c:pt idx="12">
                  <c:v>204</c:v>
                </c:pt>
                <c:pt idx="13">
                  <c:v>266</c:v>
                </c:pt>
                <c:pt idx="14">
                  <c:v>273.10000000000002</c:v>
                </c:pt>
                <c:pt idx="15">
                  <c:v>354.8</c:v>
                </c:pt>
                <c:pt idx="16">
                  <c:v>462.6</c:v>
                </c:pt>
                <c:pt idx="17">
                  <c:v>579.1</c:v>
                </c:pt>
                <c:pt idx="18">
                  <c:v>776.90000000000009</c:v>
                </c:pt>
                <c:pt idx="19">
                  <c:v>970.00000000000011</c:v>
                </c:pt>
                <c:pt idx="20">
                  <c:v>1085.9000000000001</c:v>
                </c:pt>
                <c:pt idx="21">
                  <c:v>1098.5</c:v>
                </c:pt>
                <c:pt idx="22">
                  <c:v>1177.7</c:v>
                </c:pt>
                <c:pt idx="23">
                  <c:v>1199.4000000000001</c:v>
                </c:pt>
                <c:pt idx="24">
                  <c:v>1381.5</c:v>
                </c:pt>
                <c:pt idx="25">
                  <c:v>1778.9380996800001</c:v>
                </c:pt>
                <c:pt idx="26">
                  <c:v>2061.5630996800001</c:v>
                </c:pt>
                <c:pt idx="27">
                  <c:v>2335.0825265371427</c:v>
                </c:pt>
                <c:pt idx="28">
                  <c:v>2477.8965265371426</c:v>
                </c:pt>
                <c:pt idx="29">
                  <c:v>2577.3274901139166</c:v>
                </c:pt>
                <c:pt idx="30">
                  <c:v>2734.0094936139167</c:v>
                </c:pt>
                <c:pt idx="31">
                  <c:v>2886.2094936139165</c:v>
                </c:pt>
                <c:pt idx="32">
                  <c:v>3021.7174936139163</c:v>
                </c:pt>
                <c:pt idx="33">
                  <c:v>3144.4618380929487</c:v>
                </c:pt>
                <c:pt idx="34">
                  <c:v>3340.2572852013359</c:v>
                </c:pt>
                <c:pt idx="35">
                  <c:v>3416.8991706426264</c:v>
                </c:pt>
                <c:pt idx="36">
                  <c:v>3426.4991706426263</c:v>
                </c:pt>
                <c:pt idx="37">
                  <c:v>3429.3991706426264</c:v>
                </c:pt>
              </c:numCache>
            </c:numRef>
          </c:val>
          <c:extLst>
            <c:ext xmlns:c16="http://schemas.microsoft.com/office/drawing/2014/chart" uri="{C3380CC4-5D6E-409C-BE32-E72D297353CC}">
              <c16:uniqueId val="{00000001-575D-460B-AEE9-BAF0696656B2}"/>
            </c:ext>
          </c:extLst>
        </c:ser>
        <c:ser>
          <c:idx val="2"/>
          <c:order val="2"/>
          <c:tx>
            <c:strRef>
              <c:f>NA_Cumulative!$A$8</c:f>
              <c:strCache>
                <c:ptCount val="1"/>
                <c:pt idx="0">
                  <c:v>Reimbursable Expenses</c:v>
                </c:pt>
              </c:strCache>
            </c:strRef>
          </c:tx>
          <c:spPr>
            <a:solidFill>
              <a:srgbClr val="9BBB59"/>
            </a:solidFill>
            <a:ln>
              <a:noFill/>
            </a:ln>
            <a:effectLst/>
          </c:spPr>
          <c:cat>
            <c:numRef>
              <c:f>NA_Cumulative!$C$5:$AN$5</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cat>
          <c:val>
            <c:numRef>
              <c:f>NA_Cumulative!$C$8:$AN$8</c:f>
              <c:numCache>
                <c:formatCode>_(* #,##0.0_);_(* \(#,##0.0\);_(* "-"??_);_(@_)</c:formatCode>
                <c:ptCount val="38"/>
                <c:pt idx="0">
                  <c:v>21.1</c:v>
                </c:pt>
                <c:pt idx="1">
                  <c:v>32.6</c:v>
                </c:pt>
                <c:pt idx="2">
                  <c:v>46.8</c:v>
                </c:pt>
                <c:pt idx="3">
                  <c:v>62.8</c:v>
                </c:pt>
                <c:pt idx="4">
                  <c:v>82.699999999999989</c:v>
                </c:pt>
                <c:pt idx="5">
                  <c:v>106.39999999999999</c:v>
                </c:pt>
                <c:pt idx="6">
                  <c:v>136.1</c:v>
                </c:pt>
                <c:pt idx="7">
                  <c:v>155.1</c:v>
                </c:pt>
                <c:pt idx="8">
                  <c:v>178.7</c:v>
                </c:pt>
                <c:pt idx="9">
                  <c:v>202.1</c:v>
                </c:pt>
                <c:pt idx="10">
                  <c:v>226.4</c:v>
                </c:pt>
                <c:pt idx="11">
                  <c:v>254.8</c:v>
                </c:pt>
                <c:pt idx="12">
                  <c:v>285.3</c:v>
                </c:pt>
                <c:pt idx="13">
                  <c:v>320.2</c:v>
                </c:pt>
                <c:pt idx="14">
                  <c:v>356.3</c:v>
                </c:pt>
                <c:pt idx="15">
                  <c:v>391.7</c:v>
                </c:pt>
                <c:pt idx="16">
                  <c:v>427.6</c:v>
                </c:pt>
                <c:pt idx="17">
                  <c:v>463.98</c:v>
                </c:pt>
                <c:pt idx="18">
                  <c:v>502.88</c:v>
                </c:pt>
                <c:pt idx="19">
                  <c:v>540.48</c:v>
                </c:pt>
                <c:pt idx="20">
                  <c:v>582.98</c:v>
                </c:pt>
                <c:pt idx="21">
                  <c:v>633.89</c:v>
                </c:pt>
                <c:pt idx="22">
                  <c:v>686.44499999999994</c:v>
                </c:pt>
                <c:pt idx="23">
                  <c:v>743.64499999999998</c:v>
                </c:pt>
                <c:pt idx="24">
                  <c:v>801.56499999999994</c:v>
                </c:pt>
                <c:pt idx="25">
                  <c:v>862.21499999999992</c:v>
                </c:pt>
                <c:pt idx="26">
                  <c:v>922.4799999999999</c:v>
                </c:pt>
                <c:pt idx="27">
                  <c:v>984.70249999999987</c:v>
                </c:pt>
                <c:pt idx="28">
                  <c:v>1048.9724999999999</c:v>
                </c:pt>
                <c:pt idx="29">
                  <c:v>1118.6734873599999</c:v>
                </c:pt>
                <c:pt idx="30">
                  <c:v>1192.9385881399999</c:v>
                </c:pt>
                <c:pt idx="31">
                  <c:v>1265.9485881399999</c:v>
                </c:pt>
                <c:pt idx="32">
                  <c:v>1344.4485881399999</c:v>
                </c:pt>
                <c:pt idx="33">
                  <c:v>1434.7485881399998</c:v>
                </c:pt>
                <c:pt idx="34">
                  <c:v>1519.6140736399998</c:v>
                </c:pt>
                <c:pt idx="35">
                  <c:v>1607.7994219599998</c:v>
                </c:pt>
                <c:pt idx="36">
                  <c:v>1693.0222221549998</c:v>
                </c:pt>
                <c:pt idx="37">
                  <c:v>1782.8988112399998</c:v>
                </c:pt>
              </c:numCache>
            </c:numRef>
          </c:val>
          <c:extLst>
            <c:ext xmlns:c16="http://schemas.microsoft.com/office/drawing/2014/chart" uri="{C3380CC4-5D6E-409C-BE32-E72D297353CC}">
              <c16:uniqueId val="{00000002-575D-460B-AEE9-BAF0696656B2}"/>
            </c:ext>
          </c:extLst>
        </c:ser>
        <c:ser>
          <c:idx val="3"/>
          <c:order val="3"/>
          <c:tx>
            <c:strRef>
              <c:f>NA_Cumulative!$A$9</c:f>
              <c:strCache>
                <c:ptCount val="1"/>
                <c:pt idx="0">
                  <c:v>Direct Program</c:v>
                </c:pt>
              </c:strCache>
            </c:strRef>
          </c:tx>
          <c:spPr>
            <a:solidFill>
              <a:srgbClr val="8064A2"/>
            </a:solidFill>
            <a:ln>
              <a:noFill/>
            </a:ln>
            <a:effectLst/>
          </c:spPr>
          <c:cat>
            <c:numRef>
              <c:f>NA_Cumulative!$C$5:$AN$5</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cat>
          <c:val>
            <c:numRef>
              <c:f>NA_Cumulative!$C$9:$AN$9</c:f>
              <c:numCache>
                <c:formatCode>_(* #,##0.0_);_(* \(#,##0.0\);_(* "-"??_);_(@_)</c:formatCode>
                <c:ptCount val="38"/>
                <c:pt idx="0">
                  <c:v>4.5999999999999996</c:v>
                </c:pt>
                <c:pt idx="1">
                  <c:v>9.1999999999999993</c:v>
                </c:pt>
                <c:pt idx="2">
                  <c:v>18.299999999999997</c:v>
                </c:pt>
                <c:pt idx="3">
                  <c:v>37.9</c:v>
                </c:pt>
                <c:pt idx="4">
                  <c:v>53.8</c:v>
                </c:pt>
                <c:pt idx="5">
                  <c:v>73.400000000000006</c:v>
                </c:pt>
                <c:pt idx="6">
                  <c:v>95.600000000000009</c:v>
                </c:pt>
                <c:pt idx="7">
                  <c:v>114.4</c:v>
                </c:pt>
                <c:pt idx="8">
                  <c:v>137.4</c:v>
                </c:pt>
                <c:pt idx="9">
                  <c:v>170.2</c:v>
                </c:pt>
                <c:pt idx="10">
                  <c:v>203.2</c:v>
                </c:pt>
                <c:pt idx="11">
                  <c:v>270.2</c:v>
                </c:pt>
                <c:pt idx="12">
                  <c:v>319.8</c:v>
                </c:pt>
                <c:pt idx="13">
                  <c:v>375.7</c:v>
                </c:pt>
                <c:pt idx="14">
                  <c:v>447.1</c:v>
                </c:pt>
                <c:pt idx="15">
                  <c:v>515.6</c:v>
                </c:pt>
                <c:pt idx="16">
                  <c:v>597.80000000000007</c:v>
                </c:pt>
                <c:pt idx="17">
                  <c:v>702.7</c:v>
                </c:pt>
                <c:pt idx="18">
                  <c:v>810.90000000000009</c:v>
                </c:pt>
                <c:pt idx="19">
                  <c:v>919.10000000000014</c:v>
                </c:pt>
                <c:pt idx="20">
                  <c:v>1020.2000000000002</c:v>
                </c:pt>
                <c:pt idx="21">
                  <c:v>1157.3000000000002</c:v>
                </c:pt>
                <c:pt idx="22">
                  <c:v>1298.0000000000002</c:v>
                </c:pt>
                <c:pt idx="23">
                  <c:v>1435.9000000000003</c:v>
                </c:pt>
                <c:pt idx="24">
                  <c:v>1571.7000000000003</c:v>
                </c:pt>
                <c:pt idx="25">
                  <c:v>1709.6000000000004</c:v>
                </c:pt>
                <c:pt idx="26">
                  <c:v>1849.0820000000003</c:v>
                </c:pt>
                <c:pt idx="27">
                  <c:v>1997.9794339400003</c:v>
                </c:pt>
                <c:pt idx="28">
                  <c:v>2175.8388767700003</c:v>
                </c:pt>
                <c:pt idx="29">
                  <c:v>2375.4210898000001</c:v>
                </c:pt>
                <c:pt idx="30">
                  <c:v>2596.47471404</c:v>
                </c:pt>
                <c:pt idx="31">
                  <c:v>2845.4047140399998</c:v>
                </c:pt>
                <c:pt idx="32">
                  <c:v>3084.4047140399998</c:v>
                </c:pt>
                <c:pt idx="33">
                  <c:v>3316.2061960399997</c:v>
                </c:pt>
                <c:pt idx="34">
                  <c:v>3574.3834078699997</c:v>
                </c:pt>
                <c:pt idx="35">
                  <c:v>3832.5255977999996</c:v>
                </c:pt>
                <c:pt idx="36">
                  <c:v>4087.2298052899996</c:v>
                </c:pt>
                <c:pt idx="37">
                  <c:v>4345.9344566299997</c:v>
                </c:pt>
              </c:numCache>
            </c:numRef>
          </c:val>
          <c:extLst>
            <c:ext xmlns:c16="http://schemas.microsoft.com/office/drawing/2014/chart" uri="{C3380CC4-5D6E-409C-BE32-E72D297353CC}">
              <c16:uniqueId val="{00000003-575D-460B-AEE9-BAF0696656B2}"/>
            </c:ext>
          </c:extLst>
        </c:ser>
        <c:ser>
          <c:idx val="4"/>
          <c:order val="4"/>
          <c:tx>
            <c:strRef>
              <c:f>NA_Cumulative!$A$10</c:f>
              <c:strCache>
                <c:ptCount val="1"/>
                <c:pt idx="0">
                  <c:v>Fixed Expenses</c:v>
                </c:pt>
              </c:strCache>
            </c:strRef>
          </c:tx>
          <c:spPr>
            <a:solidFill>
              <a:srgbClr val="4BACC6"/>
            </a:solidFill>
            <a:ln>
              <a:noFill/>
            </a:ln>
            <a:effectLst/>
          </c:spPr>
          <c:cat>
            <c:numRef>
              <c:f>NA_Cumulative!$C$5:$AN$5</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cat>
          <c:val>
            <c:numRef>
              <c:f>NA_Cumulative!$C$10:$AN$10</c:f>
              <c:numCache>
                <c:formatCode>_(* #,##0.0_);_(* \(#,##0.0\);_(* "-"??_);_(@_)</c:formatCode>
                <c:ptCount val="38"/>
                <c:pt idx="0">
                  <c:v>32.799999999999997</c:v>
                </c:pt>
                <c:pt idx="1">
                  <c:v>45.199999999999996</c:v>
                </c:pt>
                <c:pt idx="2">
                  <c:v>61.099999999999994</c:v>
                </c:pt>
                <c:pt idx="3">
                  <c:v>77.699999999999989</c:v>
                </c:pt>
                <c:pt idx="4">
                  <c:v>97.399999999999991</c:v>
                </c:pt>
                <c:pt idx="5">
                  <c:v>119.5</c:v>
                </c:pt>
                <c:pt idx="6">
                  <c:v>148</c:v>
                </c:pt>
                <c:pt idx="7">
                  <c:v>179</c:v>
                </c:pt>
                <c:pt idx="8">
                  <c:v>210.9</c:v>
                </c:pt>
                <c:pt idx="9">
                  <c:v>245.2</c:v>
                </c:pt>
                <c:pt idx="10">
                  <c:v>283.39999999999998</c:v>
                </c:pt>
                <c:pt idx="11">
                  <c:v>325.29999999999995</c:v>
                </c:pt>
                <c:pt idx="12">
                  <c:v>378.9</c:v>
                </c:pt>
                <c:pt idx="13">
                  <c:v>440.2</c:v>
                </c:pt>
                <c:pt idx="14">
                  <c:v>503.79999999999995</c:v>
                </c:pt>
                <c:pt idx="15">
                  <c:v>576.9</c:v>
                </c:pt>
                <c:pt idx="16">
                  <c:v>653.19999999999993</c:v>
                </c:pt>
                <c:pt idx="17">
                  <c:v>727.3</c:v>
                </c:pt>
                <c:pt idx="18">
                  <c:v>803.4</c:v>
                </c:pt>
                <c:pt idx="19">
                  <c:v>879.69999999999993</c:v>
                </c:pt>
                <c:pt idx="20">
                  <c:v>957.9</c:v>
                </c:pt>
                <c:pt idx="21">
                  <c:v>1036.0999999999999</c:v>
                </c:pt>
                <c:pt idx="22">
                  <c:v>1116.5999999999999</c:v>
                </c:pt>
                <c:pt idx="23">
                  <c:v>1202</c:v>
                </c:pt>
                <c:pt idx="24">
                  <c:v>1291.7</c:v>
                </c:pt>
                <c:pt idx="25">
                  <c:v>1379.2</c:v>
                </c:pt>
                <c:pt idx="26">
                  <c:v>1492.1100000000001</c:v>
                </c:pt>
                <c:pt idx="27">
                  <c:v>1608.3100000000002</c:v>
                </c:pt>
                <c:pt idx="28">
                  <c:v>1728.3100000000002</c:v>
                </c:pt>
                <c:pt idx="29">
                  <c:v>1851.8261102145098</c:v>
                </c:pt>
                <c:pt idx="30">
                  <c:v>1978.9986920591759</c:v>
                </c:pt>
                <c:pt idx="31">
                  <c:v>2110.4986920591759</c:v>
                </c:pt>
                <c:pt idx="32">
                  <c:v>2253.898692059176</c:v>
                </c:pt>
                <c:pt idx="33">
                  <c:v>2395.1986920591762</c:v>
                </c:pt>
                <c:pt idx="34">
                  <c:v>2545.7774713522472</c:v>
                </c:pt>
                <c:pt idx="35">
                  <c:v>2693.99445848705</c:v>
                </c:pt>
                <c:pt idx="36">
                  <c:v>2815.371941085838</c:v>
                </c:pt>
                <c:pt idx="37">
                  <c:v>2920.4450397831351</c:v>
                </c:pt>
              </c:numCache>
            </c:numRef>
          </c:val>
          <c:extLst>
            <c:ext xmlns:c16="http://schemas.microsoft.com/office/drawing/2014/chart" uri="{C3380CC4-5D6E-409C-BE32-E72D297353CC}">
              <c16:uniqueId val="{00000004-575D-460B-AEE9-BAF0696656B2}"/>
            </c:ext>
          </c:extLst>
        </c:ser>
        <c:dLbls>
          <c:showLegendKey val="0"/>
          <c:showVal val="0"/>
          <c:showCatName val="0"/>
          <c:showSerName val="0"/>
          <c:showPercent val="0"/>
          <c:showBubbleSize val="0"/>
        </c:dLbls>
        <c:axId val="483682904"/>
        <c:axId val="483683296"/>
      </c:areaChart>
      <c:catAx>
        <c:axId val="4836829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483683296"/>
        <c:crosses val="autoZero"/>
        <c:auto val="1"/>
        <c:lblAlgn val="ctr"/>
        <c:lblOffset val="100"/>
        <c:noMultiLvlLbl val="0"/>
      </c:catAx>
      <c:valAx>
        <c:axId val="48368329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r>
                  <a:rPr lang="en-US">
                    <a:latin typeface="Century Gothic" panose="020B0502020202020204" pitchFamily="34" charset="0"/>
                  </a:rPr>
                  <a:t>(Billions)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483682904"/>
        <c:crosses val="autoZero"/>
        <c:crossBetween val="midCat"/>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78559850561086"/>
          <c:y val="3.8974061187221104E-2"/>
          <c:w val="0.87779334245867058"/>
          <c:h val="0.86161656411805998"/>
        </c:manualLayout>
      </c:layout>
      <c:barChart>
        <c:barDir val="col"/>
        <c:grouping val="clustered"/>
        <c:varyColors val="0"/>
        <c:ser>
          <c:idx val="0"/>
          <c:order val="0"/>
          <c:spPr>
            <a:solidFill>
              <a:schemeClr val="accent1"/>
            </a:solidFill>
            <a:ln w="25400">
              <a:noFill/>
            </a:ln>
            <a:effectLst/>
          </c:spPr>
          <c:invertIfNegative val="0"/>
          <c:cat>
            <c:numRef>
              <c:f>NA_Cumulative!$C$5:$AN$5</c:f>
              <c:numCache>
                <c:formatCode>General</c:formatCode>
                <c:ptCount val="38"/>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c:v>1995</c:v>
                </c:pt>
                <c:pt idx="15">
                  <c:v>1996</c:v>
                </c:pt>
                <c:pt idx="16">
                  <c:v>1997</c:v>
                </c:pt>
                <c:pt idx="17">
                  <c:v>1998</c:v>
                </c:pt>
                <c:pt idx="18">
                  <c:v>1999</c:v>
                </c:pt>
                <c:pt idx="19">
                  <c:v>2000</c:v>
                </c:pt>
                <c:pt idx="20">
                  <c:v>2001</c:v>
                </c:pt>
                <c:pt idx="21">
                  <c:v>2002</c:v>
                </c:pt>
                <c:pt idx="22">
                  <c:v>2003</c:v>
                </c:pt>
                <c:pt idx="23">
                  <c:v>2004</c:v>
                </c:pt>
                <c:pt idx="24">
                  <c:v>2005</c:v>
                </c:pt>
                <c:pt idx="25">
                  <c:v>2006</c:v>
                </c:pt>
                <c:pt idx="26">
                  <c:v>2007</c:v>
                </c:pt>
                <c:pt idx="27">
                  <c:v>2008</c:v>
                </c:pt>
                <c:pt idx="28">
                  <c:v>2009</c:v>
                </c:pt>
                <c:pt idx="29">
                  <c:v>2010</c:v>
                </c:pt>
                <c:pt idx="30">
                  <c:v>2011</c:v>
                </c:pt>
                <c:pt idx="31">
                  <c:v>2012</c:v>
                </c:pt>
                <c:pt idx="32">
                  <c:v>2013</c:v>
                </c:pt>
                <c:pt idx="33">
                  <c:v>2014</c:v>
                </c:pt>
                <c:pt idx="34">
                  <c:v>2015</c:v>
                </c:pt>
                <c:pt idx="35">
                  <c:v>2016</c:v>
                </c:pt>
                <c:pt idx="36">
                  <c:v>2017</c:v>
                </c:pt>
                <c:pt idx="37">
                  <c:v>2018</c:v>
                </c:pt>
              </c:numCache>
            </c:numRef>
          </c:cat>
          <c:val>
            <c:numRef>
              <c:f>NA_Cumulative!$C$21:$AN$21</c:f>
              <c:numCache>
                <c:formatCode>_(* #,##0.0_);_(* \(#,##0.0\);_(* "-"??_);_(@_)</c:formatCode>
                <c:ptCount val="38"/>
                <c:pt idx="0">
                  <c:v>2.2999999999999998</c:v>
                </c:pt>
                <c:pt idx="1">
                  <c:v>4.5999999999999996</c:v>
                </c:pt>
                <c:pt idx="2">
                  <c:v>9.1</c:v>
                </c:pt>
                <c:pt idx="3">
                  <c:v>19.600000000000001</c:v>
                </c:pt>
                <c:pt idx="4">
                  <c:v>15.9</c:v>
                </c:pt>
                <c:pt idx="5">
                  <c:v>19.600000000000001</c:v>
                </c:pt>
                <c:pt idx="6">
                  <c:v>22.2</c:v>
                </c:pt>
                <c:pt idx="7">
                  <c:v>18.8</c:v>
                </c:pt>
                <c:pt idx="8">
                  <c:v>23</c:v>
                </c:pt>
                <c:pt idx="9">
                  <c:v>32.799999999999997</c:v>
                </c:pt>
                <c:pt idx="10">
                  <c:v>33</c:v>
                </c:pt>
                <c:pt idx="11">
                  <c:v>67</c:v>
                </c:pt>
                <c:pt idx="12">
                  <c:v>49.6</c:v>
                </c:pt>
                <c:pt idx="13">
                  <c:v>55.9</c:v>
                </c:pt>
                <c:pt idx="14">
                  <c:v>71.400000000000006</c:v>
                </c:pt>
                <c:pt idx="15">
                  <c:v>68.5</c:v>
                </c:pt>
                <c:pt idx="16">
                  <c:v>82.2</c:v>
                </c:pt>
                <c:pt idx="17">
                  <c:v>104.9</c:v>
                </c:pt>
                <c:pt idx="18">
                  <c:v>108.2</c:v>
                </c:pt>
                <c:pt idx="19">
                  <c:v>108.2</c:v>
                </c:pt>
                <c:pt idx="20">
                  <c:v>101.1</c:v>
                </c:pt>
                <c:pt idx="21">
                  <c:v>137.1</c:v>
                </c:pt>
                <c:pt idx="22">
                  <c:v>140.69999999999999</c:v>
                </c:pt>
                <c:pt idx="23">
                  <c:v>137.9</c:v>
                </c:pt>
                <c:pt idx="24">
                  <c:v>135.80000000000001</c:v>
                </c:pt>
                <c:pt idx="25">
                  <c:v>137.9</c:v>
                </c:pt>
                <c:pt idx="26">
                  <c:v>139.482</c:v>
                </c:pt>
                <c:pt idx="27">
                  <c:v>148.89743393999996</c:v>
                </c:pt>
                <c:pt idx="28">
                  <c:v>177.85944282999998</c:v>
                </c:pt>
                <c:pt idx="29">
                  <c:v>199.58221303000002</c:v>
                </c:pt>
                <c:pt idx="30">
                  <c:v>221.05362423999992</c:v>
                </c:pt>
                <c:pt idx="31">
                  <c:v>248.93</c:v>
                </c:pt>
                <c:pt idx="32">
                  <c:v>239</c:v>
                </c:pt>
                <c:pt idx="33">
                  <c:v>231.80148199999996</c:v>
                </c:pt>
                <c:pt idx="34">
                  <c:v>258.17721182999998</c:v>
                </c:pt>
                <c:pt idx="35">
                  <c:v>258.14218992999997</c:v>
                </c:pt>
                <c:pt idx="36">
                  <c:v>254.70420748999999</c:v>
                </c:pt>
                <c:pt idx="37">
                  <c:v>258.70465134000005</c:v>
                </c:pt>
              </c:numCache>
            </c:numRef>
          </c:val>
          <c:extLst>
            <c:ext xmlns:c16="http://schemas.microsoft.com/office/drawing/2014/chart" uri="{C3380CC4-5D6E-409C-BE32-E72D297353CC}">
              <c16:uniqueId val="{00000000-B77B-454B-B89A-1057F3AE6292}"/>
            </c:ext>
          </c:extLst>
        </c:ser>
        <c:dLbls>
          <c:showLegendKey val="0"/>
          <c:showVal val="0"/>
          <c:showCatName val="0"/>
          <c:showSerName val="0"/>
          <c:showPercent val="0"/>
          <c:showBubbleSize val="0"/>
        </c:dLbls>
        <c:gapWidth val="150"/>
        <c:axId val="625337248"/>
        <c:axId val="625337640"/>
      </c:barChart>
      <c:catAx>
        <c:axId val="6253372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625337640"/>
        <c:crosses val="autoZero"/>
        <c:auto val="1"/>
        <c:lblAlgn val="ctr"/>
        <c:lblOffset val="100"/>
        <c:noMultiLvlLbl val="0"/>
      </c:catAx>
      <c:valAx>
        <c:axId val="6253376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r>
                  <a:rPr lang="en-US">
                    <a:latin typeface="Century Gothic" panose="020B0502020202020204" pitchFamily="34" charset="0"/>
                  </a:rPr>
                  <a:t>(millions)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Century Gothic" panose="020B0502020202020204" pitchFamily="34" charset="0"/>
                <a:ea typeface="+mn-ea"/>
                <a:cs typeface="+mn-cs"/>
              </a:defRPr>
            </a:pPr>
            <a:endParaRPr lang="en-US"/>
          </a:p>
        </c:txPr>
        <c:crossAx val="625337248"/>
        <c:crosses val="autoZero"/>
        <c:crossBetween val="between"/>
      </c:valAx>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editAs="absolute">
    <xdr:from>
      <xdr:col>4</xdr:col>
      <xdr:colOff>1402455</xdr:colOff>
      <xdr:row>1</xdr:row>
      <xdr:rowOff>79024</xdr:rowOff>
    </xdr:from>
    <xdr:to>
      <xdr:col>9</xdr:col>
      <xdr:colOff>400009</xdr:colOff>
      <xdr:row>27</xdr:row>
      <xdr:rowOff>68845</xdr:rowOff>
    </xdr:to>
    <xdr:graphicFrame macro="">
      <xdr:nvGraphicFramePr>
        <xdr:cNvPr id="4" name="Chart 3">
          <a:extLst>
            <a:ext uri="{FF2B5EF4-FFF2-40B4-BE49-F238E27FC236}">
              <a16:creationId xmlns:a16="http://schemas.microsoft.com/office/drawing/2014/main" id="{D2E171E7-C3A6-3621-F4B7-F528D70EB0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31751</xdr:colOff>
      <xdr:row>43</xdr:row>
      <xdr:rowOff>25400</xdr:rowOff>
    </xdr:from>
    <xdr:to>
      <xdr:col>7</xdr:col>
      <xdr:colOff>1343026</xdr:colOff>
      <xdr:row>64</xdr:row>
      <xdr:rowOff>181341</xdr:rowOff>
    </xdr:to>
    <xdr:graphicFrame macro="">
      <xdr:nvGraphicFramePr>
        <xdr:cNvPr id="2" name="Chart 1">
          <a:extLst>
            <a:ext uri="{FF2B5EF4-FFF2-40B4-BE49-F238E27FC236}">
              <a16:creationId xmlns:a16="http://schemas.microsoft.com/office/drawing/2014/main" id="{4832B28C-EFA2-45C1-BFA0-11671BFFA3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86262</xdr:colOff>
      <xdr:row>1</xdr:row>
      <xdr:rowOff>21053</xdr:rowOff>
    </xdr:from>
    <xdr:to>
      <xdr:col>9</xdr:col>
      <xdr:colOff>352962</xdr:colOff>
      <xdr:row>18</xdr:row>
      <xdr:rowOff>49628</xdr:rowOff>
    </xdr:to>
    <xdr:graphicFrame macro="">
      <xdr:nvGraphicFramePr>
        <xdr:cNvPr id="2" name="Chart 1">
          <a:extLst>
            <a:ext uri="{FF2B5EF4-FFF2-40B4-BE49-F238E27FC236}">
              <a16:creationId xmlns:a16="http://schemas.microsoft.com/office/drawing/2014/main" id="{6481BC75-6C5B-41D8-9A6B-553D48A2D3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4</xdr:col>
      <xdr:colOff>75122</xdr:colOff>
      <xdr:row>19</xdr:row>
      <xdr:rowOff>173271</xdr:rowOff>
    </xdr:from>
    <xdr:to>
      <xdr:col>8</xdr:col>
      <xdr:colOff>2004348</xdr:colOff>
      <xdr:row>31</xdr:row>
      <xdr:rowOff>57150</xdr:rowOff>
    </xdr:to>
    <xdr:graphicFrame macro="">
      <xdr:nvGraphicFramePr>
        <xdr:cNvPr id="3" name="Chart 2">
          <a:extLst>
            <a:ext uri="{FF2B5EF4-FFF2-40B4-BE49-F238E27FC236}">
              <a16:creationId xmlns:a16="http://schemas.microsoft.com/office/drawing/2014/main" id="{231FC10F-A977-4AE3-88E0-41754075F0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0</xdr:colOff>
      <xdr:row>3</xdr:row>
      <xdr:rowOff>0</xdr:rowOff>
    </xdr:from>
    <xdr:to>
      <xdr:col>23</xdr:col>
      <xdr:colOff>514350</xdr:colOff>
      <xdr:row>20</xdr:row>
      <xdr:rowOff>66675</xdr:rowOff>
    </xdr:to>
    <xdr:graphicFrame macro="">
      <xdr:nvGraphicFramePr>
        <xdr:cNvPr id="4" name="Chart 3">
          <a:extLst>
            <a:ext uri="{FF2B5EF4-FFF2-40B4-BE49-F238E27FC236}">
              <a16:creationId xmlns:a16="http://schemas.microsoft.com/office/drawing/2014/main" id="{F520C61D-369E-4B47-AE5E-CB3A372E21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15</xdr:col>
      <xdr:colOff>8283</xdr:colOff>
      <xdr:row>21</xdr:row>
      <xdr:rowOff>157369</xdr:rowOff>
    </xdr:from>
    <xdr:to>
      <xdr:col>24</xdr:col>
      <xdr:colOff>223009</xdr:colOff>
      <xdr:row>33</xdr:row>
      <xdr:rowOff>41248</xdr:rowOff>
    </xdr:to>
    <xdr:graphicFrame macro="">
      <xdr:nvGraphicFramePr>
        <xdr:cNvPr id="7" name="Chart 6">
          <a:extLst>
            <a:ext uri="{FF2B5EF4-FFF2-40B4-BE49-F238E27FC236}">
              <a16:creationId xmlns:a16="http://schemas.microsoft.com/office/drawing/2014/main" id="{C48C61B1-2F90-421C-B2AF-3677D9392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0.50072</cdr:x>
      <cdr:y>0.21614</cdr:y>
    </cdr:from>
    <cdr:to>
      <cdr:x>0.52374</cdr:x>
      <cdr:y>0.21614</cdr:y>
    </cdr:to>
    <cdr:cxnSp macro="">
      <cdr:nvCxnSpPr>
        <cdr:cNvPr id="2" name="Straight Connector 1">
          <a:extLst xmlns:a="http://schemas.openxmlformats.org/drawingml/2006/main">
            <a:ext uri="{FF2B5EF4-FFF2-40B4-BE49-F238E27FC236}">
              <a16:creationId xmlns:a16="http://schemas.microsoft.com/office/drawing/2014/main" id="{18458126-CA54-46B2-D2CD-41942E941F37}"/>
            </a:ext>
          </a:extLst>
        </cdr:cNvPr>
        <cdr:cNvCxnSpPr/>
      </cdr:nvCxnSpPr>
      <cdr:spPr bwMode="auto">
        <a:xfrm xmlns:a="http://schemas.openxmlformats.org/drawingml/2006/main" flipH="1">
          <a:off x="3314700" y="714375"/>
          <a:ext cx="152400" cy="0"/>
        </a:xfrm>
        <a:prstGeom xmlns:a="http://schemas.openxmlformats.org/drawingml/2006/main" prst="line">
          <a:avLst/>
        </a:prstGeom>
        <a:solidFill xmlns:a="http://schemas.openxmlformats.org/drawingml/2006/main">
          <a:srgbClr val="FFFFFF"/>
        </a:solidFill>
        <a:ln xmlns:a="http://schemas.openxmlformats.org/drawingml/2006/main" w="9525" cap="flat" cmpd="sng" algn="ctr">
          <a:solidFill>
            <a:schemeClr val="bg1">
              <a:lumMod val="85000"/>
            </a:schemeClr>
          </a:solidFill>
          <a:prstDash val="solid"/>
          <a:round/>
          <a:headEnd type="none" w="med" len="med"/>
          <a:tailEnd type="none" w="med" len="med"/>
        </a:ln>
        <a:effectLst xmlns:a="http://schemas.openxmlformats.org/drawingml/2006/main"/>
      </cdr:spPr>
    </cdr:cxnSp>
  </cdr:relSizeAnchor>
</c:userShapes>
</file>

<file path=xl/drawings/drawing4.xml><?xml version="1.0" encoding="utf-8"?>
<c:userShapes xmlns:c="http://schemas.openxmlformats.org/drawingml/2006/chart">
  <cdr:relSizeAnchor xmlns:cdr="http://schemas.openxmlformats.org/drawingml/2006/chartDrawing">
    <cdr:from>
      <cdr:x>0.49793</cdr:x>
      <cdr:y>0.2215</cdr:y>
    </cdr:from>
    <cdr:to>
      <cdr:x>0.52204</cdr:x>
      <cdr:y>0.2215</cdr:y>
    </cdr:to>
    <cdr:cxnSp macro="">
      <cdr:nvCxnSpPr>
        <cdr:cNvPr id="3" name="Straight Connector 2">
          <a:extLst xmlns:a="http://schemas.openxmlformats.org/drawingml/2006/main">
            <a:ext uri="{FF2B5EF4-FFF2-40B4-BE49-F238E27FC236}">
              <a16:creationId xmlns:a16="http://schemas.microsoft.com/office/drawing/2014/main" id="{1C62E5D3-A93B-D990-F481-93D06CCD39BB}"/>
            </a:ext>
          </a:extLst>
        </cdr:cNvPr>
        <cdr:cNvCxnSpPr/>
      </cdr:nvCxnSpPr>
      <cdr:spPr bwMode="auto">
        <a:xfrm xmlns:a="http://schemas.openxmlformats.org/drawingml/2006/main" flipH="1">
          <a:off x="2907196" y="836543"/>
          <a:ext cx="140804" cy="0"/>
        </a:xfrm>
        <a:prstGeom xmlns:a="http://schemas.openxmlformats.org/drawingml/2006/main" prst="line">
          <a:avLst/>
        </a:prstGeom>
        <a:solidFill xmlns:a="http://schemas.openxmlformats.org/drawingml/2006/main">
          <a:srgbClr val="FFFFFF"/>
        </a:solidFill>
        <a:ln xmlns:a="http://schemas.openxmlformats.org/drawingml/2006/main" w="9525" cap="flat" cmpd="sng" algn="ctr">
          <a:solidFill>
            <a:schemeClr val="bg1">
              <a:lumMod val="85000"/>
            </a:schemeClr>
          </a:solidFill>
          <a:prstDash val="solid"/>
          <a:round/>
          <a:headEnd type="none" w="med" len="med"/>
          <a:tailEnd type="none" w="med" len="med"/>
        </a:ln>
        <a:effectLst xmlns:a="http://schemas.openxmlformats.org/drawingml/2006/main"/>
      </cdr:spPr>
    </cdr:cxnSp>
  </cdr:relSizeAnchor>
</c:userShapes>
</file>

<file path=xl/drawings/drawing5.xml><?xml version="1.0" encoding="utf-8"?>
<xdr:wsDr xmlns:xdr="http://schemas.openxmlformats.org/drawingml/2006/spreadsheetDrawing" xmlns:a="http://schemas.openxmlformats.org/drawingml/2006/main">
  <xdr:twoCellAnchor editAs="oneCell">
    <xdr:from>
      <xdr:col>0</xdr:col>
      <xdr:colOff>12427</xdr:colOff>
      <xdr:row>17</xdr:row>
      <xdr:rowOff>35651</xdr:rowOff>
    </xdr:from>
    <xdr:to>
      <xdr:col>19</xdr:col>
      <xdr:colOff>969372</xdr:colOff>
      <xdr:row>64</xdr:row>
      <xdr:rowOff>73388</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23</xdr:row>
      <xdr:rowOff>106918</xdr:rowOff>
    </xdr:from>
    <xdr:to>
      <xdr:col>5</xdr:col>
      <xdr:colOff>1494641</xdr:colOff>
      <xdr:row>51</xdr:row>
      <xdr:rowOff>145488</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31563</xdr:colOff>
      <xdr:row>20</xdr:row>
      <xdr:rowOff>69215</xdr:rowOff>
    </xdr:from>
    <xdr:to>
      <xdr:col>16</xdr:col>
      <xdr:colOff>515815</xdr:colOff>
      <xdr:row>42</xdr:row>
      <xdr:rowOff>66675</xdr:rowOff>
    </xdr:to>
    <xdr:graphicFrame macro="">
      <xdr:nvGraphicFramePr>
        <xdr:cNvPr id="3" name="Chart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74</xdr:row>
      <xdr:rowOff>94145</xdr:rowOff>
    </xdr:from>
    <xdr:to>
      <xdr:col>8</xdr:col>
      <xdr:colOff>724808</xdr:colOff>
      <xdr:row>141</xdr:row>
      <xdr:rowOff>114300</xdr:rowOff>
    </xdr:to>
    <xdr:graphicFrame macro="">
      <xdr:nvGraphicFramePr>
        <xdr:cNvPr id="2" name="Chart 1">
          <a:extLst>
            <a:ext uri="{FF2B5EF4-FFF2-40B4-BE49-F238E27FC236}">
              <a16:creationId xmlns:a16="http://schemas.microsoft.com/office/drawing/2014/main" id="{16798463-AC7C-4CE7-9606-E74BC8F7BA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101916</xdr:colOff>
      <xdr:row>16</xdr:row>
      <xdr:rowOff>38100</xdr:rowOff>
    </xdr:from>
    <xdr:to>
      <xdr:col>10</xdr:col>
      <xdr:colOff>1000373</xdr:colOff>
      <xdr:row>45</xdr:row>
      <xdr:rowOff>95250</xdr:rowOff>
    </xdr:to>
    <xdr:graphicFrame macro="">
      <xdr:nvGraphicFramePr>
        <xdr:cNvPr id="2" name="Chart 1">
          <a:extLst>
            <a:ext uri="{FF2B5EF4-FFF2-40B4-BE49-F238E27FC236}">
              <a16:creationId xmlns:a16="http://schemas.microsoft.com/office/drawing/2014/main" id="{78FB323D-FC30-6167-EAB8-1E7CDFB0816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0.12867</cdr:x>
      <cdr:y>0.16615</cdr:y>
    </cdr:from>
    <cdr:to>
      <cdr:x>0.34022</cdr:x>
      <cdr:y>0.27336</cdr:y>
    </cdr:to>
    <cdr:sp macro="" textlink="">
      <cdr:nvSpPr>
        <cdr:cNvPr id="2" name="TextBox 2">
          <a:extLst xmlns:a="http://schemas.openxmlformats.org/drawingml/2006/main">
            <a:ext uri="{FF2B5EF4-FFF2-40B4-BE49-F238E27FC236}">
              <a16:creationId xmlns:a16="http://schemas.microsoft.com/office/drawing/2014/main" id="{2558D7DB-A200-8EA2-3F95-90FACFB5DA1F}"/>
            </a:ext>
          </a:extLst>
        </cdr:cNvPr>
        <cdr:cNvSpPr txBox="1"/>
      </cdr:nvSpPr>
      <cdr:spPr>
        <a:xfrm xmlns:a="http://schemas.openxmlformats.org/drawingml/2006/main">
          <a:off x="821083" y="937039"/>
          <a:ext cx="1350066" cy="604631"/>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US" sz="1050"/>
            <a:t>British</a:t>
          </a:r>
          <a:r>
            <a:rPr lang="en-US" sz="1050" baseline="0"/>
            <a:t> Columbia, Ocean and Nevada, &lt;1% each</a:t>
          </a:r>
          <a:endParaRPr lang="en-US" sz="1050"/>
        </a:p>
      </cdr:txBody>
    </cdr:sp>
  </cdr:relSizeAnchor>
  <cdr:relSizeAnchor xmlns:cdr="http://schemas.openxmlformats.org/drawingml/2006/chartDrawing">
    <cdr:from>
      <cdr:x>0.31686</cdr:x>
      <cdr:y>0.19406</cdr:y>
    </cdr:from>
    <cdr:to>
      <cdr:x>0.48948</cdr:x>
      <cdr:y>0.19406</cdr:y>
    </cdr:to>
    <cdr:cxnSp macro="">
      <cdr:nvCxnSpPr>
        <cdr:cNvPr id="3" name="Straight Connector 2">
          <a:extLst xmlns:a="http://schemas.openxmlformats.org/drawingml/2006/main">
            <a:ext uri="{FF2B5EF4-FFF2-40B4-BE49-F238E27FC236}">
              <a16:creationId xmlns:a16="http://schemas.microsoft.com/office/drawing/2014/main" id="{9846B442-7392-D350-4ABA-CDD8700B1CEF}"/>
            </a:ext>
          </a:extLst>
        </cdr:cNvPr>
        <cdr:cNvCxnSpPr/>
      </cdr:nvCxnSpPr>
      <cdr:spPr bwMode="auto">
        <a:xfrm xmlns:a="http://schemas.openxmlformats.org/drawingml/2006/main">
          <a:off x="2022062" y="1094405"/>
          <a:ext cx="1101587" cy="0"/>
        </a:xfrm>
        <a:prstGeom xmlns:a="http://schemas.openxmlformats.org/drawingml/2006/main" prst="line">
          <a:avLst/>
        </a:prstGeom>
        <a:solidFill xmlns:a="http://schemas.openxmlformats.org/drawingml/2006/main">
          <a:srgbClr val="FFFFFF"/>
        </a:solidFill>
        <a:ln xmlns:a="http://schemas.openxmlformats.org/drawingml/2006/main" w="9525" cap="flat" cmpd="sng" algn="ctr">
          <a:solidFill>
            <a:schemeClr val="bg1">
              <a:lumMod val="65000"/>
            </a:schemeClr>
          </a:solidFill>
          <a:prstDash val="solid"/>
          <a:round/>
          <a:headEnd type="none" w="med" len="med"/>
          <a:tailEnd type="none" w="med" len="med"/>
        </a:ln>
        <a:effectLst xmlns:a="http://schemas.openxmlformats.org/drawingml/2006/main"/>
      </cdr:spPr>
    </cdr:cxnSp>
  </cdr:relSizeAnchor>
</c:userShapes>
</file>

<file path=xl/drawings/drawing11.xml><?xml version="1.0" encoding="utf-8"?>
<xdr:wsDr xmlns:xdr="http://schemas.openxmlformats.org/drawingml/2006/spreadsheetDrawing" xmlns:a="http://schemas.openxmlformats.org/drawingml/2006/main">
  <xdr:oneCellAnchor>
    <xdr:from>
      <xdr:col>0</xdr:col>
      <xdr:colOff>10257</xdr:colOff>
      <xdr:row>77</xdr:row>
      <xdr:rowOff>34373</xdr:rowOff>
    </xdr:from>
    <xdr:ext cx="9953625" cy="8211889"/>
    <xdr:graphicFrame macro="">
      <xdr:nvGraphicFramePr>
        <xdr:cNvPr id="3" name="Chart 2">
          <a:extLst>
            <a:ext uri="{FF2B5EF4-FFF2-40B4-BE49-F238E27FC236}">
              <a16:creationId xmlns:a16="http://schemas.microsoft.com/office/drawing/2014/main" id="{E9A713EC-A39C-428B-A394-FD59D7C4E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drawings/drawing12.xml><?xml version="1.0" encoding="utf-8"?>
<xdr:wsDr xmlns:xdr="http://schemas.openxmlformats.org/drawingml/2006/spreadsheetDrawing" xmlns:a="http://schemas.openxmlformats.org/drawingml/2006/main">
  <xdr:twoCellAnchor>
    <xdr:from>
      <xdr:col>0</xdr:col>
      <xdr:colOff>10477</xdr:colOff>
      <xdr:row>12</xdr:row>
      <xdr:rowOff>5715</xdr:rowOff>
    </xdr:from>
    <xdr:to>
      <xdr:col>2</xdr:col>
      <xdr:colOff>1988820</xdr:colOff>
      <xdr:row>24</xdr:row>
      <xdr:rowOff>66675</xdr:rowOff>
    </xdr:to>
    <xdr:graphicFrame macro="">
      <xdr:nvGraphicFramePr>
        <xdr:cNvPr id="6" name="Chart 5">
          <a:extLst>
            <a:ext uri="{FF2B5EF4-FFF2-40B4-BE49-F238E27FC236}">
              <a16:creationId xmlns:a16="http://schemas.microsoft.com/office/drawing/2014/main" id="{80ED500F-3C21-F79A-D40E-F9826AE2E8E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32</xdr:col>
      <xdr:colOff>0</xdr:colOff>
      <xdr:row>28</xdr:row>
      <xdr:rowOff>1242</xdr:rowOff>
    </xdr:from>
    <xdr:to>
      <xdr:col>41</xdr:col>
      <xdr:colOff>361951</xdr:colOff>
      <xdr:row>53</xdr:row>
      <xdr:rowOff>0</xdr:rowOff>
    </xdr:to>
    <xdr:graphicFrame macro="">
      <xdr:nvGraphicFramePr>
        <xdr:cNvPr id="4" name="Chart 3">
          <a:extLst>
            <a:ext uri="{FF2B5EF4-FFF2-40B4-BE49-F238E27FC236}">
              <a16:creationId xmlns:a16="http://schemas.microsoft.com/office/drawing/2014/main" id="{DEED4456-E4EF-4CA2-9820-728F5D7026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44</xdr:col>
      <xdr:colOff>0</xdr:colOff>
      <xdr:row>29</xdr:row>
      <xdr:rowOff>0</xdr:rowOff>
    </xdr:from>
    <xdr:to>
      <xdr:col>53</xdr:col>
      <xdr:colOff>447262</xdr:colOff>
      <xdr:row>54</xdr:row>
      <xdr:rowOff>20293</xdr:rowOff>
    </xdr:to>
    <xdr:graphicFrame macro="">
      <xdr:nvGraphicFramePr>
        <xdr:cNvPr id="5" name="Chart 4">
          <a:extLst>
            <a:ext uri="{FF2B5EF4-FFF2-40B4-BE49-F238E27FC236}">
              <a16:creationId xmlns:a16="http://schemas.microsoft.com/office/drawing/2014/main" id="{4356DCE3-651D-4C9F-85C2-87436A52EF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0.7935</cdr:x>
      <cdr:y>0.13755</cdr:y>
    </cdr:from>
    <cdr:to>
      <cdr:x>0.94712</cdr:x>
      <cdr:y>0.19777</cdr:y>
    </cdr:to>
    <cdr:sp macro="" textlink="">
      <cdr:nvSpPr>
        <cdr:cNvPr id="3" name="TextBox 2"/>
        <cdr:cNvSpPr txBox="1"/>
      </cdr:nvSpPr>
      <cdr:spPr>
        <a:xfrm xmlns:a="http://schemas.openxmlformats.org/drawingml/2006/main">
          <a:off x="4973222" y="556657"/>
          <a:ext cx="962806" cy="24370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000">
              <a:solidFill>
                <a:schemeClr val="bg1">
                  <a:lumMod val="50000"/>
                </a:schemeClr>
              </a:solidFill>
              <a:latin typeface="Century Gothic" panose="020B0502020202020204" pitchFamily="34" charset="0"/>
            </a:rPr>
            <a:t>–</a:t>
          </a:r>
          <a:r>
            <a:rPr lang="en-US" sz="1000" baseline="0">
              <a:solidFill>
                <a:schemeClr val="bg1">
                  <a:lumMod val="50000"/>
                </a:schemeClr>
              </a:solidFill>
              <a:latin typeface="Century Gothic" panose="020B0502020202020204" pitchFamily="34" charset="0"/>
            </a:rPr>
            <a:t> $2.9B</a:t>
          </a:r>
          <a:endParaRPr lang="en-US" sz="1000">
            <a:solidFill>
              <a:schemeClr val="bg1">
                <a:lumMod val="50000"/>
              </a:schemeClr>
            </a:solidFill>
            <a:latin typeface="Century Gothic" panose="020B0502020202020204" pitchFamily="34" charset="0"/>
          </a:endParaRPr>
        </a:p>
      </cdr:txBody>
    </cdr:sp>
  </cdr:relSizeAnchor>
  <cdr:relSizeAnchor xmlns:cdr="http://schemas.openxmlformats.org/drawingml/2006/chartDrawing">
    <cdr:from>
      <cdr:x>0.80295</cdr:x>
      <cdr:y>0.07316</cdr:y>
    </cdr:from>
    <cdr:to>
      <cdr:x>0.88479</cdr:x>
      <cdr:y>0.13337</cdr:y>
    </cdr:to>
    <cdr:sp macro="" textlink="">
      <cdr:nvSpPr>
        <cdr:cNvPr id="4" name="TextBox 1"/>
        <cdr:cNvSpPr txBox="1"/>
      </cdr:nvSpPr>
      <cdr:spPr>
        <a:xfrm xmlns:a="http://schemas.openxmlformats.org/drawingml/2006/main">
          <a:off x="5032451" y="296053"/>
          <a:ext cx="512928" cy="24366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chemeClr val="bg1">
                  <a:lumMod val="50000"/>
                </a:schemeClr>
              </a:solidFill>
              <a:latin typeface="Century Gothic" panose="020B0502020202020204" pitchFamily="34" charset="0"/>
            </a:rPr>
            <a:t>Totals</a:t>
          </a:r>
        </a:p>
      </cdr:txBody>
    </cdr:sp>
  </cdr:relSizeAnchor>
  <cdr:relSizeAnchor xmlns:cdr="http://schemas.openxmlformats.org/drawingml/2006/chartDrawing">
    <cdr:from>
      <cdr:x>0.79473</cdr:x>
      <cdr:y>0.30329</cdr:y>
    </cdr:from>
    <cdr:to>
      <cdr:x>0.94835</cdr:x>
      <cdr:y>0.36351</cdr:y>
    </cdr:to>
    <cdr:sp macro="" textlink="">
      <cdr:nvSpPr>
        <cdr:cNvPr id="5" name="TextBox 1"/>
        <cdr:cNvSpPr txBox="1"/>
      </cdr:nvSpPr>
      <cdr:spPr>
        <a:xfrm xmlns:a="http://schemas.openxmlformats.org/drawingml/2006/main">
          <a:off x="4980931" y="1227362"/>
          <a:ext cx="962806" cy="24370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chemeClr val="bg1">
                  <a:lumMod val="50000"/>
                </a:schemeClr>
              </a:solidFill>
              <a:latin typeface="Century Gothic" panose="020B0502020202020204" pitchFamily="34" charset="0"/>
            </a:rPr>
            <a:t>–</a:t>
          </a:r>
          <a:r>
            <a:rPr lang="en-US" sz="1000" baseline="0">
              <a:solidFill>
                <a:schemeClr val="bg1">
                  <a:lumMod val="50000"/>
                </a:schemeClr>
              </a:solidFill>
              <a:latin typeface="Century Gothic" panose="020B0502020202020204" pitchFamily="34" charset="0"/>
            </a:rPr>
            <a:t> $4.3B</a:t>
          </a:r>
          <a:endParaRPr lang="en-US" sz="1000">
            <a:solidFill>
              <a:schemeClr val="bg1">
                <a:lumMod val="50000"/>
              </a:schemeClr>
            </a:solidFill>
            <a:latin typeface="Century Gothic" panose="020B0502020202020204" pitchFamily="34" charset="0"/>
          </a:endParaRPr>
        </a:p>
      </cdr:txBody>
    </cdr:sp>
  </cdr:relSizeAnchor>
  <cdr:relSizeAnchor xmlns:cdr="http://schemas.openxmlformats.org/drawingml/2006/chartDrawing">
    <cdr:from>
      <cdr:x>0.79486</cdr:x>
      <cdr:y>0.45044</cdr:y>
    </cdr:from>
    <cdr:to>
      <cdr:x>0.94848</cdr:x>
      <cdr:y>0.51066</cdr:y>
    </cdr:to>
    <cdr:sp macro="" textlink="">
      <cdr:nvSpPr>
        <cdr:cNvPr id="6" name="TextBox 1"/>
        <cdr:cNvSpPr txBox="1"/>
      </cdr:nvSpPr>
      <cdr:spPr>
        <a:xfrm xmlns:a="http://schemas.openxmlformats.org/drawingml/2006/main">
          <a:off x="4981745" y="1822866"/>
          <a:ext cx="962805" cy="24370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chemeClr val="bg1">
                  <a:lumMod val="50000"/>
                </a:schemeClr>
              </a:solidFill>
              <a:latin typeface="Century Gothic" panose="020B0502020202020204" pitchFamily="34" charset="0"/>
            </a:rPr>
            <a:t>–</a:t>
          </a:r>
          <a:r>
            <a:rPr lang="en-US" sz="1000" baseline="0">
              <a:solidFill>
                <a:schemeClr val="bg1">
                  <a:lumMod val="50000"/>
                </a:schemeClr>
              </a:solidFill>
              <a:latin typeface="Century Gothic" panose="020B0502020202020204" pitchFamily="34" charset="0"/>
            </a:rPr>
            <a:t> $1.8B</a:t>
          </a:r>
          <a:endParaRPr lang="en-US" sz="1000">
            <a:solidFill>
              <a:schemeClr val="bg1">
                <a:lumMod val="50000"/>
              </a:schemeClr>
            </a:solidFill>
            <a:latin typeface="Century Gothic" panose="020B0502020202020204" pitchFamily="34" charset="0"/>
          </a:endParaRPr>
        </a:p>
      </cdr:txBody>
    </cdr:sp>
  </cdr:relSizeAnchor>
  <cdr:relSizeAnchor xmlns:cdr="http://schemas.openxmlformats.org/drawingml/2006/chartDrawing">
    <cdr:from>
      <cdr:x>0.79473</cdr:x>
      <cdr:y>0.57322</cdr:y>
    </cdr:from>
    <cdr:to>
      <cdr:x>0.94835</cdr:x>
      <cdr:y>0.63344</cdr:y>
    </cdr:to>
    <cdr:sp macro="" textlink="">
      <cdr:nvSpPr>
        <cdr:cNvPr id="7" name="TextBox 1"/>
        <cdr:cNvSpPr txBox="1"/>
      </cdr:nvSpPr>
      <cdr:spPr>
        <a:xfrm xmlns:a="http://schemas.openxmlformats.org/drawingml/2006/main">
          <a:off x="4980931" y="2319757"/>
          <a:ext cx="962806" cy="243703"/>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chemeClr val="bg1">
                  <a:lumMod val="50000"/>
                </a:schemeClr>
              </a:solidFill>
              <a:latin typeface="Century Gothic" panose="020B0502020202020204" pitchFamily="34" charset="0"/>
            </a:rPr>
            <a:t>–</a:t>
          </a:r>
          <a:r>
            <a:rPr lang="en-US" sz="1000" baseline="0">
              <a:solidFill>
                <a:schemeClr val="bg1">
                  <a:lumMod val="50000"/>
                </a:schemeClr>
              </a:solidFill>
              <a:latin typeface="Century Gothic" panose="020B0502020202020204" pitchFamily="34" charset="0"/>
            </a:rPr>
            <a:t> $3.4B</a:t>
          </a:r>
          <a:endParaRPr lang="en-US" sz="1000">
            <a:solidFill>
              <a:schemeClr val="bg1">
                <a:lumMod val="50000"/>
              </a:schemeClr>
            </a:solidFill>
            <a:latin typeface="Century Gothic" panose="020B0502020202020204" pitchFamily="34" charset="0"/>
          </a:endParaRPr>
        </a:p>
      </cdr:txBody>
    </cdr:sp>
  </cdr:relSizeAnchor>
  <cdr:relSizeAnchor xmlns:cdr="http://schemas.openxmlformats.org/drawingml/2006/chartDrawing">
    <cdr:from>
      <cdr:x>0.79334</cdr:x>
      <cdr:y>0.7727</cdr:y>
    </cdr:from>
    <cdr:to>
      <cdr:x>0.94696</cdr:x>
      <cdr:y>0.83292</cdr:y>
    </cdr:to>
    <cdr:sp macro="" textlink="">
      <cdr:nvSpPr>
        <cdr:cNvPr id="8" name="TextBox 1"/>
        <cdr:cNvSpPr txBox="1"/>
      </cdr:nvSpPr>
      <cdr:spPr>
        <a:xfrm xmlns:a="http://schemas.openxmlformats.org/drawingml/2006/main">
          <a:off x="4722192" y="3082235"/>
          <a:ext cx="914400" cy="240196"/>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000">
              <a:solidFill>
                <a:schemeClr val="bg1">
                  <a:lumMod val="50000"/>
                </a:schemeClr>
              </a:solidFill>
              <a:latin typeface="Century Gothic" panose="020B0502020202020204" pitchFamily="34" charset="0"/>
            </a:rPr>
            <a:t>–</a:t>
          </a:r>
          <a:r>
            <a:rPr lang="en-US" sz="1000" baseline="0">
              <a:solidFill>
                <a:schemeClr val="bg1">
                  <a:lumMod val="50000"/>
                </a:schemeClr>
              </a:solidFill>
              <a:latin typeface="Century Gothic" panose="020B0502020202020204" pitchFamily="34" charset="0"/>
            </a:rPr>
            <a:t> $4.3B</a:t>
          </a:r>
          <a:endParaRPr lang="en-US" sz="1000">
            <a:solidFill>
              <a:schemeClr val="bg1">
                <a:lumMod val="50000"/>
              </a:schemeClr>
            </a:solidFill>
            <a:latin typeface="Century Gothic" panose="020B0502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Z:\E\EFW\EWB\EWB%20Staff%20Folders\OMalleyM\Governor%20Report\FY23GovernorsReport_Data_for_Council2.xlsx" TargetMode="External"/><Relationship Id="rId1" Type="http://schemas.openxmlformats.org/officeDocument/2006/relationships/externalLinkPath" Target="file:///Z:\E\EFW\EWB\EWB%20Staff%20Folders\OMalleyM\Governor%20Report\FY23GovernorsReport_Data_for_Council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Projects\BPA_FW_Expenditures\2024\FY24%20GovernorsReport_Data_for_Council_Final.xlsx" TargetMode="External"/><Relationship Id="rId1" Type="http://schemas.openxmlformats.org/officeDocument/2006/relationships/externalLinkPath" Target="file:///P:\Projects\BPA_FW_Expenditures\2024\FY24%20GovernorsReport_Data_for_Council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A_ByArea"/>
      <sheetName val="1B_Direct"/>
      <sheetName val="2_SpeciesType"/>
      <sheetName val="3_FCRPS_CRS"/>
      <sheetName val="4_ESASpecies"/>
      <sheetName val="5 Fund"/>
      <sheetName val="6A_Category"/>
      <sheetName val="6A Project List"/>
      <sheetName val="6B_ArtProd"/>
      <sheetName val="6B Project List"/>
      <sheetName val="6C_RME"/>
      <sheetName val="6C Project List"/>
      <sheetName val="7A_Province"/>
      <sheetName val="7B_Subbasin"/>
      <sheetName val="8_Location"/>
      <sheetName val="9_Contractor"/>
      <sheetName val="10_LandPurchases"/>
      <sheetName val="NA_Cumulative"/>
      <sheetName val="BPA Costs Table"/>
    </sheetNames>
    <sheetDataSet>
      <sheetData sheetId="0"/>
      <sheetData sheetId="1"/>
      <sheetData sheetId="2"/>
      <sheetData sheetId="3"/>
      <sheetData sheetId="4"/>
      <sheetData sheetId="5"/>
      <sheetData sheetId="6">
        <row r="14">
          <cell r="R14">
            <v>275501268</v>
          </cell>
        </row>
      </sheetData>
      <sheetData sheetId="7"/>
      <sheetData sheetId="8">
        <row r="7">
          <cell r="R7">
            <v>57520170</v>
          </cell>
        </row>
      </sheetData>
      <sheetData sheetId="9"/>
      <sheetData sheetId="10">
        <row r="10">
          <cell r="N10">
            <v>75077624.799999997</v>
          </cell>
        </row>
      </sheetData>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A_ByArea"/>
      <sheetName val="1B_Direct"/>
      <sheetName val="2 F&amp;W Program Costs"/>
      <sheetName val="3_SpeciesType"/>
      <sheetName val="4_FCRPS_CRS"/>
      <sheetName val="5_ESASpecies"/>
      <sheetName val="6A_Emphasis"/>
      <sheetName val="6B_ArtProd"/>
      <sheetName val="6C_RME"/>
      <sheetName val="7A_Province"/>
      <sheetName val="7B_Subbasin"/>
      <sheetName val="8_State"/>
      <sheetName val="9_Contractor"/>
      <sheetName val="10_LandPurchases"/>
      <sheetName val="NA_Cumulative"/>
      <sheetName val="BPA Costs Table"/>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0.bin"/><Relationship Id="rId1" Type="http://schemas.openxmlformats.org/officeDocument/2006/relationships/hyperlink" Target="https://www.bpa.gov/-/media/Aep/finance/budget-submission-to-congress/annual-congressional-budget.pdf" TargetMode="External"/><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3"/>
  <sheetViews>
    <sheetView tabSelected="1" topLeftCell="A35" zoomScaleNormal="100" workbookViewId="0">
      <selection activeCell="B36" sqref="B36:I36"/>
    </sheetView>
  </sheetViews>
  <sheetFormatPr defaultColWidth="9.1796875" defaultRowHeight="15.75" customHeight="1"/>
  <cols>
    <col min="1" max="1" width="3.7265625" style="24" customWidth="1"/>
    <col min="2" max="2" width="47.54296875" style="24" customWidth="1"/>
    <col min="3" max="3" width="12.453125" style="184" customWidth="1"/>
    <col min="4" max="4" width="15.26953125" style="184" customWidth="1"/>
    <col min="5" max="5" width="21.54296875" style="26" customWidth="1"/>
    <col min="6" max="6" width="40.453125" style="24" bestFit="1" customWidth="1"/>
    <col min="7" max="7" width="9.1796875" style="24"/>
    <col min="8" max="8" width="21.54296875" style="24" customWidth="1"/>
    <col min="9" max="9" width="13.26953125" style="24" customWidth="1"/>
    <col min="10" max="10" width="12.7265625" style="24" bestFit="1" customWidth="1"/>
    <col min="11" max="11" width="9.1796875" style="24"/>
    <col min="12" max="13" width="9.1796875" style="24" customWidth="1"/>
    <col min="14" max="16384" width="9.1796875" style="24"/>
  </cols>
  <sheetData>
    <row r="1" spans="1:9" ht="27.65" customHeight="1">
      <c r="A1" s="28" t="s">
        <v>0</v>
      </c>
      <c r="B1" s="28"/>
      <c r="C1" s="179"/>
      <c r="D1" s="179"/>
      <c r="E1" s="136"/>
      <c r="F1"/>
      <c r="G1"/>
      <c r="H1"/>
      <c r="I1"/>
    </row>
    <row r="2" spans="1:9" ht="15.75" customHeight="1">
      <c r="A2" s="364" t="s">
        <v>1</v>
      </c>
      <c r="B2" s="364"/>
      <c r="C2" s="192">
        <f>SUM(C3:C8)</f>
        <v>420186619.82999998</v>
      </c>
      <c r="D2" s="296"/>
      <c r="E2" s="137"/>
      <c r="F2"/>
      <c r="G2"/>
      <c r="H2"/>
      <c r="I2"/>
    </row>
    <row r="3" spans="1:9" ht="15.75" customHeight="1">
      <c r="A3" s="135"/>
      <c r="B3" s="297" t="s">
        <v>398</v>
      </c>
      <c r="C3" s="180">
        <v>252600000</v>
      </c>
      <c r="D3" s="358">
        <f>SUM(C3:C4)</f>
        <v>268600000</v>
      </c>
      <c r="E3" s="137"/>
      <c r="F3" s="298"/>
      <c r="G3" s="298"/>
      <c r="H3"/>
      <c r="I3"/>
    </row>
    <row r="4" spans="1:9" ht="15.75" customHeight="1">
      <c r="A4" s="135"/>
      <c r="B4" s="297" t="s">
        <v>399</v>
      </c>
      <c r="C4" s="310">
        <v>16000000</v>
      </c>
      <c r="D4" s="358"/>
      <c r="E4" s="137"/>
      <c r="F4" s="298"/>
      <c r="G4" s="298"/>
      <c r="H4"/>
      <c r="I4"/>
    </row>
    <row r="5" spans="1:9" ht="15.75" customHeight="1">
      <c r="A5" s="135"/>
      <c r="B5" s="298" t="s">
        <v>400</v>
      </c>
      <c r="C5" s="181">
        <v>11525724</v>
      </c>
      <c r="D5" s="296"/>
      <c r="E5" s="137"/>
      <c r="F5" s="128" t="s">
        <v>2</v>
      </c>
      <c r="G5" s="139">
        <f>C2</f>
        <v>420186619.82999998</v>
      </c>
      <c r="H5"/>
      <c r="I5"/>
    </row>
    <row r="6" spans="1:9" ht="15.75" customHeight="1">
      <c r="A6" s="135"/>
      <c r="B6" s="298" t="s">
        <v>401</v>
      </c>
      <c r="C6" s="181">
        <v>16720895.830000002</v>
      </c>
      <c r="D6" s="296"/>
      <c r="E6" s="137"/>
      <c r="F6" s="46" t="s">
        <v>3</v>
      </c>
      <c r="G6" s="139">
        <f>C20</f>
        <v>47097055</v>
      </c>
      <c r="H6"/>
      <c r="I6"/>
    </row>
    <row r="7" spans="1:9" ht="15.75" customHeight="1">
      <c r="A7" s="135"/>
      <c r="B7" s="298" t="s">
        <v>402</v>
      </c>
      <c r="C7" s="181">
        <v>20340000</v>
      </c>
      <c r="D7" s="296"/>
      <c r="E7" s="30"/>
      <c r="F7" s="46" t="s">
        <v>408</v>
      </c>
      <c r="G7" s="139">
        <f>C17</f>
        <v>490600000</v>
      </c>
      <c r="H7"/>
      <c r="I7"/>
    </row>
    <row r="8" spans="1:9" ht="15.75" customHeight="1">
      <c r="A8" s="22"/>
      <c r="B8" s="22" t="s">
        <v>403</v>
      </c>
      <c r="C8" s="351">
        <f>SUM(C9:C12)</f>
        <v>103000000</v>
      </c>
      <c r="D8" s="299"/>
      <c r="E8" s="135"/>
      <c r="F8" s="46" t="s">
        <v>4</v>
      </c>
      <c r="G8" s="139">
        <f>C13</f>
        <v>98400000</v>
      </c>
      <c r="H8"/>
      <c r="I8"/>
    </row>
    <row r="9" spans="1:9" ht="15.75" customHeight="1">
      <c r="A9" s="135"/>
      <c r="B9" s="298" t="s">
        <v>418</v>
      </c>
      <c r="C9" s="181">
        <v>38200000</v>
      </c>
      <c r="D9" s="299"/>
      <c r="E9" s="135"/>
      <c r="F9" s="46"/>
      <c r="G9" s="139"/>
      <c r="H9"/>
      <c r="I9"/>
    </row>
    <row r="10" spans="1:9" ht="15.75" customHeight="1">
      <c r="A10" s="135"/>
      <c r="B10" s="298" t="s">
        <v>419</v>
      </c>
      <c r="C10" s="181">
        <v>50100000</v>
      </c>
      <c r="D10" s="299"/>
      <c r="E10" s="135"/>
      <c r="F10" s="46"/>
      <c r="G10" s="139"/>
      <c r="H10"/>
      <c r="I10"/>
    </row>
    <row r="11" spans="1:9" ht="15.75" customHeight="1">
      <c r="A11" s="135"/>
      <c r="B11" s="298" t="s">
        <v>420</v>
      </c>
      <c r="C11" s="181">
        <v>6900000</v>
      </c>
      <c r="D11" s="299"/>
      <c r="E11" s="135"/>
      <c r="F11" s="46"/>
      <c r="G11" s="139"/>
      <c r="H11"/>
      <c r="I11"/>
    </row>
    <row r="12" spans="1:9" ht="15.75" customHeight="1">
      <c r="A12" s="135"/>
      <c r="B12" s="298" t="s">
        <v>421</v>
      </c>
      <c r="C12" s="181">
        <v>7800000</v>
      </c>
      <c r="D12" s="299"/>
      <c r="E12" s="135"/>
      <c r="F12" s="46"/>
      <c r="G12" s="139"/>
      <c r="H12"/>
      <c r="I12"/>
    </row>
    <row r="13" spans="1:9" ht="15.75" customHeight="1">
      <c r="A13" s="364" t="s">
        <v>404</v>
      </c>
      <c r="B13" s="364"/>
      <c r="C13" s="192">
        <f>SUM(C14:C16)</f>
        <v>98400000</v>
      </c>
      <c r="D13" s="296"/>
      <c r="E13" s="136"/>
      <c r="F13"/>
      <c r="G13"/>
      <c r="H13"/>
      <c r="I13"/>
    </row>
    <row r="14" spans="1:9" ht="15.75" customHeight="1">
      <c r="A14" s="22"/>
      <c r="B14" s="135" t="s">
        <v>5</v>
      </c>
      <c r="C14" s="182">
        <v>22000000</v>
      </c>
      <c r="D14" s="296"/>
      <c r="E14" s="136"/>
      <c r="F14"/>
      <c r="G14"/>
      <c r="H14"/>
      <c r="I14"/>
    </row>
    <row r="15" spans="1:9" ht="15.75" customHeight="1">
      <c r="A15" s="22"/>
      <c r="B15" s="135" t="s">
        <v>6</v>
      </c>
      <c r="C15" s="181">
        <v>54200000</v>
      </c>
      <c r="D15" s="296"/>
      <c r="E15" s="136"/>
      <c r="F15"/>
      <c r="G15"/>
      <c r="H15"/>
      <c r="I15"/>
    </row>
    <row r="16" spans="1:9" ht="15.75" customHeight="1">
      <c r="A16" s="22"/>
      <c r="B16" s="135" t="s">
        <v>7</v>
      </c>
      <c r="C16" s="181">
        <v>22200000</v>
      </c>
      <c r="D16" s="296"/>
      <c r="E16" s="136"/>
      <c r="F16"/>
      <c r="G16"/>
      <c r="H16"/>
      <c r="I16"/>
    </row>
    <row r="17" spans="1:9" ht="15.75" customHeight="1">
      <c r="A17" s="364" t="s">
        <v>407</v>
      </c>
      <c r="B17" s="364"/>
      <c r="C17" s="192">
        <f>SUM(C18:C19)</f>
        <v>490600000</v>
      </c>
      <c r="D17" s="296"/>
      <c r="E17" s="29"/>
      <c r="F17"/>
      <c r="G17"/>
      <c r="H17"/>
      <c r="I17"/>
    </row>
    <row r="18" spans="1:9" ht="15.75" customHeight="1">
      <c r="A18" s="135"/>
      <c r="B18" s="298" t="s">
        <v>8</v>
      </c>
      <c r="C18" s="182">
        <v>126600000</v>
      </c>
      <c r="D18" s="296"/>
      <c r="E18" s="25"/>
      <c r="F18"/>
      <c r="G18"/>
      <c r="H18"/>
      <c r="I18" s="64"/>
    </row>
    <row r="19" spans="1:9" ht="15.75" customHeight="1">
      <c r="A19" s="135"/>
      <c r="B19" s="135" t="s">
        <v>9</v>
      </c>
      <c r="C19" s="182">
        <v>364000000</v>
      </c>
      <c r="D19" s="296"/>
      <c r="E19" s="137"/>
      <c r="F19"/>
      <c r="G19"/>
      <c r="H19"/>
      <c r="I19" s="64"/>
    </row>
    <row r="20" spans="1:9" ht="15.75" customHeight="1">
      <c r="A20" s="364" t="s">
        <v>405</v>
      </c>
      <c r="B20" s="364"/>
      <c r="C20" s="192">
        <f>SUM(C21:C22)</f>
        <v>47097055</v>
      </c>
      <c r="D20" s="296"/>
      <c r="E20" s="29"/>
      <c r="F20"/>
      <c r="G20"/>
      <c r="H20"/>
      <c r="I20" s="64"/>
    </row>
    <row r="21" spans="1:9" ht="15.75" customHeight="1">
      <c r="A21" s="135"/>
      <c r="B21" s="297" t="s">
        <v>10</v>
      </c>
      <c r="C21" s="310">
        <v>37997055</v>
      </c>
      <c r="D21" s="311">
        <f>C21</f>
        <v>37997055</v>
      </c>
      <c r="E21" s="137"/>
      <c r="F21"/>
      <c r="G21"/>
      <c r="H21"/>
      <c r="I21"/>
    </row>
    <row r="22" spans="1:9" ht="15.75" customHeight="1">
      <c r="A22" s="135"/>
      <c r="B22" s="135" t="s">
        <v>11</v>
      </c>
      <c r="C22" s="181">
        <v>9100000</v>
      </c>
      <c r="D22" s="296"/>
      <c r="E22" s="29"/>
      <c r="F22"/>
      <c r="G22"/>
      <c r="H22"/>
      <c r="I22"/>
    </row>
    <row r="23" spans="1:9" ht="9" customHeight="1">
      <c r="A23" s="135"/>
      <c r="B23" s="135"/>
      <c r="C23" s="181"/>
      <c r="D23" s="296"/>
      <c r="E23" s="29"/>
      <c r="F23"/>
      <c r="G23"/>
      <c r="H23"/>
      <c r="I23"/>
    </row>
    <row r="24" spans="1:9" ht="18" customHeight="1">
      <c r="A24" s="352" t="s">
        <v>406</v>
      </c>
      <c r="B24" s="353"/>
      <c r="C24" s="354">
        <f>SUM(C2,C13,C17,C20)</f>
        <v>1056283674.8299999</v>
      </c>
      <c r="D24" s="296"/>
      <c r="E24" s="136"/>
      <c r="F24"/>
      <c r="G24"/>
      <c r="H24"/>
      <c r="I24"/>
    </row>
    <row r="25" spans="1:9" ht="6.75" customHeight="1">
      <c r="A25" s="135"/>
      <c r="B25" s="135"/>
      <c r="C25" s="179"/>
      <c r="D25" s="296"/>
      <c r="E25" s="135"/>
      <c r="F25"/>
      <c r="G25"/>
      <c r="H25"/>
      <c r="I25"/>
    </row>
    <row r="26" spans="1:9" ht="18" customHeight="1">
      <c r="A26" s="365" t="s">
        <v>428</v>
      </c>
      <c r="B26" s="366"/>
      <c r="C26" s="355">
        <v>160760700</v>
      </c>
      <c r="D26" s="296"/>
      <c r="E26" s="135"/>
      <c r="F26"/>
      <c r="G26"/>
      <c r="H26"/>
      <c r="I26"/>
    </row>
    <row r="27" spans="1:9" ht="15.75" customHeight="1">
      <c r="A27" s="135"/>
      <c r="B27" s="135"/>
      <c r="C27" s="179"/>
      <c r="D27" s="296"/>
      <c r="E27" s="135"/>
      <c r="F27"/>
      <c r="G27"/>
      <c r="H27"/>
      <c r="I27"/>
    </row>
    <row r="28" spans="1:9" ht="15.75" customHeight="1">
      <c r="A28" s="138" t="s">
        <v>12</v>
      </c>
      <c r="B28" s="138"/>
      <c r="C28" s="183"/>
      <c r="D28" s="183">
        <f>SUM(D3:D27)</f>
        <v>306597055</v>
      </c>
      <c r="E28" s="197"/>
      <c r="F28"/>
      <c r="G28"/>
      <c r="H28"/>
      <c r="I28"/>
    </row>
    <row r="29" spans="1:9" ht="15.75" customHeight="1">
      <c r="A29"/>
      <c r="B29"/>
      <c r="C29" s="196"/>
      <c r="D29" s="196"/>
      <c r="E29" s="198"/>
      <c r="F29"/>
      <c r="G29"/>
      <c r="H29"/>
      <c r="I29"/>
    </row>
    <row r="30" spans="1:9" ht="15.75" customHeight="1">
      <c r="A30" s="27" t="s">
        <v>13</v>
      </c>
      <c r="B30" s="135"/>
      <c r="C30" s="179"/>
      <c r="D30" s="179"/>
      <c r="E30" s="136"/>
      <c r="F30" s="135"/>
      <c r="G30" s="135"/>
      <c r="H30" s="135"/>
      <c r="I30" s="135"/>
    </row>
    <row r="31" spans="1:9" ht="53.15" customHeight="1">
      <c r="A31" s="312" t="s">
        <v>14</v>
      </c>
      <c r="B31" s="359" t="s">
        <v>397</v>
      </c>
      <c r="C31" s="360"/>
      <c r="D31" s="360"/>
      <c r="E31" s="360"/>
      <c r="F31" s="360"/>
      <c r="G31" s="360"/>
      <c r="H31" s="360"/>
      <c r="I31" s="360"/>
    </row>
    <row r="32" spans="1:9" ht="35.25" customHeight="1">
      <c r="A32" s="312" t="s">
        <v>16</v>
      </c>
      <c r="B32" s="359" t="s">
        <v>15</v>
      </c>
      <c r="C32" s="360"/>
      <c r="D32" s="360"/>
      <c r="E32" s="360"/>
      <c r="F32" s="360"/>
      <c r="G32" s="360"/>
      <c r="H32" s="360"/>
      <c r="I32" s="360"/>
    </row>
    <row r="33" spans="1:9" ht="36" customHeight="1">
      <c r="A33" s="312" t="s">
        <v>18</v>
      </c>
      <c r="B33" s="359" t="s">
        <v>17</v>
      </c>
      <c r="C33" s="360"/>
      <c r="D33" s="360"/>
      <c r="E33" s="360"/>
      <c r="F33" s="360"/>
      <c r="G33" s="360"/>
      <c r="H33" s="360"/>
      <c r="I33" s="360"/>
    </row>
    <row r="34" spans="1:9" ht="50.25" customHeight="1">
      <c r="A34" s="312" t="s">
        <v>20</v>
      </c>
      <c r="B34" s="359" t="s">
        <v>19</v>
      </c>
      <c r="C34" s="360"/>
      <c r="D34" s="360"/>
      <c r="E34" s="360"/>
      <c r="F34" s="360"/>
      <c r="G34" s="360"/>
      <c r="H34" s="360"/>
      <c r="I34" s="360"/>
    </row>
    <row r="35" spans="1:9" ht="36" customHeight="1">
      <c r="A35" s="312" t="s">
        <v>22</v>
      </c>
      <c r="B35" s="361" t="s">
        <v>21</v>
      </c>
      <c r="C35" s="362"/>
      <c r="D35" s="362"/>
      <c r="E35" s="362"/>
      <c r="F35" s="362"/>
      <c r="G35" s="362"/>
      <c r="H35" s="362"/>
      <c r="I35" s="362"/>
    </row>
    <row r="36" spans="1:9" ht="48" customHeight="1">
      <c r="A36" s="312" t="s">
        <v>24</v>
      </c>
      <c r="B36" s="363" t="s">
        <v>23</v>
      </c>
      <c r="C36" s="363"/>
      <c r="D36" s="363"/>
      <c r="E36" s="363"/>
      <c r="F36" s="363"/>
      <c r="G36" s="363"/>
      <c r="H36" s="363"/>
      <c r="I36" s="363"/>
    </row>
    <row r="37" spans="1:9" ht="34.5" customHeight="1">
      <c r="A37" s="312" t="s">
        <v>26</v>
      </c>
      <c r="B37" s="360" t="s">
        <v>25</v>
      </c>
      <c r="C37" s="360"/>
      <c r="D37" s="360"/>
      <c r="E37" s="360"/>
      <c r="F37" s="360"/>
      <c r="G37" s="360"/>
      <c r="H37" s="360"/>
      <c r="I37" s="360"/>
    </row>
    <row r="38" spans="1:9" ht="35.25" customHeight="1">
      <c r="A38" s="312" t="s">
        <v>27</v>
      </c>
      <c r="B38" s="363" t="s">
        <v>427</v>
      </c>
      <c r="C38" s="363"/>
      <c r="D38" s="363"/>
      <c r="E38" s="363"/>
      <c r="F38" s="363"/>
      <c r="G38" s="363"/>
      <c r="H38" s="363"/>
      <c r="I38" s="363"/>
    </row>
    <row r="39" spans="1:9" ht="36" customHeight="1">
      <c r="A39" s="312" t="s">
        <v>29</v>
      </c>
      <c r="B39" s="359" t="s">
        <v>28</v>
      </c>
      <c r="C39" s="360"/>
      <c r="D39" s="360"/>
      <c r="E39" s="360"/>
      <c r="F39" s="360"/>
      <c r="G39" s="360"/>
      <c r="H39" s="360"/>
      <c r="I39" s="360"/>
    </row>
    <row r="40" spans="1:9" ht="36" customHeight="1">
      <c r="A40" s="312" t="s">
        <v>411</v>
      </c>
      <c r="B40" s="359" t="s">
        <v>30</v>
      </c>
      <c r="C40" s="360"/>
      <c r="D40" s="360"/>
      <c r="E40" s="360"/>
      <c r="F40" s="360"/>
      <c r="G40" s="360"/>
      <c r="H40" s="360"/>
      <c r="I40" s="360"/>
    </row>
    <row r="41" spans="1:9" ht="36" customHeight="1">
      <c r="A41" s="312" t="s">
        <v>430</v>
      </c>
      <c r="B41" s="359" t="s">
        <v>429</v>
      </c>
      <c r="C41" s="360"/>
      <c r="D41" s="360"/>
      <c r="E41" s="360"/>
      <c r="F41" s="360"/>
      <c r="G41" s="360"/>
      <c r="H41" s="360"/>
      <c r="I41" s="360"/>
    </row>
    <row r="42" spans="1:9" ht="15.75" customHeight="1">
      <c r="A42" s="298"/>
      <c r="B42" s="195"/>
      <c r="C42" s="296"/>
      <c r="D42" s="296"/>
      <c r="E42" s="301"/>
      <c r="F42" s="298"/>
      <c r="G42" s="298"/>
      <c r="H42" s="298"/>
      <c r="I42" s="298"/>
    </row>
    <row r="43" spans="1:9" ht="15.75" customHeight="1">
      <c r="B43" s="127" t="s">
        <v>409</v>
      </c>
    </row>
  </sheetData>
  <mergeCells count="17">
    <mergeCell ref="B41:I41"/>
    <mergeCell ref="A2:B2"/>
    <mergeCell ref="A13:B13"/>
    <mergeCell ref="A17:B17"/>
    <mergeCell ref="A20:B20"/>
    <mergeCell ref="A26:B26"/>
    <mergeCell ref="D3:D4"/>
    <mergeCell ref="B32:I32"/>
    <mergeCell ref="B40:I40"/>
    <mergeCell ref="B33:I33"/>
    <mergeCell ref="B34:I34"/>
    <mergeCell ref="B35:I35"/>
    <mergeCell ref="B36:I36"/>
    <mergeCell ref="B37:I37"/>
    <mergeCell ref="B39:I39"/>
    <mergeCell ref="B38:I38"/>
    <mergeCell ref="B31:I31"/>
  </mergeCells>
  <pageMargins left="0.7" right="0.7" top="0.75" bottom="0.75" header="0.3" footer="0.3"/>
  <pageSetup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816DC-BBB7-4BEA-BF75-490B9C73EA44}">
  <sheetPr>
    <pageSetUpPr fitToPage="1"/>
  </sheetPr>
  <dimension ref="A1:Y29"/>
  <sheetViews>
    <sheetView topLeftCell="I1" zoomScale="115" zoomScaleNormal="115" workbookViewId="0">
      <selection activeCell="N25" sqref="N25"/>
    </sheetView>
  </sheetViews>
  <sheetFormatPr defaultColWidth="8.81640625" defaultRowHeight="15" customHeight="1"/>
  <cols>
    <col min="1" max="1" width="52.7265625" style="32" customWidth="1"/>
    <col min="2" max="3" width="17.26953125" style="145" customWidth="1"/>
    <col min="4" max="4" width="17.26953125" style="31" customWidth="1"/>
    <col min="5" max="5" width="13.7265625" style="31" bestFit="1" customWidth="1"/>
    <col min="6" max="6" width="21.81640625" style="31" bestFit="1" customWidth="1"/>
    <col min="7" max="7" width="14.54296875" style="31" customWidth="1"/>
    <col min="8" max="8" width="8.81640625" style="31"/>
    <col min="9" max="9" width="36.26953125" style="31" bestFit="1" customWidth="1"/>
    <col min="10" max="10" width="22.1796875" style="31" customWidth="1"/>
    <col min="11" max="11" width="11.81640625" style="31" bestFit="1" customWidth="1"/>
    <col min="16" max="22" width="8.81640625" style="31"/>
    <col min="23" max="23" width="11.81640625" style="31" bestFit="1" customWidth="1"/>
    <col min="24" max="24" width="10.81640625" style="31" bestFit="1" customWidth="1"/>
    <col min="25" max="16384" width="8.81640625" style="31"/>
  </cols>
  <sheetData>
    <row r="1" spans="1:25" customFormat="1" ht="24" customHeight="1">
      <c r="A1" s="170" t="s">
        <v>31</v>
      </c>
      <c r="B1" s="177"/>
      <c r="C1" s="177"/>
      <c r="D1" s="31"/>
      <c r="E1" s="31"/>
      <c r="F1" s="31"/>
      <c r="G1" s="31"/>
    </row>
    <row r="2" spans="1:25" customFormat="1" ht="17.5">
      <c r="A2" s="330" t="s">
        <v>416</v>
      </c>
      <c r="B2" s="331" t="s">
        <v>32</v>
      </c>
      <c r="C2" s="331" t="s">
        <v>33</v>
      </c>
      <c r="D2" s="330">
        <v>2025</v>
      </c>
      <c r="E2" s="31"/>
      <c r="F2" s="31"/>
      <c r="G2" s="31"/>
      <c r="P2" t="s">
        <v>417</v>
      </c>
    </row>
    <row r="3" spans="1:25" ht="15" customHeight="1">
      <c r="A3" s="23" t="s">
        <v>34</v>
      </c>
      <c r="B3" s="186"/>
      <c r="C3" s="186"/>
      <c r="D3" s="187">
        <v>125272622</v>
      </c>
      <c r="E3" s="33"/>
      <c r="F3" s="33" t="s">
        <v>35</v>
      </c>
      <c r="G3" s="33" t="s">
        <v>36</v>
      </c>
      <c r="K3"/>
      <c r="W3" s="166"/>
      <c r="X3" s="166"/>
      <c r="Y3" s="165"/>
    </row>
    <row r="4" spans="1:25" ht="15" customHeight="1">
      <c r="A4" s="34" t="s">
        <v>37</v>
      </c>
      <c r="B4" s="188">
        <v>107297002</v>
      </c>
      <c r="C4" s="188">
        <v>16732894</v>
      </c>
      <c r="D4" s="188">
        <f>SUM(B4:C4)</f>
        <v>124029896</v>
      </c>
      <c r="E4" s="169"/>
      <c r="F4" s="33" t="s">
        <v>34</v>
      </c>
      <c r="G4" s="54">
        <f>D3</f>
        <v>125272622</v>
      </c>
      <c r="K4"/>
      <c r="W4" s="166"/>
      <c r="Y4" s="165"/>
    </row>
    <row r="5" spans="1:25" ht="15" customHeight="1">
      <c r="A5" s="34" t="s">
        <v>38</v>
      </c>
      <c r="B5" s="188">
        <v>1242726</v>
      </c>
      <c r="C5" s="188"/>
      <c r="D5" s="188">
        <f>SUM(B5:C5)</f>
        <v>1242726</v>
      </c>
      <c r="E5" s="33"/>
      <c r="F5" s="33" t="s">
        <v>39</v>
      </c>
      <c r="G5" s="54">
        <f>D6</f>
        <v>86148451</v>
      </c>
      <c r="K5"/>
      <c r="W5" s="166"/>
      <c r="X5" s="166"/>
      <c r="Y5" s="165"/>
    </row>
    <row r="6" spans="1:25" ht="15" customHeight="1">
      <c r="A6" s="167" t="s">
        <v>40</v>
      </c>
      <c r="B6" s="189"/>
      <c r="C6" s="186"/>
      <c r="D6" s="189">
        <v>86148451</v>
      </c>
      <c r="E6" s="33"/>
      <c r="F6" s="33" t="s">
        <v>41</v>
      </c>
      <c r="G6" s="54">
        <f>D13</f>
        <v>62101102</v>
      </c>
      <c r="W6" s="166"/>
      <c r="X6" s="166"/>
      <c r="Y6" s="165"/>
    </row>
    <row r="7" spans="1:25" ht="15" customHeight="1">
      <c r="A7" s="168" t="s">
        <v>42</v>
      </c>
      <c r="B7" s="188">
        <v>42060856</v>
      </c>
      <c r="C7" s="188"/>
      <c r="D7" s="188">
        <f>SUM(B7:C7)</f>
        <v>42060856</v>
      </c>
      <c r="E7" s="33"/>
      <c r="F7" s="33" t="s">
        <v>42</v>
      </c>
      <c r="G7" s="54">
        <f>D16</f>
        <v>10229546</v>
      </c>
      <c r="W7" s="166"/>
      <c r="X7" s="166"/>
      <c r="Y7" s="165"/>
    </row>
    <row r="8" spans="1:25" ht="15" customHeight="1">
      <c r="A8" s="34" t="s">
        <v>34</v>
      </c>
      <c r="B8" s="188">
        <v>17469095</v>
      </c>
      <c r="C8" s="188"/>
      <c r="D8" s="188">
        <f t="shared" ref="D8:D12" si="0">SUM(B8:C8)</f>
        <v>17469095</v>
      </c>
      <c r="E8" s="33"/>
      <c r="F8" s="33" t="s">
        <v>43</v>
      </c>
      <c r="G8" s="54">
        <f>D19</f>
        <v>5111598</v>
      </c>
      <c r="W8" s="166"/>
      <c r="X8" s="166"/>
      <c r="Y8" s="165"/>
    </row>
    <row r="9" spans="1:25" ht="15" customHeight="1">
      <c r="A9" s="34" t="s">
        <v>41</v>
      </c>
      <c r="B9" s="188">
        <v>15689317</v>
      </c>
      <c r="C9" s="188"/>
      <c r="D9" s="188">
        <f t="shared" si="0"/>
        <v>15689317</v>
      </c>
      <c r="E9" s="33"/>
      <c r="F9" s="33" t="s">
        <v>44</v>
      </c>
      <c r="G9" s="54">
        <f>D20</f>
        <v>1736037</v>
      </c>
      <c r="W9" s="166"/>
      <c r="X9" s="166"/>
      <c r="Y9" s="165"/>
    </row>
    <row r="10" spans="1:25" ht="15" customHeight="1">
      <c r="A10" s="34" t="s">
        <v>45</v>
      </c>
      <c r="B10" s="188">
        <v>8490529</v>
      </c>
      <c r="C10" s="188"/>
      <c r="D10" s="188">
        <f t="shared" si="0"/>
        <v>8490529</v>
      </c>
      <c r="E10" s="33"/>
      <c r="G10" s="185"/>
    </row>
    <row r="11" spans="1:25" ht="15" customHeight="1">
      <c r="A11" s="34" t="s">
        <v>43</v>
      </c>
      <c r="B11" s="188">
        <v>1797548</v>
      </c>
      <c r="C11" s="188"/>
      <c r="D11" s="188">
        <f t="shared" si="0"/>
        <v>1797548</v>
      </c>
      <c r="E11" s="33"/>
    </row>
    <row r="12" spans="1:25" ht="15" customHeight="1">
      <c r="A12" s="34" t="s">
        <v>44</v>
      </c>
      <c r="B12" s="188">
        <v>641106</v>
      </c>
      <c r="C12" s="188"/>
      <c r="D12" s="188">
        <f t="shared" si="0"/>
        <v>641106</v>
      </c>
    </row>
    <row r="13" spans="1:25" ht="15" customHeight="1">
      <c r="A13" s="35" t="s">
        <v>41</v>
      </c>
      <c r="B13" s="187"/>
      <c r="C13" s="186"/>
      <c r="D13" s="187">
        <v>62101102</v>
      </c>
    </row>
    <row r="14" spans="1:25" ht="15" customHeight="1">
      <c r="A14" s="34" t="s">
        <v>46</v>
      </c>
      <c r="B14" s="188">
        <v>40607358</v>
      </c>
      <c r="C14" s="188">
        <v>21264160</v>
      </c>
      <c r="D14" s="188">
        <f>SUM(B14:C14)</f>
        <v>61871518</v>
      </c>
      <c r="H14" s="199"/>
      <c r="P14" s="199"/>
      <c r="Q14" s="199"/>
      <c r="R14" s="199"/>
      <c r="S14" s="199"/>
      <c r="T14" s="199"/>
      <c r="U14" s="199"/>
      <c r="V14" s="199"/>
      <c r="W14" s="159"/>
      <c r="X14" s="159"/>
      <c r="Y14" s="199"/>
    </row>
    <row r="15" spans="1:25" ht="15" customHeight="1">
      <c r="A15" s="34" t="s">
        <v>38</v>
      </c>
      <c r="B15" s="188">
        <v>229584</v>
      </c>
      <c r="C15" s="188"/>
      <c r="D15" s="188">
        <f>SUM(B15:C15)</f>
        <v>229584</v>
      </c>
    </row>
    <row r="16" spans="1:25" ht="15" customHeight="1">
      <c r="A16" s="164" t="s">
        <v>42</v>
      </c>
      <c r="B16" s="190"/>
      <c r="C16" s="186"/>
      <c r="D16" s="190">
        <v>10229546</v>
      </c>
    </row>
    <row r="17" spans="1:24" ht="15" customHeight="1">
      <c r="A17" s="34" t="s">
        <v>38</v>
      </c>
      <c r="B17" s="191">
        <v>10229546</v>
      </c>
      <c r="C17" s="188"/>
      <c r="D17" s="191">
        <f>SUM(B17:C17)</f>
        <v>10229546</v>
      </c>
    </row>
    <row r="18" spans="1:24" ht="15" customHeight="1">
      <c r="A18" s="23" t="s">
        <v>43</v>
      </c>
      <c r="B18" s="187"/>
      <c r="C18" s="186"/>
      <c r="D18" s="187">
        <v>5111598</v>
      </c>
    </row>
    <row r="19" spans="1:24" ht="15" customHeight="1">
      <c r="A19" s="34" t="s">
        <v>47</v>
      </c>
      <c r="B19" s="188">
        <v>5111598</v>
      </c>
      <c r="C19" s="188"/>
      <c r="D19" s="188">
        <f>SUM(B19:C19)</f>
        <v>5111598</v>
      </c>
    </row>
    <row r="20" spans="1:24" ht="15" customHeight="1">
      <c r="A20" s="23" t="s">
        <v>44</v>
      </c>
      <c r="B20" s="187"/>
      <c r="C20" s="186"/>
      <c r="D20" s="187">
        <v>1736037</v>
      </c>
    </row>
    <row r="21" spans="1:24" ht="15" customHeight="1">
      <c r="A21" s="34" t="s">
        <v>48</v>
      </c>
      <c r="B21" s="188">
        <v>1392749</v>
      </c>
      <c r="C21" s="188"/>
      <c r="D21" s="188">
        <f>SUM(B21:C21)</f>
        <v>1392749</v>
      </c>
      <c r="G21" s="168" t="s">
        <v>42</v>
      </c>
      <c r="H21" s="54">
        <f t="shared" ref="H21:H26" si="1">D7</f>
        <v>42060856</v>
      </c>
    </row>
    <row r="22" spans="1:24" ht="15" customHeight="1">
      <c r="A22" s="34" t="s">
        <v>49</v>
      </c>
      <c r="B22" s="188">
        <v>343288</v>
      </c>
      <c r="C22" s="188"/>
      <c r="D22" s="188">
        <f>SUM(B22:C22)</f>
        <v>343288</v>
      </c>
      <c r="G22" s="34" t="s">
        <v>34</v>
      </c>
      <c r="H22" s="54">
        <f t="shared" si="1"/>
        <v>17469095</v>
      </c>
    </row>
    <row r="23" spans="1:24" s="159" customFormat="1" ht="17.5" customHeight="1" thickBot="1">
      <c r="A23" s="158" t="s">
        <v>50</v>
      </c>
      <c r="B23" s="202">
        <v>252602302</v>
      </c>
      <c r="C23" s="202">
        <v>37997054</v>
      </c>
      <c r="D23" s="202">
        <v>290599356</v>
      </c>
      <c r="E23" s="32"/>
      <c r="G23" s="34" t="s">
        <v>41</v>
      </c>
      <c r="H23" s="54">
        <f t="shared" si="1"/>
        <v>15689317</v>
      </c>
      <c r="W23" s="31"/>
      <c r="X23" s="31"/>
    </row>
    <row r="24" spans="1:24" ht="15" customHeight="1" thickTop="1">
      <c r="A24" s="31"/>
      <c r="B24" s="178"/>
      <c r="C24" s="178"/>
      <c r="D24" s="166"/>
      <c r="G24" s="34" t="s">
        <v>45</v>
      </c>
      <c r="H24" s="54">
        <f t="shared" si="1"/>
        <v>8490529</v>
      </c>
      <c r="L24" s="31"/>
      <c r="M24" s="31"/>
      <c r="N24" s="31"/>
      <c r="O24" s="31"/>
    </row>
    <row r="25" spans="1:24" ht="15" customHeight="1">
      <c r="A25" s="27" t="s">
        <v>13</v>
      </c>
      <c r="B25" s="31"/>
      <c r="C25" s="31"/>
      <c r="G25" s="34" t="s">
        <v>43</v>
      </c>
      <c r="H25" s="54">
        <f t="shared" si="1"/>
        <v>1797548</v>
      </c>
      <c r="L25" s="31"/>
      <c r="M25" s="31"/>
      <c r="N25" s="31"/>
      <c r="O25" s="31"/>
    </row>
    <row r="26" spans="1:24" ht="39" customHeight="1">
      <c r="A26" s="368" t="s">
        <v>410</v>
      </c>
      <c r="B26" s="368"/>
      <c r="C26" s="368"/>
      <c r="D26" s="368"/>
      <c r="E26" s="334"/>
      <c r="F26" s="334"/>
      <c r="G26" s="161" t="s">
        <v>44</v>
      </c>
      <c r="H26" s="166">
        <f t="shared" si="1"/>
        <v>641106</v>
      </c>
      <c r="L26" s="31"/>
      <c r="M26" s="31"/>
      <c r="N26" s="31"/>
      <c r="O26" s="31"/>
    </row>
    <row r="27" spans="1:24" ht="51.75" customHeight="1">
      <c r="A27" s="368" t="s">
        <v>51</v>
      </c>
      <c r="B27" s="368"/>
      <c r="C27" s="368"/>
      <c r="D27" s="368"/>
      <c r="E27" s="335"/>
      <c r="F27" s="335"/>
      <c r="G27" s="199"/>
      <c r="L27" s="31"/>
      <c r="M27" s="31"/>
      <c r="N27" s="31"/>
      <c r="O27" s="31"/>
    </row>
    <row r="28" spans="1:24" ht="57.75" customHeight="1">
      <c r="A28" s="368" t="s">
        <v>62</v>
      </c>
      <c r="B28" s="368"/>
      <c r="C28" s="368"/>
      <c r="D28" s="368"/>
      <c r="E28" s="61"/>
      <c r="F28" s="61"/>
      <c r="G28" s="162"/>
      <c r="L28" s="31"/>
      <c r="M28" s="31"/>
      <c r="N28" s="31"/>
      <c r="O28" s="31"/>
    </row>
    <row r="29" spans="1:24" ht="36.65" customHeight="1">
      <c r="A29" s="367"/>
      <c r="B29" s="367"/>
      <c r="C29" s="367"/>
      <c r="D29" s="367"/>
      <c r="E29" s="367"/>
      <c r="F29" s="367"/>
      <c r="G29" s="162"/>
      <c r="L29" s="31"/>
      <c r="M29" s="31"/>
      <c r="N29" s="31"/>
      <c r="O29" s="31"/>
    </row>
  </sheetData>
  <autoFilter ref="F3:G3" xr:uid="{87861CD0-DAE6-4443-982C-198F8AA830DE}">
    <sortState xmlns:xlrd2="http://schemas.microsoft.com/office/spreadsheetml/2017/richdata2" ref="F4:G10">
      <sortCondition descending="1" ref="G3"/>
    </sortState>
  </autoFilter>
  <mergeCells count="4">
    <mergeCell ref="A29:F29"/>
    <mergeCell ref="A26:D26"/>
    <mergeCell ref="A27:D27"/>
    <mergeCell ref="A28:D28"/>
  </mergeCells>
  <pageMargins left="0.7" right="0.7" top="0.75" bottom="0.75" header="0.3" footer="0.3"/>
  <pageSetup scale="93" fitToWidth="0" orientation="landscape" horizontalDpi="90" verticalDpi="90" r:id="rId1"/>
  <ignoredErrors>
    <ignoredError sqref="D17"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4"/>
  <sheetViews>
    <sheetView zoomScaleNormal="100" workbookViewId="0">
      <pane xSplit="1" ySplit="2" topLeftCell="L3" activePane="bottomRight" state="frozen"/>
      <selection pane="topRight" activeCell="B1" sqref="B1"/>
      <selection pane="bottomLeft" activeCell="A4" sqref="A4"/>
      <selection pane="bottomRight" activeCell="A2" sqref="A2"/>
    </sheetView>
  </sheetViews>
  <sheetFormatPr defaultColWidth="9.1796875" defaultRowHeight="10.5"/>
  <cols>
    <col min="1" max="1" width="22.1796875" style="63" customWidth="1"/>
    <col min="2" max="2" width="19.1796875" style="36" hidden="1" customWidth="1"/>
    <col min="3" max="4" width="13.26953125" style="36" hidden="1" customWidth="1"/>
    <col min="5" max="5" width="13.453125" style="36" hidden="1" customWidth="1"/>
    <col min="6" max="6" width="14" style="36" hidden="1" customWidth="1"/>
    <col min="7" max="7" width="20" style="36" hidden="1" customWidth="1"/>
    <col min="8" max="11" width="14.54296875" style="36" hidden="1" customWidth="1"/>
    <col min="12" max="21" width="14.54296875" style="36" customWidth="1"/>
    <col min="22" max="22" width="19.7265625" style="142" customWidth="1"/>
    <col min="23" max="23" width="9.1796875" style="36"/>
    <col min="24" max="24" width="9.1796875" style="36" customWidth="1"/>
    <col min="25" max="16384" width="9.1796875" style="36"/>
  </cols>
  <sheetData>
    <row r="1" spans="1:22" ht="27.65" customHeight="1">
      <c r="A1" s="160" t="s">
        <v>52</v>
      </c>
      <c r="B1" s="160"/>
      <c r="C1" s="160"/>
      <c r="D1" s="160"/>
      <c r="E1" s="160"/>
      <c r="F1" s="160"/>
      <c r="G1" s="160"/>
      <c r="H1" s="160"/>
      <c r="I1" s="160"/>
      <c r="J1" s="160"/>
      <c r="K1" s="160"/>
      <c r="L1" s="160"/>
      <c r="M1" s="160"/>
      <c r="V1" s="36"/>
    </row>
    <row r="2" spans="1:22" s="44" customFormat="1" ht="21" customHeight="1">
      <c r="A2" s="313" t="s">
        <v>412</v>
      </c>
      <c r="B2" s="314">
        <v>2006</v>
      </c>
      <c r="C2" s="314">
        <v>2007</v>
      </c>
      <c r="D2" s="314">
        <v>2008</v>
      </c>
      <c r="E2" s="314">
        <v>2009</v>
      </c>
      <c r="F2" s="314">
        <v>2010</v>
      </c>
      <c r="G2" s="314">
        <v>2011</v>
      </c>
      <c r="H2" s="314">
        <v>2012</v>
      </c>
      <c r="I2" s="314">
        <v>2013</v>
      </c>
      <c r="J2" s="314">
        <v>2014</v>
      </c>
      <c r="K2" s="314">
        <v>2015</v>
      </c>
      <c r="L2" s="315">
        <v>2016</v>
      </c>
      <c r="M2" s="315">
        <v>2017</v>
      </c>
      <c r="N2" s="315">
        <v>2018</v>
      </c>
      <c r="O2" s="315">
        <v>2019</v>
      </c>
      <c r="P2" s="315">
        <v>2020</v>
      </c>
      <c r="Q2" s="315">
        <v>2021</v>
      </c>
      <c r="R2" s="315">
        <v>2022</v>
      </c>
      <c r="S2" s="315">
        <v>2023</v>
      </c>
      <c r="T2" s="315">
        <v>2024</v>
      </c>
      <c r="U2" s="315">
        <v>2025</v>
      </c>
      <c r="V2" s="316" t="s">
        <v>53</v>
      </c>
    </row>
    <row r="3" spans="1:22" ht="18" customHeight="1">
      <c r="A3" s="37" t="s">
        <v>54</v>
      </c>
      <c r="B3" s="37"/>
      <c r="C3" s="37"/>
      <c r="D3" s="37"/>
      <c r="E3" s="37"/>
      <c r="F3" s="37"/>
      <c r="G3" s="38"/>
      <c r="H3" s="38"/>
      <c r="I3" s="38"/>
      <c r="J3" s="38"/>
      <c r="K3" s="38"/>
      <c r="L3" s="38"/>
      <c r="M3" s="38"/>
      <c r="N3" s="38"/>
      <c r="O3" s="38"/>
      <c r="P3" s="38"/>
      <c r="Q3" s="38"/>
      <c r="R3" s="38"/>
      <c r="S3" s="38"/>
      <c r="T3" s="38"/>
      <c r="U3" s="38"/>
    </row>
    <row r="4" spans="1:22" ht="15.5">
      <c r="A4" s="39" t="s">
        <v>55</v>
      </c>
      <c r="B4" s="40">
        <v>97220988.599999994</v>
      </c>
      <c r="C4" s="40">
        <v>95383738.870000005</v>
      </c>
      <c r="D4" s="40">
        <v>93937949</v>
      </c>
      <c r="E4" s="40">
        <v>115447417.25</v>
      </c>
      <c r="F4" s="40">
        <v>133710043</v>
      </c>
      <c r="G4" s="40">
        <v>152268151.75</v>
      </c>
      <c r="H4" s="40">
        <v>172625716.75</v>
      </c>
      <c r="I4" s="40">
        <v>162598812.96000001</v>
      </c>
      <c r="J4" s="41">
        <v>160287940</v>
      </c>
      <c r="K4" s="40">
        <v>181979402</v>
      </c>
      <c r="L4" s="42">
        <v>187926100.50999999</v>
      </c>
      <c r="M4" s="42">
        <v>174955973</v>
      </c>
      <c r="N4" s="42">
        <v>181907429</v>
      </c>
      <c r="O4" s="42">
        <v>168490894</v>
      </c>
      <c r="P4" s="42">
        <v>163848363</v>
      </c>
      <c r="Q4" s="42">
        <v>173556193</v>
      </c>
      <c r="R4" s="42">
        <v>164788858</v>
      </c>
      <c r="S4" s="42">
        <v>176625976</v>
      </c>
      <c r="T4" s="42">
        <v>176925814</v>
      </c>
      <c r="U4" s="171">
        <v>187605589</v>
      </c>
      <c r="V4" s="143">
        <f>AVERAGE(L4:U4)</f>
        <v>175663118.95100001</v>
      </c>
    </row>
    <row r="5" spans="1:22" ht="15.5">
      <c r="A5" s="39" t="s">
        <v>56</v>
      </c>
      <c r="B5" s="40">
        <v>19147677.510000002</v>
      </c>
      <c r="C5" s="40">
        <v>20466940.75</v>
      </c>
      <c r="D5" s="40">
        <v>30166347</v>
      </c>
      <c r="E5" s="40">
        <v>30945648.239999998</v>
      </c>
      <c r="F5" s="40">
        <v>33492947</v>
      </c>
      <c r="G5" s="40">
        <v>38469679.740000002</v>
      </c>
      <c r="H5" s="40">
        <v>41986003.759999998</v>
      </c>
      <c r="I5" s="40">
        <v>39747604.240000002</v>
      </c>
      <c r="J5" s="41">
        <v>34671529</v>
      </c>
      <c r="K5" s="40">
        <v>36131999</v>
      </c>
      <c r="L5" s="42">
        <v>42949758.75</v>
      </c>
      <c r="M5" s="42">
        <v>41626757</v>
      </c>
      <c r="N5" s="42">
        <v>41544634</v>
      </c>
      <c r="O5" s="42">
        <v>34601360</v>
      </c>
      <c r="P5" s="42">
        <v>35251201</v>
      </c>
      <c r="Q5" s="42">
        <v>33209380</v>
      </c>
      <c r="R5" s="42">
        <v>36502616</v>
      </c>
      <c r="S5" s="42">
        <v>40237684</v>
      </c>
      <c r="T5" s="42">
        <v>40600082</v>
      </c>
      <c r="U5" s="171">
        <v>47285452</v>
      </c>
      <c r="V5" s="143">
        <f t="shared" ref="V5:V11" si="0">AVERAGE(L5:U5)</f>
        <v>39380892.475000001</v>
      </c>
    </row>
    <row r="6" spans="1:22" ht="15.5">
      <c r="A6" s="39" t="s">
        <v>57</v>
      </c>
      <c r="B6" s="40">
        <v>7380451.6200000001</v>
      </c>
      <c r="C6" s="40">
        <v>8894313.6999999993</v>
      </c>
      <c r="D6" s="40">
        <v>10153866</v>
      </c>
      <c r="E6" s="40">
        <v>11491287.24</v>
      </c>
      <c r="F6" s="40">
        <v>12105809</v>
      </c>
      <c r="G6" s="40">
        <v>12032226</v>
      </c>
      <c r="H6" s="40">
        <v>13214569.75</v>
      </c>
      <c r="I6" s="40">
        <v>11401470.98</v>
      </c>
      <c r="J6" s="41">
        <v>11970486</v>
      </c>
      <c r="K6" s="40">
        <v>16630031</v>
      </c>
      <c r="L6" s="40">
        <v>14091922</v>
      </c>
      <c r="M6" s="40">
        <v>12514234</v>
      </c>
      <c r="N6" s="40">
        <v>12569629</v>
      </c>
      <c r="O6" s="40">
        <v>13576360</v>
      </c>
      <c r="P6" s="40">
        <v>17035067</v>
      </c>
      <c r="Q6" s="40">
        <v>15107376</v>
      </c>
      <c r="R6" s="40">
        <v>18246154</v>
      </c>
      <c r="S6" s="40">
        <v>17233714</v>
      </c>
      <c r="T6" s="40">
        <v>21536923</v>
      </c>
      <c r="U6" s="41">
        <v>19233183</v>
      </c>
      <c r="V6" s="143">
        <f t="shared" si="0"/>
        <v>16114456.199999999</v>
      </c>
    </row>
    <row r="7" spans="1:22" ht="18" customHeight="1">
      <c r="A7" s="37" t="s">
        <v>58</v>
      </c>
      <c r="B7" s="40"/>
      <c r="C7" s="40"/>
      <c r="D7" s="40"/>
      <c r="E7" s="40"/>
      <c r="F7" s="40"/>
      <c r="G7" s="38"/>
      <c r="H7" s="38"/>
      <c r="I7" s="40"/>
      <c r="J7" s="41"/>
      <c r="K7" s="40"/>
      <c r="L7" s="42"/>
      <c r="M7" s="42"/>
      <c r="N7" s="42"/>
      <c r="O7" s="42"/>
      <c r="P7" s="42"/>
      <c r="Q7" s="42"/>
      <c r="R7" s="42"/>
      <c r="S7" s="42"/>
      <c r="T7" s="42"/>
      <c r="U7" s="171"/>
      <c r="V7" s="143"/>
    </row>
    <row r="8" spans="1:22" ht="15.5">
      <c r="A8" s="39" t="s">
        <v>55</v>
      </c>
      <c r="B8" s="40">
        <v>9409948.5899999999</v>
      </c>
      <c r="C8" s="40">
        <v>9738655.0700000003</v>
      </c>
      <c r="D8" s="40">
        <v>8817105</v>
      </c>
      <c r="E8" s="40">
        <v>11123909</v>
      </c>
      <c r="F8" s="40">
        <v>26914846.25</v>
      </c>
      <c r="G8" s="40">
        <v>56777878.75</v>
      </c>
      <c r="H8" s="40">
        <v>33006552</v>
      </c>
      <c r="I8" s="40">
        <v>32488550.530000001</v>
      </c>
      <c r="J8" s="41">
        <v>6079913</v>
      </c>
      <c r="K8" s="40">
        <v>10173686</v>
      </c>
      <c r="L8" s="42">
        <v>4896855</v>
      </c>
      <c r="M8" s="42">
        <v>122159</v>
      </c>
      <c r="N8" s="42">
        <v>5368928</v>
      </c>
      <c r="O8" s="42">
        <v>12711401</v>
      </c>
      <c r="P8" s="42">
        <v>27436953</v>
      </c>
      <c r="Q8" s="42">
        <v>19779123</v>
      </c>
      <c r="R8" s="42">
        <v>2951841</v>
      </c>
      <c r="S8" s="42">
        <v>2758400</v>
      </c>
      <c r="T8" s="42">
        <v>9896580</v>
      </c>
      <c r="U8" s="171">
        <v>22543655</v>
      </c>
      <c r="V8" s="143">
        <f t="shared" si="0"/>
        <v>10846589.5</v>
      </c>
    </row>
    <row r="9" spans="1:22" ht="15.5">
      <c r="A9" s="39" t="s">
        <v>56</v>
      </c>
      <c r="B9" s="40">
        <v>6540613.0099999998</v>
      </c>
      <c r="C9" s="40">
        <v>977723.81</v>
      </c>
      <c r="D9" s="40">
        <v>843692</v>
      </c>
      <c r="E9" s="40">
        <v>10279652</v>
      </c>
      <c r="F9" s="40">
        <v>3163912.24</v>
      </c>
      <c r="G9" s="40">
        <v>20472137.739999998</v>
      </c>
      <c r="H9" s="40">
        <v>11692569</v>
      </c>
      <c r="I9" s="40">
        <v>8440507.1400000006</v>
      </c>
      <c r="J9" s="41">
        <v>16958535</v>
      </c>
      <c r="K9" s="40">
        <v>2603188</v>
      </c>
      <c r="L9" s="42">
        <v>2164485</v>
      </c>
      <c r="M9" s="42">
        <v>241080</v>
      </c>
      <c r="N9" s="42">
        <v>13564447</v>
      </c>
      <c r="O9" s="42">
        <v>455850</v>
      </c>
      <c r="P9" s="42">
        <v>2320569</v>
      </c>
      <c r="Q9" s="42">
        <v>11091883</v>
      </c>
      <c r="R9" s="42">
        <v>1954445</v>
      </c>
      <c r="S9" s="42">
        <v>1175889</v>
      </c>
      <c r="T9" s="42">
        <v>2843579</v>
      </c>
      <c r="U9" s="171">
        <v>5265841</v>
      </c>
      <c r="V9" s="143">
        <f t="shared" si="0"/>
        <v>4107806.8</v>
      </c>
    </row>
    <row r="10" spans="1:22" ht="15.5">
      <c r="A10" s="39" t="s">
        <v>57</v>
      </c>
      <c r="B10" s="40">
        <v>19462456.739999998</v>
      </c>
      <c r="C10" s="40">
        <v>24469221.629999999</v>
      </c>
      <c r="D10" s="40">
        <v>6525720</v>
      </c>
      <c r="E10" s="40">
        <v>2261438</v>
      </c>
      <c r="F10" s="40">
        <v>9564849.2400000002</v>
      </c>
      <c r="G10" s="40">
        <v>18676436.75</v>
      </c>
      <c r="H10" s="40">
        <v>15853187</v>
      </c>
      <c r="I10" s="40">
        <v>10813833.08</v>
      </c>
      <c r="J10" s="41">
        <v>14438818</v>
      </c>
      <c r="K10" s="40">
        <v>9789350</v>
      </c>
      <c r="L10" s="42">
        <v>8973342</v>
      </c>
      <c r="M10" s="42">
        <v>5038680</v>
      </c>
      <c r="N10" s="42">
        <v>11735362</v>
      </c>
      <c r="O10" s="42">
        <v>9795748</v>
      </c>
      <c r="P10" s="42">
        <v>9602782</v>
      </c>
      <c r="Q10" s="42">
        <v>10707995</v>
      </c>
      <c r="R10" s="42">
        <v>11203015</v>
      </c>
      <c r="S10" s="42">
        <v>10715958</v>
      </c>
      <c r="T10" s="42">
        <v>12241296</v>
      </c>
      <c r="U10" s="171">
        <v>4219021</v>
      </c>
      <c r="V10" s="143">
        <f t="shared" si="0"/>
        <v>9423319.9000000004</v>
      </c>
    </row>
    <row r="11" spans="1:22" s="44" customFormat="1" ht="18.649999999999999" customHeight="1" thickBot="1">
      <c r="A11" s="140" t="s">
        <v>59</v>
      </c>
      <c r="B11" s="141">
        <f t="shared" ref="B11:R11" si="1">SUM(B3:B10)</f>
        <v>159162136.07000002</v>
      </c>
      <c r="C11" s="141">
        <f t="shared" si="1"/>
        <v>159930593.83000001</v>
      </c>
      <c r="D11" s="141">
        <f t="shared" si="1"/>
        <v>150444679</v>
      </c>
      <c r="E11" s="141">
        <f t="shared" si="1"/>
        <v>181549351.73000002</v>
      </c>
      <c r="F11" s="141">
        <f t="shared" si="1"/>
        <v>218952406.73000002</v>
      </c>
      <c r="G11" s="141">
        <f t="shared" si="1"/>
        <v>298696510.73000002</v>
      </c>
      <c r="H11" s="141">
        <f t="shared" si="1"/>
        <v>288378598.25999999</v>
      </c>
      <c r="I11" s="141">
        <f t="shared" si="1"/>
        <v>265490778.93000004</v>
      </c>
      <c r="J11" s="141">
        <f t="shared" si="1"/>
        <v>244407221</v>
      </c>
      <c r="K11" s="141">
        <f t="shared" si="1"/>
        <v>257307656</v>
      </c>
      <c r="L11" s="141">
        <f t="shared" si="1"/>
        <v>261002463.25999999</v>
      </c>
      <c r="M11" s="141">
        <f t="shared" si="1"/>
        <v>234498883</v>
      </c>
      <c r="N11" s="141">
        <f t="shared" si="1"/>
        <v>266690429</v>
      </c>
      <c r="O11" s="141">
        <f t="shared" si="1"/>
        <v>239631613</v>
      </c>
      <c r="P11" s="141">
        <f t="shared" si="1"/>
        <v>255494935</v>
      </c>
      <c r="Q11" s="141">
        <f t="shared" si="1"/>
        <v>263451950</v>
      </c>
      <c r="R11" s="141">
        <f t="shared" si="1"/>
        <v>235646929</v>
      </c>
      <c r="S11" s="141">
        <f>SUM(S4:S10)</f>
        <v>248747621</v>
      </c>
      <c r="T11" s="141">
        <f>SUM(T4:T10)</f>
        <v>264044274</v>
      </c>
      <c r="U11" s="141">
        <f>SUM(U4:U10)</f>
        <v>286152741</v>
      </c>
      <c r="V11" s="144">
        <f t="shared" si="0"/>
        <v>255536183.82600003</v>
      </c>
    </row>
    <row r="12" spans="1:22" ht="16" thickTop="1">
      <c r="A12" s="43"/>
      <c r="B12" s="43"/>
      <c r="C12" s="43"/>
      <c r="D12" s="43"/>
      <c r="E12" s="43"/>
      <c r="F12" s="43"/>
      <c r="G12" s="44"/>
      <c r="H12" s="44"/>
      <c r="I12" s="44"/>
      <c r="J12" s="44"/>
      <c r="K12" s="44"/>
      <c r="L12" s="44"/>
    </row>
    <row r="13" spans="1:22" ht="15.5">
      <c r="A13" s="45" t="s">
        <v>13</v>
      </c>
      <c r="B13" s="46"/>
      <c r="C13" s="46"/>
      <c r="D13" s="46"/>
      <c r="E13" s="46"/>
      <c r="F13" s="46"/>
      <c r="G13" s="46"/>
      <c r="H13" s="46"/>
      <c r="I13" s="46"/>
      <c r="J13" s="46"/>
      <c r="K13" s="46"/>
      <c r="L13" s="46"/>
      <c r="M13" s="47"/>
      <c r="N13" s="47"/>
    </row>
    <row r="14" spans="1:22" ht="15.75" customHeight="1">
      <c r="A14" s="370" t="s">
        <v>60</v>
      </c>
      <c r="B14" s="370"/>
      <c r="C14" s="370"/>
      <c r="D14" s="370"/>
      <c r="E14" s="370"/>
      <c r="F14" s="370"/>
      <c r="G14" s="370"/>
      <c r="H14" s="370"/>
      <c r="I14" s="370"/>
      <c r="J14" s="370"/>
      <c r="K14" s="370"/>
      <c r="L14" s="370"/>
      <c r="M14" s="370"/>
      <c r="N14" s="370"/>
      <c r="O14" s="370"/>
      <c r="P14" s="370"/>
      <c r="Q14" s="370"/>
      <c r="R14" s="370"/>
      <c r="S14" s="370"/>
      <c r="T14" s="370"/>
      <c r="U14" s="370"/>
      <c r="V14" s="370"/>
    </row>
    <row r="15" spans="1:22" ht="15.65" customHeight="1">
      <c r="A15" s="369" t="s">
        <v>61</v>
      </c>
      <c r="B15" s="369"/>
      <c r="C15" s="369"/>
      <c r="D15" s="369"/>
      <c r="E15" s="369"/>
      <c r="F15" s="369"/>
      <c r="G15" s="369"/>
      <c r="H15" s="369"/>
      <c r="I15" s="369"/>
      <c r="J15" s="369"/>
      <c r="K15" s="369"/>
      <c r="L15" s="369"/>
      <c r="M15" s="369"/>
      <c r="N15" s="369"/>
      <c r="O15" s="369"/>
      <c r="P15" s="369"/>
      <c r="Q15" s="369"/>
      <c r="R15" s="369"/>
      <c r="S15" s="369"/>
      <c r="T15" s="369"/>
      <c r="U15" s="369"/>
      <c r="V15" s="369"/>
    </row>
    <row r="16" spans="1:22" ht="33" customHeight="1">
      <c r="A16" s="369" t="s">
        <v>62</v>
      </c>
      <c r="B16" s="369"/>
      <c r="C16" s="369"/>
      <c r="D16" s="369"/>
      <c r="E16" s="369"/>
      <c r="F16" s="369"/>
      <c r="G16" s="369"/>
      <c r="H16" s="369"/>
      <c r="I16" s="369"/>
      <c r="J16" s="369"/>
      <c r="K16" s="369"/>
      <c r="L16" s="369"/>
      <c r="M16" s="369"/>
      <c r="N16" s="369"/>
      <c r="O16" s="369"/>
      <c r="P16" s="369"/>
      <c r="Q16" s="369"/>
      <c r="R16" s="369"/>
      <c r="S16" s="369"/>
      <c r="T16" s="369"/>
      <c r="U16" s="369"/>
      <c r="V16" s="369"/>
    </row>
    <row r="17" spans="1:22" ht="15.5">
      <c r="A17" s="44"/>
      <c r="D17" s="59"/>
      <c r="E17" s="60"/>
      <c r="F17" s="60"/>
      <c r="H17" s="60"/>
      <c r="I17" s="58"/>
      <c r="J17" s="60"/>
      <c r="K17" s="60"/>
      <c r="L17" s="60"/>
      <c r="M17" s="60"/>
      <c r="N17" s="60"/>
      <c r="O17" s="60"/>
    </row>
    <row r="18" spans="1:22" ht="14.25" customHeight="1">
      <c r="A18" s="49" t="s">
        <v>63</v>
      </c>
      <c r="B18" s="49"/>
      <c r="C18" s="49"/>
      <c r="D18" s="49"/>
      <c r="E18" s="49"/>
      <c r="F18" s="49"/>
    </row>
    <row r="19" spans="1:22">
      <c r="A19" s="50" t="s">
        <v>64</v>
      </c>
      <c r="B19" s="51"/>
      <c r="C19" s="51"/>
      <c r="D19" s="51"/>
      <c r="E19" s="51"/>
      <c r="F19" s="51"/>
      <c r="G19" s="51"/>
      <c r="H19" s="51"/>
      <c r="I19" s="51"/>
      <c r="J19" s="51">
        <f t="shared" ref="J19" si="2">J2</f>
        <v>2014</v>
      </c>
      <c r="K19" s="51"/>
      <c r="L19" s="51">
        <v>2025</v>
      </c>
      <c r="M19" s="142"/>
      <c r="V19" s="36"/>
    </row>
    <row r="20" spans="1:22">
      <c r="A20" s="52" t="s">
        <v>55</v>
      </c>
      <c r="B20" s="53"/>
      <c r="C20" s="53"/>
      <c r="D20" s="53"/>
      <c r="E20" s="53"/>
      <c r="F20" s="53"/>
      <c r="G20" s="53"/>
      <c r="H20" s="53"/>
      <c r="I20" s="53"/>
      <c r="J20" s="53">
        <f t="shared" ref="J20" si="3">J4+J8</f>
        <v>166367853</v>
      </c>
      <c r="K20" s="53"/>
      <c r="L20" s="54">
        <f>SUM(U4,U8)</f>
        <v>210149244</v>
      </c>
      <c r="M20" s="142"/>
      <c r="V20" s="36"/>
    </row>
    <row r="21" spans="1:22">
      <c r="A21" s="52" t="s">
        <v>56</v>
      </c>
      <c r="B21" s="53"/>
      <c r="C21" s="53"/>
      <c r="D21" s="53"/>
      <c r="E21" s="53"/>
      <c r="F21" s="53"/>
      <c r="G21" s="53"/>
      <c r="H21" s="53"/>
      <c r="I21" s="53"/>
      <c r="J21" s="53">
        <f t="shared" ref="J21" si="4">J5+J9</f>
        <v>51630064</v>
      </c>
      <c r="K21" s="53"/>
      <c r="L21" s="54">
        <f>SUM(U5,U9)</f>
        <v>52551293</v>
      </c>
      <c r="M21" s="142"/>
      <c r="V21" s="36"/>
    </row>
    <row r="22" spans="1:22">
      <c r="A22" s="52" t="s">
        <v>57</v>
      </c>
      <c r="B22" s="53"/>
      <c r="C22" s="53"/>
      <c r="D22" s="53"/>
      <c r="E22" s="53"/>
      <c r="F22" s="53"/>
      <c r="G22" s="53"/>
      <c r="H22" s="53"/>
      <c r="I22" s="53"/>
      <c r="J22" s="53">
        <f t="shared" ref="J22" si="5">J6+J10</f>
        <v>26409304</v>
      </c>
      <c r="K22" s="53"/>
      <c r="L22" s="54">
        <f>SUM(U6,U10)</f>
        <v>23452204</v>
      </c>
      <c r="M22" s="142"/>
      <c r="V22" s="36"/>
    </row>
    <row r="23" spans="1:22" hidden="1">
      <c r="A23" s="55" t="s">
        <v>65</v>
      </c>
      <c r="B23" s="56"/>
      <c r="C23" s="56"/>
      <c r="D23" s="56"/>
      <c r="E23" s="56"/>
      <c r="F23" s="56"/>
      <c r="G23" s="56"/>
      <c r="H23" s="56"/>
      <c r="I23" s="56"/>
      <c r="J23" s="56" t="e">
        <f>#REF!+#REF!</f>
        <v>#REF!</v>
      </c>
      <c r="K23" s="56"/>
      <c r="L23" s="57" t="e">
        <f>#REF!+#REF!</f>
        <v>#REF!</v>
      </c>
      <c r="M23" s="142"/>
      <c r="V23" s="36"/>
    </row>
    <row r="24" spans="1:22" ht="11" thickBot="1">
      <c r="A24" s="17" t="s">
        <v>66</v>
      </c>
      <c r="B24" s="18"/>
      <c r="C24" s="18"/>
      <c r="D24" s="18"/>
      <c r="E24" s="18"/>
      <c r="F24" s="18"/>
      <c r="G24" s="18"/>
      <c r="H24" s="18"/>
      <c r="I24" s="18"/>
      <c r="J24" s="18">
        <f t="shared" ref="J24" si="6">J11</f>
        <v>244407221</v>
      </c>
      <c r="K24" s="18"/>
      <c r="L24" s="21">
        <f t="shared" ref="L24" si="7">U11</f>
        <v>286152741</v>
      </c>
      <c r="M24" s="142"/>
      <c r="V24" s="36"/>
    </row>
    <row r="25" spans="1:22" ht="16" thickTop="1">
      <c r="A25" s="44"/>
      <c r="I25" s="58"/>
    </row>
    <row r="26" spans="1:22" ht="15.5">
      <c r="A26" s="44"/>
      <c r="D26" s="59"/>
      <c r="E26" s="60"/>
      <c r="F26" s="60"/>
      <c r="H26" s="60"/>
      <c r="I26" s="58"/>
      <c r="J26" s="60"/>
      <c r="K26" s="60"/>
      <c r="L26" s="60"/>
      <c r="M26" s="60"/>
      <c r="N26" s="60"/>
      <c r="O26" s="60"/>
    </row>
    <row r="27" spans="1:22" ht="17.25" customHeight="1">
      <c r="A27" s="44"/>
      <c r="D27" s="61"/>
      <c r="E27" s="61"/>
      <c r="F27" s="61"/>
      <c r="H27" s="61"/>
      <c r="I27" s="58"/>
      <c r="J27" s="61"/>
      <c r="K27" s="61"/>
      <c r="L27" s="61"/>
      <c r="M27" s="61"/>
      <c r="N27" s="61"/>
      <c r="O27" s="61"/>
    </row>
    <row r="28" spans="1:22" ht="15.5">
      <c r="A28" s="44"/>
      <c r="D28" s="61"/>
      <c r="E28" s="61"/>
      <c r="F28" s="61"/>
      <c r="H28" s="61"/>
      <c r="I28" s="58"/>
      <c r="J28" s="61"/>
      <c r="K28" s="61"/>
      <c r="L28" s="61"/>
      <c r="M28" s="61"/>
      <c r="N28" s="61"/>
      <c r="O28" s="61"/>
    </row>
    <row r="29" spans="1:22" ht="15.5">
      <c r="A29" s="44"/>
      <c r="B29" s="62"/>
    </row>
    <row r="30" spans="1:22" ht="15.5">
      <c r="A30" s="44"/>
      <c r="B30" s="44"/>
      <c r="I30" s="54"/>
    </row>
    <row r="31" spans="1:22" ht="15.5">
      <c r="A31" s="44"/>
      <c r="B31" s="62"/>
    </row>
    <row r="32" spans="1:22" ht="15.5">
      <c r="A32" s="44"/>
      <c r="B32" s="44"/>
    </row>
    <row r="33" spans="1:2" ht="15.5">
      <c r="A33" s="44"/>
      <c r="B33" s="44"/>
    </row>
    <row r="34" spans="1:2" ht="15.5">
      <c r="A34" s="36"/>
      <c r="B34" s="44"/>
    </row>
  </sheetData>
  <mergeCells count="3">
    <mergeCell ref="A16:V16"/>
    <mergeCell ref="A14:V14"/>
    <mergeCell ref="A15:V15"/>
  </mergeCells>
  <pageMargins left="0.36" right="0.35" top="0.82" bottom="0.28000000000000003" header="0.21" footer="0.16"/>
  <pageSetup scale="6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40"/>
  <sheetViews>
    <sheetView topLeftCell="A23" zoomScaleNormal="100" workbookViewId="0">
      <selection activeCell="A23" sqref="A23:D23"/>
    </sheetView>
  </sheetViews>
  <sheetFormatPr defaultColWidth="47.26953125" defaultRowHeight="14.5"/>
  <cols>
    <col min="1" max="1" width="54.1796875" style="90" customWidth="1"/>
    <col min="2" max="2" width="14.54296875" style="94" customWidth="1"/>
    <col min="3" max="3" width="17.26953125" style="94" customWidth="1"/>
    <col min="4" max="4" width="15.54296875" style="95" customWidth="1"/>
    <col min="5" max="5" width="72.81640625" style="94" customWidth="1"/>
    <col min="6" max="6" width="23.26953125" style="94" customWidth="1"/>
    <col min="7" max="7" width="15.54296875" style="95" customWidth="1"/>
    <col min="8" max="8" width="16.453125" style="96" bestFit="1" customWidth="1"/>
    <col min="9" max="16384" width="47.26953125" style="90"/>
  </cols>
  <sheetData>
    <row r="1" spans="1:8" ht="27" customHeight="1">
      <c r="A1" s="371" t="s">
        <v>67</v>
      </c>
      <c r="B1" s="371"/>
      <c r="C1" s="371"/>
      <c r="D1" s="371"/>
      <c r="E1" s="371"/>
      <c r="F1" s="371"/>
      <c r="G1" s="371"/>
      <c r="H1" s="371"/>
    </row>
    <row r="2" spans="1:8" s="319" customFormat="1" ht="21" customHeight="1">
      <c r="A2" s="317" t="s">
        <v>68</v>
      </c>
      <c r="B2" s="318" t="s">
        <v>69</v>
      </c>
      <c r="C2" s="318" t="s">
        <v>70</v>
      </c>
      <c r="D2" s="318" t="s">
        <v>71</v>
      </c>
    </row>
    <row r="3" spans="1:8" ht="15.5">
      <c r="A3" s="173" t="s">
        <v>72</v>
      </c>
      <c r="B3" s="336">
        <v>3844601</v>
      </c>
      <c r="C3" s="336">
        <v>44383472</v>
      </c>
      <c r="D3" s="336">
        <v>48228073</v>
      </c>
      <c r="E3" s="301"/>
      <c r="F3" s="298"/>
      <c r="G3" s="298"/>
      <c r="H3" s="298"/>
    </row>
    <row r="4" spans="1:8" ht="15.5">
      <c r="A4" s="173" t="s">
        <v>73</v>
      </c>
      <c r="B4" s="336">
        <v>354849</v>
      </c>
      <c r="C4" s="336">
        <v>24747426</v>
      </c>
      <c r="D4" s="336">
        <v>25102275</v>
      </c>
      <c r="E4" s="172"/>
      <c r="F4" s="172"/>
      <c r="G4" s="172"/>
      <c r="H4" s="298"/>
    </row>
    <row r="5" spans="1:8" ht="15.5">
      <c r="A5" s="173" t="s">
        <v>74</v>
      </c>
      <c r="B5" s="336">
        <v>354849</v>
      </c>
      <c r="C5" s="336">
        <v>22441518</v>
      </c>
      <c r="D5" s="336">
        <v>22796367</v>
      </c>
      <c r="E5" s="172"/>
      <c r="F5" s="172"/>
      <c r="G5" s="172"/>
      <c r="H5" s="298"/>
    </row>
    <row r="6" spans="1:8" ht="15.5">
      <c r="A6" s="173" t="s">
        <v>75</v>
      </c>
      <c r="B6" s="336">
        <v>3732345</v>
      </c>
      <c r="C6" s="336">
        <v>14759730</v>
      </c>
      <c r="D6" s="336">
        <v>18492073</v>
      </c>
      <c r="E6" s="172"/>
      <c r="F6" s="172"/>
      <c r="G6" s="172"/>
      <c r="H6" s="298"/>
    </row>
    <row r="7" spans="1:8" ht="15.5">
      <c r="A7" s="173" t="s">
        <v>76</v>
      </c>
      <c r="B7" s="336">
        <v>535027</v>
      </c>
      <c r="C7" s="336">
        <v>16699044</v>
      </c>
      <c r="D7" s="336">
        <v>17234071</v>
      </c>
      <c r="E7" s="172"/>
      <c r="F7" s="172"/>
      <c r="G7" s="172"/>
      <c r="H7" s="298"/>
    </row>
    <row r="8" spans="1:8" ht="15.5">
      <c r="A8" s="173" t="s">
        <v>77</v>
      </c>
      <c r="B8" s="336">
        <v>535027</v>
      </c>
      <c r="C8" s="336">
        <v>14709658</v>
      </c>
      <c r="D8" s="336">
        <v>15244685</v>
      </c>
      <c r="E8" s="172"/>
      <c r="F8" s="172"/>
      <c r="G8" s="172"/>
      <c r="H8" s="298"/>
    </row>
    <row r="9" spans="1:8" ht="15.5">
      <c r="A9" s="173" t="s">
        <v>78</v>
      </c>
      <c r="B9" s="336"/>
      <c r="C9" s="336">
        <v>11754055</v>
      </c>
      <c r="D9" s="336">
        <v>11754055</v>
      </c>
      <c r="E9" s="172"/>
      <c r="F9" s="172"/>
      <c r="G9" s="172"/>
      <c r="H9" s="298"/>
    </row>
    <row r="10" spans="1:8" ht="15.5">
      <c r="A10" s="173" t="s">
        <v>79</v>
      </c>
      <c r="B10" s="336">
        <v>236760</v>
      </c>
      <c r="C10" s="336">
        <v>10979850</v>
      </c>
      <c r="D10" s="336">
        <v>11216610</v>
      </c>
      <c r="E10" s="172"/>
      <c r="F10" s="172"/>
      <c r="G10" s="172"/>
      <c r="H10" s="298"/>
    </row>
    <row r="11" spans="1:8" ht="15.5">
      <c r="A11" s="173" t="s">
        <v>80</v>
      </c>
      <c r="B11" s="336"/>
      <c r="C11" s="336">
        <v>7607978</v>
      </c>
      <c r="D11" s="336">
        <v>7607978</v>
      </c>
      <c r="E11" s="172"/>
      <c r="F11" s="172"/>
      <c r="G11" s="172"/>
      <c r="H11" s="298"/>
    </row>
    <row r="12" spans="1:8" ht="15.5">
      <c r="A12" s="173" t="s">
        <v>81</v>
      </c>
      <c r="B12" s="336">
        <v>2981636</v>
      </c>
      <c r="C12" s="336">
        <v>4209141</v>
      </c>
      <c r="D12" s="336">
        <v>7190777</v>
      </c>
      <c r="E12" s="172"/>
      <c r="F12" s="172"/>
      <c r="G12" s="172"/>
      <c r="H12" s="298"/>
    </row>
    <row r="13" spans="1:8" ht="15.5">
      <c r="A13" s="173" t="s">
        <v>82</v>
      </c>
      <c r="B13" s="336">
        <v>2981636</v>
      </c>
      <c r="C13" s="336">
        <v>3513171</v>
      </c>
      <c r="D13" s="336">
        <v>6494807</v>
      </c>
      <c r="E13" s="172"/>
      <c r="F13" s="172"/>
      <c r="G13" s="172"/>
      <c r="H13" s="298"/>
    </row>
    <row r="14" spans="1:8" ht="15.5">
      <c r="A14" s="173" t="s">
        <v>83</v>
      </c>
      <c r="B14" s="336">
        <v>236760</v>
      </c>
      <c r="C14" s="336">
        <v>6238602</v>
      </c>
      <c r="D14" s="336">
        <v>6475363</v>
      </c>
      <c r="E14" s="172"/>
      <c r="F14" s="172"/>
      <c r="G14" s="172"/>
      <c r="H14" s="298"/>
    </row>
    <row r="15" spans="1:8" ht="15.5">
      <c r="A15" s="173" t="s">
        <v>84</v>
      </c>
      <c r="B15" s="336">
        <v>236760</v>
      </c>
      <c r="C15" s="336">
        <v>5135506</v>
      </c>
      <c r="D15" s="336">
        <v>5372267</v>
      </c>
      <c r="E15" s="172"/>
      <c r="F15" s="172"/>
      <c r="G15" s="172"/>
      <c r="H15" s="298"/>
    </row>
    <row r="16" spans="1:8" ht="15.5">
      <c r="A16" s="173" t="s">
        <v>85</v>
      </c>
      <c r="B16" s="336">
        <v>142154</v>
      </c>
      <c r="C16" s="336">
        <v>3594073</v>
      </c>
      <c r="D16" s="336">
        <v>3736227</v>
      </c>
      <c r="E16" s="172"/>
      <c r="F16" s="172"/>
      <c r="G16" s="172"/>
      <c r="H16" s="298"/>
    </row>
    <row r="17" spans="1:19" ht="15.5">
      <c r="A17" s="173" t="s">
        <v>86</v>
      </c>
      <c r="B17" s="336">
        <v>142154</v>
      </c>
      <c r="C17" s="336">
        <v>2287466</v>
      </c>
      <c r="D17" s="336">
        <v>2429620</v>
      </c>
      <c r="E17" s="172"/>
      <c r="F17" s="172"/>
      <c r="G17" s="172"/>
      <c r="H17" s="298"/>
      <c r="I17" s="298"/>
      <c r="J17" s="298"/>
      <c r="K17" s="298"/>
      <c r="L17" s="298"/>
      <c r="M17" s="298"/>
      <c r="N17" s="298"/>
      <c r="O17" s="298"/>
      <c r="P17" s="298"/>
      <c r="Q17" s="298"/>
      <c r="R17" s="298"/>
      <c r="S17" s="298"/>
    </row>
    <row r="18" spans="1:19" s="132" customFormat="1" ht="18" thickBot="1">
      <c r="A18" s="140" t="s">
        <v>87</v>
      </c>
      <c r="B18" s="337">
        <f>SUM(B3:B17)</f>
        <v>16314558</v>
      </c>
      <c r="C18" s="337">
        <f>SUM(C3:C17)</f>
        <v>193060690</v>
      </c>
      <c r="D18" s="337">
        <f>SUM(D3:D17)</f>
        <v>209375248</v>
      </c>
      <c r="E18" s="172"/>
      <c r="F18" s="172"/>
      <c r="G18" s="172"/>
      <c r="H18" s="128"/>
    </row>
    <row r="19" spans="1:19" s="22" customFormat="1" ht="15" thickTop="1">
      <c r="A19" s="91"/>
      <c r="B19" s="92"/>
      <c r="C19" s="92"/>
      <c r="D19" s="92"/>
      <c r="E19" s="298"/>
      <c r="F19" s="298"/>
      <c r="G19" s="298"/>
      <c r="H19" s="298"/>
      <c r="I19" s="93"/>
    </row>
    <row r="20" spans="1:19" ht="15.5">
      <c r="A20" s="22" t="s">
        <v>13</v>
      </c>
      <c r="B20" s="301"/>
      <c r="C20" s="301"/>
      <c r="E20" s="172"/>
      <c r="F20" s="301"/>
      <c r="I20" s="298"/>
      <c r="J20" s="298"/>
      <c r="K20" s="298"/>
      <c r="L20" s="298"/>
      <c r="M20" s="298"/>
      <c r="N20" s="298"/>
      <c r="O20" s="298"/>
      <c r="P20" s="298"/>
      <c r="Q20" s="298"/>
      <c r="R20" s="298"/>
      <c r="S20" s="298"/>
    </row>
    <row r="21" spans="1:19" ht="153" customHeight="1">
      <c r="A21" s="372" t="s">
        <v>88</v>
      </c>
      <c r="B21" s="372"/>
      <c r="C21" s="372"/>
      <c r="D21" s="372"/>
      <c r="E21" s="172"/>
      <c r="F21" s="302"/>
      <c r="G21" s="302"/>
      <c r="H21" s="302"/>
      <c r="I21" s="298"/>
      <c r="J21" s="298"/>
      <c r="K21" s="298"/>
      <c r="L21" s="298"/>
      <c r="M21" s="298"/>
      <c r="N21" s="298"/>
      <c r="O21" s="298"/>
      <c r="P21" s="298"/>
      <c r="Q21" s="298"/>
      <c r="R21" s="298"/>
      <c r="S21" s="298"/>
    </row>
    <row r="22" spans="1:19" ht="49.5" customHeight="1">
      <c r="A22" s="372" t="s">
        <v>89</v>
      </c>
      <c r="B22" s="372"/>
      <c r="C22" s="372"/>
      <c r="D22" s="372"/>
      <c r="E22" s="172"/>
      <c r="F22" s="302"/>
      <c r="G22" s="302"/>
      <c r="H22" s="302"/>
      <c r="I22" s="298"/>
      <c r="J22" s="298"/>
      <c r="K22" s="298"/>
      <c r="L22" s="298"/>
      <c r="M22" s="298"/>
      <c r="N22" s="298"/>
      <c r="O22" s="298"/>
      <c r="P22" s="298"/>
      <c r="Q22" s="298"/>
      <c r="R22" s="298"/>
      <c r="S22" s="298"/>
    </row>
    <row r="23" spans="1:19" ht="13.5" customHeight="1">
      <c r="A23" s="369"/>
      <c r="B23" s="369"/>
      <c r="C23" s="369"/>
      <c r="D23" s="369"/>
      <c r="E23" s="97"/>
      <c r="F23" s="97"/>
      <c r="G23" s="97"/>
      <c r="H23" s="97"/>
      <c r="I23" s="97"/>
      <c r="J23" s="97"/>
      <c r="K23" s="97"/>
      <c r="L23" s="97"/>
      <c r="M23" s="97"/>
      <c r="N23" s="97"/>
      <c r="O23" s="97"/>
      <c r="P23" s="97"/>
      <c r="Q23" s="97"/>
      <c r="R23" s="97"/>
      <c r="S23" s="97"/>
    </row>
    <row r="24" spans="1:19">
      <c r="A24" s="303"/>
      <c r="B24" s="302"/>
      <c r="C24" s="302"/>
      <c r="D24" s="302"/>
      <c r="E24" s="302"/>
      <c r="F24" s="302"/>
      <c r="G24" s="302"/>
      <c r="H24" s="302"/>
      <c r="I24" s="298"/>
      <c r="J24" s="298"/>
      <c r="K24" s="298"/>
      <c r="L24" s="298"/>
      <c r="M24" s="298"/>
      <c r="N24" s="298"/>
      <c r="O24" s="298"/>
      <c r="P24" s="298"/>
      <c r="Q24" s="298"/>
      <c r="R24" s="298"/>
      <c r="S24" s="298"/>
    </row>
    <row r="25" spans="1:19" ht="37">
      <c r="A25" s="66" t="s">
        <v>68</v>
      </c>
      <c r="B25" s="65" t="s">
        <v>70</v>
      </c>
      <c r="C25" s="65" t="s">
        <v>69</v>
      </c>
      <c r="D25" s="65" t="s">
        <v>90</v>
      </c>
      <c r="E25" s="301"/>
      <c r="F25" s="301"/>
      <c r="I25" s="298"/>
      <c r="J25" s="298"/>
      <c r="K25" s="298"/>
      <c r="L25" s="298"/>
      <c r="M25" s="298"/>
      <c r="N25" s="298"/>
      <c r="O25" s="298"/>
      <c r="P25" s="298"/>
      <c r="Q25" s="298"/>
      <c r="R25" s="298"/>
      <c r="S25" s="298"/>
    </row>
    <row r="26" spans="1:19" ht="26.5" customHeight="1">
      <c r="A26" s="19" t="s">
        <v>86</v>
      </c>
      <c r="B26" s="172">
        <v>2287465.8438000018</v>
      </c>
      <c r="C26" s="172">
        <v>142154.35840000003</v>
      </c>
      <c r="D26" s="172">
        <v>2429620.202200002</v>
      </c>
      <c r="E26" s="301"/>
      <c r="F26" s="301"/>
      <c r="I26" s="298"/>
      <c r="J26" s="298"/>
      <c r="K26" s="298"/>
      <c r="L26" s="298"/>
      <c r="M26" s="298"/>
      <c r="N26" s="298"/>
      <c r="O26" s="298"/>
      <c r="P26" s="298"/>
      <c r="Q26" s="298"/>
      <c r="R26" s="298"/>
      <c r="S26" s="298"/>
    </row>
    <row r="27" spans="1:19" ht="15.5">
      <c r="A27" s="19" t="s">
        <v>85</v>
      </c>
      <c r="B27" s="172">
        <v>3594072.6469999976</v>
      </c>
      <c r="C27" s="172">
        <v>142154.35840000003</v>
      </c>
      <c r="D27" s="172">
        <v>3736227.0053999973</v>
      </c>
      <c r="E27" s="301"/>
      <c r="F27" s="301"/>
      <c r="I27" s="298"/>
      <c r="J27" s="298"/>
      <c r="K27" s="298"/>
      <c r="L27" s="298"/>
      <c r="M27" s="298"/>
      <c r="N27" s="298"/>
      <c r="O27" s="298"/>
      <c r="P27" s="298"/>
      <c r="Q27" s="298"/>
      <c r="R27" s="298"/>
      <c r="S27" s="298"/>
    </row>
    <row r="28" spans="1:19" ht="15.5">
      <c r="A28" s="19" t="s">
        <v>84</v>
      </c>
      <c r="B28" s="172">
        <v>5135506.1972999908</v>
      </c>
      <c r="C28" s="172">
        <v>236760.29460000005</v>
      </c>
      <c r="D28" s="172">
        <v>5372266.4918999905</v>
      </c>
      <c r="E28" s="301"/>
      <c r="F28" s="301"/>
      <c r="I28" s="298"/>
      <c r="J28" s="298"/>
      <c r="K28" s="298"/>
      <c r="L28" s="298"/>
      <c r="M28" s="298"/>
      <c r="N28" s="298"/>
      <c r="O28" s="298"/>
      <c r="P28" s="298"/>
      <c r="Q28" s="298"/>
      <c r="R28" s="298"/>
      <c r="S28" s="298"/>
    </row>
    <row r="29" spans="1:19" ht="15.5">
      <c r="A29" s="19" t="s">
        <v>83</v>
      </c>
      <c r="B29" s="172">
        <v>6238602.4692000085</v>
      </c>
      <c r="C29" s="172">
        <v>236760.29460000005</v>
      </c>
      <c r="D29" s="172">
        <v>6475362.7638000082</v>
      </c>
      <c r="E29" s="301"/>
      <c r="F29" s="301"/>
      <c r="I29" s="298"/>
      <c r="J29" s="298"/>
      <c r="K29" s="298"/>
      <c r="L29" s="298"/>
      <c r="M29" s="298"/>
      <c r="N29" s="298"/>
      <c r="O29" s="298"/>
      <c r="P29" s="298"/>
      <c r="Q29" s="298"/>
      <c r="R29" s="298"/>
      <c r="S29" s="298"/>
    </row>
    <row r="30" spans="1:19" ht="15.5">
      <c r="A30" s="19" t="s">
        <v>82</v>
      </c>
      <c r="B30" s="172">
        <v>3513171.4015999963</v>
      </c>
      <c r="C30" s="172">
        <v>2981636.0699000005</v>
      </c>
      <c r="D30" s="172">
        <v>6494807.4714999963</v>
      </c>
      <c r="E30" s="301"/>
      <c r="F30" s="301"/>
      <c r="I30" s="298"/>
      <c r="J30" s="298"/>
      <c r="K30" s="298"/>
      <c r="L30" s="298"/>
      <c r="M30" s="298"/>
      <c r="N30" s="298"/>
      <c r="O30" s="298"/>
      <c r="P30" s="298"/>
      <c r="Q30" s="298"/>
      <c r="R30" s="298"/>
      <c r="S30" s="298"/>
    </row>
    <row r="31" spans="1:19" ht="15.5">
      <c r="A31" s="19" t="s">
        <v>81</v>
      </c>
      <c r="B31" s="172">
        <v>4209141.1716999989</v>
      </c>
      <c r="C31" s="172">
        <v>2981636.0699000005</v>
      </c>
      <c r="D31" s="172">
        <v>7190777.2415999994</v>
      </c>
      <c r="E31" s="301"/>
      <c r="F31" s="301"/>
      <c r="I31" s="298"/>
      <c r="J31" s="298"/>
      <c r="K31" s="298"/>
      <c r="L31" s="298"/>
      <c r="M31" s="298"/>
      <c r="N31" s="298"/>
      <c r="O31" s="298"/>
      <c r="P31" s="298"/>
      <c r="Q31" s="298"/>
      <c r="R31" s="298"/>
      <c r="S31" s="298"/>
    </row>
    <row r="32" spans="1:19" ht="15.5">
      <c r="A32" s="19" t="s">
        <v>80</v>
      </c>
      <c r="B32" s="172">
        <v>7607977.8289000001</v>
      </c>
      <c r="C32" s="172"/>
      <c r="D32" s="172">
        <v>7607977.8289000001</v>
      </c>
      <c r="E32" s="301"/>
      <c r="F32" s="301"/>
      <c r="I32" s="298"/>
      <c r="J32" s="298"/>
      <c r="K32" s="298"/>
      <c r="L32" s="298"/>
      <c r="M32" s="298"/>
      <c r="N32" s="298"/>
      <c r="O32" s="298"/>
      <c r="P32" s="298"/>
      <c r="Q32" s="298"/>
      <c r="R32" s="298"/>
      <c r="S32" s="298"/>
    </row>
    <row r="33" spans="1:4" ht="15.5">
      <c r="A33" s="19" t="s">
        <v>79</v>
      </c>
      <c r="B33" s="172">
        <v>10979849.951300021</v>
      </c>
      <c r="C33" s="172">
        <v>236760.29460000005</v>
      </c>
      <c r="D33" s="172">
        <v>11216610.245900022</v>
      </c>
    </row>
    <row r="34" spans="1:4" ht="15.5">
      <c r="A34" s="19" t="s">
        <v>78</v>
      </c>
      <c r="B34" s="172">
        <v>11754054.739300005</v>
      </c>
      <c r="C34" s="172"/>
      <c r="D34" s="172">
        <v>11754054.739300005</v>
      </c>
    </row>
    <row r="35" spans="1:4" ht="15.5">
      <c r="A35" s="19" t="s">
        <v>77</v>
      </c>
      <c r="B35" s="172">
        <v>14709657.951199997</v>
      </c>
      <c r="C35" s="172">
        <v>535027.23039999988</v>
      </c>
      <c r="D35" s="172">
        <v>15244685.181599997</v>
      </c>
    </row>
    <row r="36" spans="1:4" ht="15.5">
      <c r="A36" s="19" t="s">
        <v>76</v>
      </c>
      <c r="B36" s="172">
        <v>16699044.217000017</v>
      </c>
      <c r="C36" s="172">
        <v>535027.23039999988</v>
      </c>
      <c r="D36" s="172">
        <v>17234071.447400019</v>
      </c>
    </row>
    <row r="37" spans="1:4" ht="15.5">
      <c r="A37" s="19" t="s">
        <v>75</v>
      </c>
      <c r="B37" s="172">
        <v>14759729.731900008</v>
      </c>
      <c r="C37" s="172">
        <v>3732343.6464</v>
      </c>
      <c r="D37" s="172">
        <v>18492073.378300007</v>
      </c>
    </row>
    <row r="38" spans="1:4" ht="15.5">
      <c r="A38" s="19" t="s">
        <v>74</v>
      </c>
      <c r="B38" s="172">
        <v>22441517.994699951</v>
      </c>
      <c r="C38" s="172">
        <v>354848.53969999996</v>
      </c>
      <c r="D38" s="172">
        <v>22796366.534399953</v>
      </c>
    </row>
    <row r="39" spans="1:4" ht="15.5">
      <c r="A39" s="19" t="s">
        <v>73</v>
      </c>
      <c r="B39" s="172">
        <v>24747425.962800004</v>
      </c>
      <c r="C39" s="172">
        <v>354848.53969999996</v>
      </c>
      <c r="D39" s="172">
        <v>25102274.502500005</v>
      </c>
    </row>
    <row r="40" spans="1:4" ht="15.5">
      <c r="A40" s="19" t="s">
        <v>72</v>
      </c>
      <c r="B40" s="172">
        <v>44383471.62960007</v>
      </c>
      <c r="C40" s="172">
        <v>3844601.0048000007</v>
      </c>
      <c r="D40" s="172">
        <v>48228072.63440007</v>
      </c>
    </row>
  </sheetData>
  <sortState xmlns:xlrd2="http://schemas.microsoft.com/office/spreadsheetml/2017/richdata2" ref="E4:G18">
    <sortCondition ref="G4:G18"/>
  </sortState>
  <mergeCells count="4">
    <mergeCell ref="A1:H1"/>
    <mergeCell ref="A21:D21"/>
    <mergeCell ref="A23:D23"/>
    <mergeCell ref="A22:D22"/>
  </mergeCells>
  <pageMargins left="0.25" right="0.25" top="0.75" bottom="0.75" header="0.3" footer="0.3"/>
  <pageSetup scale="54"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75"/>
  <sheetViews>
    <sheetView zoomScaleNormal="100" workbookViewId="0">
      <pane ySplit="2" topLeftCell="A14" activePane="bottomLeft" state="frozen"/>
      <selection pane="bottomLeft" activeCell="U32" sqref="U32"/>
    </sheetView>
  </sheetViews>
  <sheetFormatPr defaultColWidth="9.1796875" defaultRowHeight="14.5"/>
  <cols>
    <col min="1" max="1" width="25.7265625" style="103" customWidth="1"/>
    <col min="2" max="2" width="13.26953125" style="102" hidden="1" customWidth="1"/>
    <col min="3" max="3" width="14.54296875" style="101" hidden="1" customWidth="1"/>
    <col min="4" max="5" width="14.54296875" style="102" hidden="1" customWidth="1"/>
    <col min="6" max="6" width="12.1796875" style="102" hidden="1" customWidth="1"/>
    <col min="7" max="7" width="12.1796875" style="103" hidden="1" customWidth="1"/>
    <col min="8" max="8" width="12.54296875" style="103" hidden="1" customWidth="1"/>
    <col min="9" max="10" width="13.453125" style="103" hidden="1" customWidth="1"/>
    <col min="11" max="20" width="14.453125" style="103" customWidth="1"/>
    <col min="21" max="21" width="13.26953125" style="103" bestFit="1" customWidth="1"/>
    <col min="22" max="22" width="11.26953125" style="103" bestFit="1" customWidth="1"/>
    <col min="23" max="26" width="9.1796875" style="103"/>
    <col min="27" max="27" width="10.1796875" style="103" bestFit="1" customWidth="1"/>
    <col min="28" max="16384" width="9.1796875" style="103"/>
  </cols>
  <sheetData>
    <row r="1" spans="1:21" ht="27" customHeight="1">
      <c r="A1" s="99" t="s">
        <v>91</v>
      </c>
      <c r="B1" s="100"/>
      <c r="G1" s="101"/>
      <c r="H1" s="101"/>
      <c r="I1" s="101"/>
      <c r="J1" s="101"/>
      <c r="K1" s="101"/>
    </row>
    <row r="2" spans="1:21" s="149" customFormat="1" ht="21.65" customHeight="1">
      <c r="A2" s="320" t="s">
        <v>413</v>
      </c>
      <c r="B2" s="321">
        <v>2007</v>
      </c>
      <c r="C2" s="321">
        <v>2008</v>
      </c>
      <c r="D2" s="321">
        <v>2009</v>
      </c>
      <c r="E2" s="321">
        <v>2010</v>
      </c>
      <c r="F2" s="321">
        <v>2011</v>
      </c>
      <c r="G2" s="321">
        <v>2012</v>
      </c>
      <c r="H2" s="321">
        <v>2013</v>
      </c>
      <c r="I2" s="321">
        <v>2014</v>
      </c>
      <c r="J2" s="321">
        <v>2015</v>
      </c>
      <c r="K2" s="315">
        <v>2016</v>
      </c>
      <c r="L2" s="315">
        <v>2017</v>
      </c>
      <c r="M2" s="315">
        <v>2018</v>
      </c>
      <c r="N2" s="315">
        <v>2019</v>
      </c>
      <c r="O2" s="315">
        <v>2020</v>
      </c>
      <c r="P2" s="315">
        <v>2021</v>
      </c>
      <c r="Q2" s="315">
        <v>2022</v>
      </c>
      <c r="R2" s="315">
        <v>2023</v>
      </c>
      <c r="S2" s="315">
        <v>2024</v>
      </c>
      <c r="T2" s="322" t="s">
        <v>92</v>
      </c>
      <c r="U2" s="48"/>
    </row>
    <row r="3" spans="1:21">
      <c r="A3" s="104" t="s">
        <v>93</v>
      </c>
      <c r="B3" s="68">
        <v>28768911.599999998</v>
      </c>
      <c r="C3" s="68">
        <v>37188905</v>
      </c>
      <c r="D3" s="68">
        <v>42706871</v>
      </c>
      <c r="E3" s="68">
        <v>50405309</v>
      </c>
      <c r="F3" s="68">
        <v>59165613</v>
      </c>
      <c r="G3" s="68">
        <v>61637074.399999999</v>
      </c>
      <c r="H3" s="68">
        <v>61223676.229999997</v>
      </c>
      <c r="I3" s="105">
        <v>57654085</v>
      </c>
      <c r="J3" s="105">
        <v>67777655.400000006</v>
      </c>
      <c r="K3" s="338">
        <v>62214559</v>
      </c>
      <c r="L3" s="338">
        <v>62987617</v>
      </c>
      <c r="M3" s="338">
        <v>62147342</v>
      </c>
      <c r="N3" s="338">
        <v>70886382</v>
      </c>
      <c r="O3" s="338">
        <v>76390650</v>
      </c>
      <c r="P3" s="338">
        <v>73068145</v>
      </c>
      <c r="Q3" s="338">
        <v>56916562</v>
      </c>
      <c r="R3" s="339">
        <v>59742388</v>
      </c>
      <c r="S3" s="339">
        <v>58767994.209994927</v>
      </c>
      <c r="T3" s="339">
        <v>71553907</v>
      </c>
      <c r="U3" s="107"/>
    </row>
    <row r="4" spans="1:21">
      <c r="A4" s="104" t="s">
        <v>94</v>
      </c>
      <c r="B4" s="68">
        <v>7340355.379999998</v>
      </c>
      <c r="C4" s="68">
        <v>9192920</v>
      </c>
      <c r="D4" s="68">
        <v>18334391</v>
      </c>
      <c r="E4" s="68">
        <v>26543346</v>
      </c>
      <c r="F4" s="68">
        <v>52343560</v>
      </c>
      <c r="G4" s="68">
        <v>51216105.399999999</v>
      </c>
      <c r="H4" s="68">
        <v>36245776.280000001</v>
      </c>
      <c r="I4" s="105">
        <v>26801554</v>
      </c>
      <c r="J4" s="105">
        <v>28292736.699999999</v>
      </c>
      <c r="K4" s="338">
        <v>27088878</v>
      </c>
      <c r="L4" s="338">
        <v>23417021</v>
      </c>
      <c r="M4" s="338">
        <v>26971498</v>
      </c>
      <c r="N4" s="338">
        <v>20213837</v>
      </c>
      <c r="O4" s="338">
        <v>20804476</v>
      </c>
      <c r="P4" s="338">
        <v>21214325</v>
      </c>
      <c r="Q4" s="338">
        <v>24031847</v>
      </c>
      <c r="R4" s="339">
        <v>24480271</v>
      </c>
      <c r="S4" s="339">
        <v>29962652.160001818</v>
      </c>
      <c r="T4" s="339">
        <v>29748622</v>
      </c>
      <c r="U4" s="107"/>
    </row>
    <row r="5" spans="1:21">
      <c r="A5" s="104" t="s">
        <v>95</v>
      </c>
      <c r="B5" s="68">
        <v>25281128.979999978</v>
      </c>
      <c r="C5" s="68">
        <v>14497055</v>
      </c>
      <c r="D5" s="68">
        <v>12350282</v>
      </c>
      <c r="E5" s="68">
        <v>15702284</v>
      </c>
      <c r="F5" s="68">
        <v>17198718</v>
      </c>
      <c r="G5" s="68">
        <v>19784368</v>
      </c>
      <c r="H5" s="68">
        <v>16144887.76</v>
      </c>
      <c r="I5" s="105">
        <v>17769309</v>
      </c>
      <c r="J5" s="105">
        <v>17220237.800000001</v>
      </c>
      <c r="K5" s="338">
        <v>17995494</v>
      </c>
      <c r="L5" s="338">
        <v>20182310</v>
      </c>
      <c r="M5" s="338">
        <v>21730080</v>
      </c>
      <c r="N5" s="338">
        <v>19057687</v>
      </c>
      <c r="O5" s="338">
        <v>18810502</v>
      </c>
      <c r="P5" s="338">
        <v>18159996</v>
      </c>
      <c r="Q5" s="338">
        <v>19295483</v>
      </c>
      <c r="R5" s="339">
        <v>22593290</v>
      </c>
      <c r="S5" s="339">
        <v>22735741.559999209</v>
      </c>
      <c r="T5" s="339">
        <v>29498825</v>
      </c>
      <c r="U5" s="107"/>
    </row>
    <row r="6" spans="1:21">
      <c r="A6" s="104" t="s">
        <v>96</v>
      </c>
      <c r="B6" s="68">
        <v>16791815.219999991</v>
      </c>
      <c r="C6" s="68">
        <v>19398012</v>
      </c>
      <c r="D6" s="68">
        <v>21934884</v>
      </c>
      <c r="E6" s="68">
        <v>22917641</v>
      </c>
      <c r="F6" s="68">
        <v>28149960</v>
      </c>
      <c r="G6" s="68">
        <v>30311321</v>
      </c>
      <c r="H6" s="68">
        <v>28453558.780000001</v>
      </c>
      <c r="I6" s="105">
        <v>28224756</v>
      </c>
      <c r="J6" s="105">
        <v>40285555.630000003</v>
      </c>
      <c r="K6" s="338">
        <v>29114533</v>
      </c>
      <c r="L6" s="338">
        <v>34958776</v>
      </c>
      <c r="M6" s="338">
        <v>31667229</v>
      </c>
      <c r="N6" s="338">
        <v>27353317</v>
      </c>
      <c r="O6" s="338">
        <v>25975173</v>
      </c>
      <c r="P6" s="338">
        <v>27685383</v>
      </c>
      <c r="Q6" s="338">
        <v>25268952</v>
      </c>
      <c r="R6" s="339">
        <v>27793409</v>
      </c>
      <c r="S6" s="339">
        <v>29854373.049998119</v>
      </c>
      <c r="T6" s="338">
        <v>28684176</v>
      </c>
      <c r="U6" s="107"/>
    </row>
    <row r="7" spans="1:21">
      <c r="A7" s="104" t="s">
        <v>97</v>
      </c>
      <c r="B7" s="68">
        <v>4993259.890000008</v>
      </c>
      <c r="C7" s="68">
        <v>8354049</v>
      </c>
      <c r="D7" s="68">
        <v>13046970</v>
      </c>
      <c r="E7" s="68">
        <v>16165914</v>
      </c>
      <c r="F7" s="68">
        <v>19962308</v>
      </c>
      <c r="G7" s="68">
        <v>13560427.4</v>
      </c>
      <c r="H7" s="68">
        <v>14326142.01</v>
      </c>
      <c r="I7" s="105">
        <v>10014903</v>
      </c>
      <c r="J7" s="105">
        <v>11744583.01</v>
      </c>
      <c r="K7" s="338">
        <v>9724087</v>
      </c>
      <c r="L7" s="338">
        <v>11247539</v>
      </c>
      <c r="M7" s="338">
        <v>12057261</v>
      </c>
      <c r="N7" s="338">
        <v>11349981</v>
      </c>
      <c r="O7" s="338">
        <v>9721637</v>
      </c>
      <c r="P7" s="338">
        <v>8473674</v>
      </c>
      <c r="Q7" s="338">
        <v>9145874</v>
      </c>
      <c r="R7" s="339">
        <v>9043472</v>
      </c>
      <c r="S7" s="339">
        <v>14071239.960000126</v>
      </c>
      <c r="T7" s="339">
        <v>26034010</v>
      </c>
      <c r="U7" s="107"/>
    </row>
    <row r="8" spans="1:21">
      <c r="A8" s="108" t="s">
        <v>98</v>
      </c>
      <c r="B8" s="68">
        <v>9497889.2199999988</v>
      </c>
      <c r="C8" s="68">
        <v>11347198</v>
      </c>
      <c r="D8" s="68">
        <v>21341820</v>
      </c>
      <c r="E8" s="68">
        <v>11427897</v>
      </c>
      <c r="F8" s="68">
        <v>24894377</v>
      </c>
      <c r="G8" s="68">
        <v>22160067</v>
      </c>
      <c r="H8" s="68">
        <v>20849802.890000001</v>
      </c>
      <c r="I8" s="105">
        <v>29293225</v>
      </c>
      <c r="J8" s="105">
        <v>19225549.199999999</v>
      </c>
      <c r="K8" s="338">
        <v>21252149</v>
      </c>
      <c r="L8" s="338">
        <v>15238992</v>
      </c>
      <c r="M8" s="338">
        <v>35985026</v>
      </c>
      <c r="N8" s="338">
        <v>14029481</v>
      </c>
      <c r="O8" s="338">
        <v>19968805</v>
      </c>
      <c r="P8" s="338">
        <v>24062705</v>
      </c>
      <c r="Q8" s="338">
        <v>22552874</v>
      </c>
      <c r="R8" s="339">
        <v>16612757</v>
      </c>
      <c r="S8" s="339">
        <v>19422111.459999982</v>
      </c>
      <c r="T8" s="339">
        <v>22237887</v>
      </c>
      <c r="U8" s="107"/>
    </row>
    <row r="9" spans="1:21">
      <c r="A9" s="104" t="s">
        <v>99</v>
      </c>
      <c r="B9" s="68">
        <v>9489801.4999999963</v>
      </c>
      <c r="C9" s="68">
        <v>9336015</v>
      </c>
      <c r="D9" s="68">
        <v>10063271</v>
      </c>
      <c r="E9" s="68">
        <v>12243309</v>
      </c>
      <c r="F9" s="68">
        <v>13045831</v>
      </c>
      <c r="G9" s="68">
        <v>13498753.4</v>
      </c>
      <c r="H9" s="68">
        <v>13359733.73</v>
      </c>
      <c r="I9" s="105">
        <v>14630130</v>
      </c>
      <c r="J9" s="105">
        <v>16928838.199999999</v>
      </c>
      <c r="K9" s="338">
        <v>17898141</v>
      </c>
      <c r="L9" s="338">
        <v>15136556</v>
      </c>
      <c r="M9" s="338">
        <v>15971140</v>
      </c>
      <c r="N9" s="338">
        <v>15606694</v>
      </c>
      <c r="O9" s="338">
        <v>14608802</v>
      </c>
      <c r="P9" s="338">
        <v>16159299</v>
      </c>
      <c r="Q9" s="338">
        <v>16363367</v>
      </c>
      <c r="R9" s="339">
        <v>17881467</v>
      </c>
      <c r="S9" s="339">
        <v>15951330.340000255</v>
      </c>
      <c r="T9" s="339">
        <v>19803143</v>
      </c>
      <c r="U9" s="107"/>
    </row>
    <row r="10" spans="1:21">
      <c r="A10" s="104" t="s">
        <v>100</v>
      </c>
      <c r="B10" s="68">
        <v>13533874.44999999</v>
      </c>
      <c r="C10" s="68">
        <v>14744699</v>
      </c>
      <c r="D10" s="68">
        <v>11181219</v>
      </c>
      <c r="E10" s="68">
        <v>15259843</v>
      </c>
      <c r="F10" s="68">
        <v>41609286</v>
      </c>
      <c r="G10" s="68">
        <v>33899854</v>
      </c>
      <c r="H10" s="68">
        <v>44562895.789999999</v>
      </c>
      <c r="I10" s="105">
        <v>13867496</v>
      </c>
      <c r="J10" s="105">
        <v>39453337.270000003</v>
      </c>
      <c r="K10" s="338">
        <v>40819289</v>
      </c>
      <c r="L10" s="338">
        <v>32446965</v>
      </c>
      <c r="M10" s="338">
        <v>31737631</v>
      </c>
      <c r="N10" s="338">
        <v>33544646</v>
      </c>
      <c r="O10" s="338">
        <v>37143967</v>
      </c>
      <c r="P10" s="338">
        <v>36056424</v>
      </c>
      <c r="Q10" s="338">
        <v>35020064</v>
      </c>
      <c r="R10" s="339">
        <v>36378950.399999999</v>
      </c>
      <c r="S10" s="339">
        <v>17784585.959999945</v>
      </c>
      <c r="T10" s="339">
        <v>13812593</v>
      </c>
      <c r="U10" s="107"/>
    </row>
    <row r="11" spans="1:21">
      <c r="A11" s="104" t="s">
        <v>101</v>
      </c>
      <c r="B11" s="68">
        <v>5229671.92</v>
      </c>
      <c r="C11" s="68">
        <v>6075054</v>
      </c>
      <c r="D11" s="68">
        <v>8056193</v>
      </c>
      <c r="E11" s="68">
        <v>6848834</v>
      </c>
      <c r="F11" s="68">
        <v>9469437</v>
      </c>
      <c r="G11" s="68">
        <v>11109892</v>
      </c>
      <c r="H11" s="68">
        <v>15336657.32</v>
      </c>
      <c r="I11" s="105">
        <v>10819987</v>
      </c>
      <c r="J11" s="105">
        <v>11165031.380000001</v>
      </c>
      <c r="K11" s="338">
        <v>11471831</v>
      </c>
      <c r="L11" s="338">
        <v>10425322</v>
      </c>
      <c r="M11" s="338">
        <v>8368864</v>
      </c>
      <c r="N11" s="338">
        <v>6959520</v>
      </c>
      <c r="O11" s="338">
        <v>7170541</v>
      </c>
      <c r="P11" s="338">
        <v>8523017</v>
      </c>
      <c r="Q11" s="338">
        <v>8902998</v>
      </c>
      <c r="R11" s="339">
        <v>10043924</v>
      </c>
      <c r="S11" s="339">
        <v>12345408.710000053</v>
      </c>
      <c r="T11" s="339">
        <v>9010289</v>
      </c>
      <c r="U11" s="107"/>
    </row>
    <row r="12" spans="1:21">
      <c r="A12" s="104" t="s">
        <v>102</v>
      </c>
      <c r="B12" s="68">
        <v>701438.96</v>
      </c>
      <c r="C12" s="68">
        <v>1184634</v>
      </c>
      <c r="D12" s="68">
        <v>1466476</v>
      </c>
      <c r="E12" s="68">
        <v>7248075</v>
      </c>
      <c r="F12" s="68">
        <v>4904675</v>
      </c>
      <c r="G12" s="68">
        <v>13213441</v>
      </c>
      <c r="H12" s="68">
        <v>10805581.939999999</v>
      </c>
      <c r="I12" s="105">
        <v>19886298</v>
      </c>
      <c r="J12" s="105">
        <v>3761184.08</v>
      </c>
      <c r="K12" s="338">
        <v>4997891</v>
      </c>
      <c r="L12" s="338">
        <v>4993296</v>
      </c>
      <c r="M12" s="338">
        <v>3449209</v>
      </c>
      <c r="N12" s="338">
        <v>5254430</v>
      </c>
      <c r="O12" s="338">
        <v>8862776</v>
      </c>
      <c r="P12" s="338">
        <v>14927618</v>
      </c>
      <c r="Q12" s="338">
        <v>4662304</v>
      </c>
      <c r="R12" s="339">
        <v>5279947</v>
      </c>
      <c r="S12" s="339">
        <v>5753889.7100000596</v>
      </c>
      <c r="T12" s="339">
        <v>5413112</v>
      </c>
      <c r="U12" s="107"/>
    </row>
    <row r="13" spans="1:21">
      <c r="A13" s="104" t="s">
        <v>103</v>
      </c>
      <c r="B13" s="68">
        <v>1782913.18</v>
      </c>
      <c r="C13" s="68">
        <v>6659039</v>
      </c>
      <c r="D13" s="68">
        <v>3299192</v>
      </c>
      <c r="E13" s="68">
        <v>5224071</v>
      </c>
      <c r="F13" s="68">
        <v>4433754</v>
      </c>
      <c r="G13" s="68">
        <v>13235463</v>
      </c>
      <c r="H13" s="68">
        <v>3315759.24</v>
      </c>
      <c r="I13" s="105">
        <v>3817058</v>
      </c>
      <c r="J13" s="105">
        <v>4600725.0999999996</v>
      </c>
      <c r="K13" s="338">
        <v>4520947</v>
      </c>
      <c r="L13" s="338">
        <v>4516591</v>
      </c>
      <c r="M13" s="338">
        <v>4527680</v>
      </c>
      <c r="N13" s="338">
        <v>4404430</v>
      </c>
      <c r="O13" s="338">
        <v>4131290</v>
      </c>
      <c r="P13" s="338">
        <v>4194736</v>
      </c>
      <c r="Q13" s="338">
        <v>4046768</v>
      </c>
      <c r="R13" s="339">
        <v>4921664</v>
      </c>
      <c r="S13" s="339">
        <v>12291468.809999967</v>
      </c>
      <c r="T13" s="339">
        <v>4550906</v>
      </c>
      <c r="U13" s="107"/>
    </row>
    <row r="14" spans="1:21" ht="16.5">
      <c r="A14" s="104" t="s">
        <v>104</v>
      </c>
      <c r="B14" s="68"/>
      <c r="C14" s="68">
        <v>6167509</v>
      </c>
      <c r="D14" s="68">
        <v>7274724</v>
      </c>
      <c r="E14" s="68">
        <v>6826368</v>
      </c>
      <c r="F14" s="68">
        <v>7722192</v>
      </c>
      <c r="G14" s="68">
        <v>6872463</v>
      </c>
      <c r="H14" s="68">
        <v>4578007.34</v>
      </c>
      <c r="I14" s="105">
        <v>4892097</v>
      </c>
      <c r="J14" s="105">
        <v>5062472.42</v>
      </c>
      <c r="K14" s="338">
        <v>6828524</v>
      </c>
      <c r="L14" s="338">
        <v>5039627</v>
      </c>
      <c r="M14" s="338">
        <v>4841580</v>
      </c>
      <c r="N14" s="338">
        <v>4720582</v>
      </c>
      <c r="O14" s="338">
        <v>5039768</v>
      </c>
      <c r="P14" s="338">
        <v>4911421</v>
      </c>
      <c r="Q14" s="338">
        <v>5165002</v>
      </c>
      <c r="R14" s="339">
        <v>4484225</v>
      </c>
      <c r="S14" s="339">
        <v>3474661.96</v>
      </c>
      <c r="T14" s="339">
        <v>4218216</v>
      </c>
      <c r="U14" s="107"/>
    </row>
    <row r="15" spans="1:21" s="149" customFormat="1" ht="18" thickBot="1">
      <c r="A15" s="147" t="s">
        <v>105</v>
      </c>
      <c r="B15" s="148">
        <f t="shared" ref="B15:T15" si="0">SUM(B3:B14)</f>
        <v>123411060.29999998</v>
      </c>
      <c r="C15" s="148">
        <f t="shared" si="0"/>
        <v>144145089</v>
      </c>
      <c r="D15" s="148">
        <f t="shared" si="0"/>
        <v>171056293</v>
      </c>
      <c r="E15" s="148">
        <f t="shared" si="0"/>
        <v>196812891</v>
      </c>
      <c r="F15" s="148">
        <f t="shared" si="0"/>
        <v>282899711</v>
      </c>
      <c r="G15" s="148">
        <f t="shared" si="0"/>
        <v>290499229.60000002</v>
      </c>
      <c r="H15" s="148">
        <f t="shared" si="0"/>
        <v>269202479.30999994</v>
      </c>
      <c r="I15" s="144">
        <f t="shared" si="0"/>
        <v>237670898</v>
      </c>
      <c r="J15" s="144">
        <f t="shared" si="0"/>
        <v>265517906.18999997</v>
      </c>
      <c r="K15" s="340">
        <f t="shared" si="0"/>
        <v>253926323</v>
      </c>
      <c r="L15" s="340">
        <f t="shared" si="0"/>
        <v>240590612</v>
      </c>
      <c r="M15" s="340">
        <f t="shared" si="0"/>
        <v>259454540</v>
      </c>
      <c r="N15" s="340">
        <f t="shared" si="0"/>
        <v>233380987</v>
      </c>
      <c r="O15" s="340">
        <f t="shared" si="0"/>
        <v>248628387</v>
      </c>
      <c r="P15" s="340">
        <f t="shared" si="0"/>
        <v>257436743</v>
      </c>
      <c r="Q15" s="340">
        <f t="shared" si="0"/>
        <v>231372095</v>
      </c>
      <c r="R15" s="340">
        <f t="shared" si="0"/>
        <v>239255764.40000001</v>
      </c>
      <c r="S15" s="340">
        <f t="shared" ref="S15" si="1">SUM(S3:S14)</f>
        <v>242415457.88999447</v>
      </c>
      <c r="T15" s="340">
        <f t="shared" si="0"/>
        <v>264565686</v>
      </c>
      <c r="U15" s="130"/>
    </row>
    <row r="16" spans="1:21" ht="15" thickTop="1">
      <c r="A16" s="104"/>
      <c r="C16" s="102"/>
      <c r="G16" s="109"/>
      <c r="H16" s="109"/>
      <c r="I16" s="109"/>
      <c r="J16" s="109"/>
      <c r="K16" s="109"/>
    </row>
    <row r="17" spans="1:20">
      <c r="A17" s="110" t="s">
        <v>13</v>
      </c>
    </row>
    <row r="18" spans="1:20" ht="21" customHeight="1">
      <c r="A18" s="374" t="s">
        <v>106</v>
      </c>
      <c r="B18" s="374"/>
      <c r="C18" s="374"/>
      <c r="D18" s="374"/>
      <c r="E18" s="374"/>
      <c r="F18" s="374"/>
      <c r="G18" s="374"/>
      <c r="H18" s="374"/>
      <c r="I18" s="374"/>
      <c r="J18" s="374"/>
      <c r="K18" s="374"/>
      <c r="L18" s="374"/>
      <c r="M18" s="374"/>
      <c r="N18" s="374"/>
      <c r="O18" s="374"/>
      <c r="P18" s="374"/>
      <c r="Q18" s="374"/>
      <c r="R18" s="374"/>
      <c r="S18" s="374"/>
      <c r="T18" s="374"/>
    </row>
    <row r="19" spans="1:20" ht="21" customHeight="1">
      <c r="A19" s="374" t="s">
        <v>107</v>
      </c>
      <c r="B19" s="374"/>
      <c r="C19" s="374"/>
      <c r="D19" s="374"/>
      <c r="E19" s="374"/>
      <c r="F19" s="374"/>
      <c r="G19" s="374"/>
      <c r="H19" s="374"/>
      <c r="I19" s="374"/>
      <c r="J19" s="374"/>
      <c r="K19" s="374"/>
      <c r="L19" s="374"/>
      <c r="M19" s="374"/>
      <c r="N19" s="374"/>
      <c r="O19" s="374"/>
      <c r="P19" s="374"/>
      <c r="Q19" s="374"/>
      <c r="R19" s="374"/>
      <c r="S19" s="374"/>
      <c r="T19" s="374"/>
    </row>
    <row r="20" spans="1:20" ht="36" customHeight="1">
      <c r="A20" s="373" t="s">
        <v>62</v>
      </c>
      <c r="B20" s="373"/>
      <c r="C20" s="373"/>
      <c r="D20" s="373"/>
      <c r="E20" s="373"/>
      <c r="F20" s="373"/>
      <c r="G20" s="373"/>
      <c r="H20" s="373"/>
      <c r="I20" s="373"/>
      <c r="J20" s="373"/>
      <c r="K20" s="373"/>
      <c r="L20" s="373"/>
      <c r="M20" s="373"/>
      <c r="N20" s="373"/>
      <c r="O20" s="373"/>
      <c r="P20" s="373"/>
      <c r="Q20" s="373"/>
      <c r="R20" s="373"/>
      <c r="S20" s="373"/>
      <c r="T20" s="373"/>
    </row>
    <row r="22" spans="1:20" ht="26.25" customHeight="1">
      <c r="A22" s="111"/>
      <c r="B22" s="105"/>
      <c r="C22" s="112"/>
      <c r="D22" s="105"/>
      <c r="E22" s="105"/>
      <c r="F22" s="105"/>
      <c r="G22" s="70"/>
      <c r="H22" s="70"/>
      <c r="I22" s="70"/>
      <c r="J22" s="70"/>
      <c r="K22" s="104"/>
      <c r="L22" s="105"/>
      <c r="M22" s="104" t="s">
        <v>108</v>
      </c>
      <c r="N22" s="106">
        <v>4218215.7400000356</v>
      </c>
    </row>
    <row r="23" spans="1:20" ht="17.25" customHeight="1">
      <c r="A23" s="108"/>
      <c r="B23" s="105"/>
      <c r="C23" s="112"/>
      <c r="D23" s="105"/>
      <c r="H23" s="70"/>
      <c r="I23" s="70"/>
      <c r="J23" s="70"/>
      <c r="K23" s="104"/>
      <c r="L23" s="70"/>
      <c r="M23" s="104" t="s">
        <v>103</v>
      </c>
      <c r="N23" s="106">
        <v>4550905.789999892</v>
      </c>
    </row>
    <row r="24" spans="1:20">
      <c r="K24" s="104"/>
      <c r="M24" s="104" t="s">
        <v>102</v>
      </c>
      <c r="N24" s="106">
        <v>5413112.4300000211</v>
      </c>
    </row>
    <row r="25" spans="1:20">
      <c r="K25" s="104"/>
      <c r="M25" s="104" t="s">
        <v>101</v>
      </c>
      <c r="N25" s="106">
        <v>9010289.429999996</v>
      </c>
    </row>
    <row r="26" spans="1:20">
      <c r="K26" s="104"/>
      <c r="M26" s="104" t="s">
        <v>100</v>
      </c>
      <c r="N26" s="106">
        <v>13812592.710000014</v>
      </c>
    </row>
    <row r="27" spans="1:20">
      <c r="B27" s="103"/>
      <c r="C27" s="103"/>
      <c r="K27" s="108"/>
      <c r="M27" s="104" t="s">
        <v>99</v>
      </c>
      <c r="N27" s="106">
        <v>19803143.00999983</v>
      </c>
    </row>
    <row r="28" spans="1:20">
      <c r="B28" s="103"/>
      <c r="C28" s="103"/>
      <c r="K28" s="104"/>
      <c r="M28" s="108" t="s">
        <v>98</v>
      </c>
      <c r="N28" s="106">
        <v>22237886.599999826</v>
      </c>
    </row>
    <row r="29" spans="1:20">
      <c r="B29" s="103"/>
      <c r="C29" s="103"/>
      <c r="K29" s="104"/>
      <c r="M29" s="104" t="s">
        <v>97</v>
      </c>
      <c r="N29" s="106">
        <v>26034010.230000407</v>
      </c>
    </row>
    <row r="30" spans="1:20">
      <c r="B30" s="103"/>
      <c r="C30" s="103"/>
      <c r="K30" s="104"/>
      <c r="M30" s="104" t="s">
        <v>96</v>
      </c>
      <c r="N30" s="106">
        <v>28684175.479999442</v>
      </c>
    </row>
    <row r="31" spans="1:20">
      <c r="B31" s="103"/>
      <c r="C31" s="103"/>
      <c r="K31" s="104"/>
      <c r="M31" s="104" t="s">
        <v>95</v>
      </c>
      <c r="N31" s="106">
        <v>29498825.400003094</v>
      </c>
    </row>
    <row r="32" spans="1:20">
      <c r="K32" s="104"/>
      <c r="M32" s="104" t="s">
        <v>94</v>
      </c>
      <c r="N32" s="106">
        <v>29748621.800001059</v>
      </c>
    </row>
    <row r="33" spans="5:14">
      <c r="K33" s="104"/>
      <c r="M33" s="104" t="s">
        <v>93</v>
      </c>
      <c r="N33" s="106">
        <v>71553907.390012965</v>
      </c>
    </row>
    <row r="34" spans="5:14">
      <c r="M34" s="113"/>
    </row>
    <row r="35" spans="5:14">
      <c r="M35" s="113"/>
      <c r="N35" s="109"/>
    </row>
    <row r="36" spans="5:14">
      <c r="N36" s="109"/>
    </row>
    <row r="37" spans="5:14">
      <c r="N37" s="109"/>
    </row>
    <row r="39" spans="5:14">
      <c r="E39" s="114"/>
    </row>
    <row r="40" spans="5:14">
      <c r="E40" s="114"/>
      <c r="H40" s="115"/>
    </row>
    <row r="41" spans="5:14">
      <c r="E41" s="114"/>
      <c r="H41" s="115"/>
    </row>
    <row r="42" spans="5:14">
      <c r="E42" s="114"/>
      <c r="H42" s="115"/>
    </row>
    <row r="43" spans="5:14">
      <c r="E43" s="114"/>
      <c r="H43" s="115"/>
    </row>
    <row r="44" spans="5:14">
      <c r="E44" s="114"/>
      <c r="H44" s="115"/>
    </row>
    <row r="45" spans="5:14">
      <c r="E45" s="114"/>
    </row>
    <row r="59" spans="1:6">
      <c r="E59" s="103"/>
      <c r="F59" s="103"/>
    </row>
    <row r="60" spans="1:6">
      <c r="A60" s="104"/>
      <c r="B60" s="103"/>
      <c r="C60" s="103"/>
      <c r="D60" s="103"/>
      <c r="E60" s="103"/>
      <c r="F60" s="103"/>
    </row>
    <row r="61" spans="1:6">
      <c r="A61" s="104"/>
      <c r="B61" s="103"/>
      <c r="C61" s="103"/>
      <c r="D61" s="103"/>
      <c r="E61" s="103"/>
      <c r="F61" s="103"/>
    </row>
    <row r="62" spans="1:6">
      <c r="A62" s="104"/>
      <c r="B62" s="103"/>
      <c r="C62" s="103"/>
      <c r="D62" s="103"/>
      <c r="E62" s="103"/>
      <c r="F62" s="103"/>
    </row>
    <row r="63" spans="1:6">
      <c r="A63" s="108"/>
      <c r="B63" s="103"/>
      <c r="C63" s="103"/>
      <c r="D63" s="103"/>
      <c r="E63" s="103"/>
      <c r="F63" s="103"/>
    </row>
    <row r="64" spans="1:6">
      <c r="A64" s="104"/>
      <c r="B64" s="103"/>
      <c r="C64" s="103"/>
      <c r="D64" s="103"/>
      <c r="E64" s="103"/>
      <c r="F64" s="103"/>
    </row>
    <row r="65" spans="1:6">
      <c r="A65" s="104"/>
      <c r="B65" s="103"/>
      <c r="C65" s="103"/>
      <c r="D65" s="103"/>
      <c r="E65" s="103"/>
      <c r="F65" s="103"/>
    </row>
    <row r="66" spans="1:6">
      <c r="A66" s="104"/>
      <c r="B66" s="103"/>
      <c r="C66" s="103"/>
      <c r="D66" s="103"/>
      <c r="E66" s="103"/>
      <c r="F66" s="103"/>
    </row>
    <row r="67" spans="1:6">
      <c r="A67" s="104"/>
      <c r="B67" s="103"/>
      <c r="C67" s="103"/>
      <c r="D67" s="103"/>
      <c r="E67" s="103"/>
      <c r="F67" s="103"/>
    </row>
    <row r="68" spans="1:6">
      <c r="A68" s="104"/>
      <c r="B68" s="103"/>
      <c r="C68" s="103"/>
      <c r="D68" s="103"/>
      <c r="E68" s="103"/>
      <c r="F68" s="103"/>
    </row>
    <row r="69" spans="1:6">
      <c r="A69" s="104"/>
      <c r="B69" s="103"/>
      <c r="C69" s="103"/>
      <c r="D69" s="103"/>
      <c r="E69" s="103"/>
      <c r="F69" s="103"/>
    </row>
    <row r="70" spans="1:6">
      <c r="A70" s="104"/>
      <c r="B70" s="103"/>
      <c r="C70" s="103"/>
      <c r="D70" s="103"/>
      <c r="E70" s="103"/>
      <c r="F70" s="103"/>
    </row>
    <row r="71" spans="1:6">
      <c r="A71" s="104"/>
      <c r="B71" s="103"/>
      <c r="C71" s="103"/>
      <c r="D71" s="103"/>
    </row>
    <row r="72" spans="1:6">
      <c r="E72" s="103"/>
      <c r="F72" s="103"/>
    </row>
    <row r="73" spans="1:6">
      <c r="A73" s="104"/>
      <c r="B73" s="103"/>
      <c r="C73" s="103"/>
      <c r="D73" s="103"/>
      <c r="E73" s="103"/>
      <c r="F73" s="103"/>
    </row>
    <row r="74" spans="1:6">
      <c r="A74" s="104"/>
      <c r="B74" s="103"/>
      <c r="C74" s="103"/>
      <c r="D74" s="103"/>
      <c r="E74" s="103"/>
      <c r="F74" s="103"/>
    </row>
    <row r="75" spans="1:6">
      <c r="A75" s="104"/>
      <c r="B75" s="103"/>
      <c r="C75" s="103"/>
      <c r="D75" s="103"/>
    </row>
  </sheetData>
  <sortState xmlns:xlrd2="http://schemas.microsoft.com/office/spreadsheetml/2017/richdata2" ref="A3:U14">
    <sortCondition descending="1" ref="T3:T14"/>
  </sortState>
  <mergeCells count="3">
    <mergeCell ref="A20:T20"/>
    <mergeCell ref="A18:T18"/>
    <mergeCell ref="A19:T19"/>
  </mergeCells>
  <pageMargins left="0.27" right="0.27" top="0.55000000000000004" bottom="0.32" header="0.21" footer="0.22"/>
  <pageSetup scale="76"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140"/>
  <sheetViews>
    <sheetView zoomScaleNormal="100" workbookViewId="0">
      <pane ySplit="2" topLeftCell="A78" activePane="bottomLeft" state="frozen"/>
      <selection pane="bottomLeft" activeCell="A73" sqref="A73:I73"/>
    </sheetView>
  </sheetViews>
  <sheetFormatPr defaultColWidth="9.1796875" defaultRowHeight="14.5"/>
  <cols>
    <col min="1" max="1" width="29.1796875" style="90" customWidth="1"/>
    <col min="2" max="2" width="22.81640625" style="90" customWidth="1"/>
    <col min="3" max="4" width="15.7265625" style="94" bestFit="1" customWidth="1"/>
    <col min="5" max="6" width="15.7265625" style="116" bestFit="1" customWidth="1"/>
    <col min="7" max="7" width="15.7265625" style="116" customWidth="1"/>
    <col min="8" max="9" width="15.7265625" style="94" bestFit="1" customWidth="1"/>
    <col min="10" max="16384" width="9.1796875" style="90"/>
  </cols>
  <sheetData>
    <row r="1" spans="1:12" ht="29.15" customHeight="1">
      <c r="A1" s="290" t="s">
        <v>109</v>
      </c>
      <c r="B1" s="298"/>
      <c r="C1" s="301"/>
      <c r="D1" s="301"/>
      <c r="E1" s="304"/>
      <c r="F1" s="304"/>
      <c r="G1" s="304"/>
      <c r="H1" s="301"/>
      <c r="I1" s="301"/>
      <c r="J1" s="298"/>
      <c r="K1" s="298"/>
      <c r="L1" s="298"/>
    </row>
    <row r="2" spans="1:12" s="332" customFormat="1" ht="21.65" customHeight="1">
      <c r="A2" s="323" t="s">
        <v>414</v>
      </c>
      <c r="B2" s="323" t="s">
        <v>110</v>
      </c>
      <c r="C2" s="315">
        <v>2019</v>
      </c>
      <c r="D2" s="315">
        <v>2020</v>
      </c>
      <c r="E2" s="315">
        <v>2021</v>
      </c>
      <c r="F2" s="315">
        <v>2022</v>
      </c>
      <c r="G2" s="315">
        <v>2023</v>
      </c>
      <c r="H2" s="315">
        <v>2024</v>
      </c>
      <c r="I2" s="324">
        <v>2025</v>
      </c>
      <c r="L2" s="333"/>
    </row>
    <row r="3" spans="1:12" s="22" customFormat="1">
      <c r="A3" s="120" t="s">
        <v>111</v>
      </c>
      <c r="B3" s="120" t="s">
        <v>112</v>
      </c>
      <c r="C3" s="121">
        <v>29873134</v>
      </c>
      <c r="D3" s="121">
        <v>25120989</v>
      </c>
      <c r="E3" s="122">
        <v>20407286</v>
      </c>
      <c r="F3" s="304">
        <v>15515216.4551</v>
      </c>
      <c r="G3" s="122">
        <v>17822307.819998547</v>
      </c>
      <c r="H3" s="122">
        <v>16445331.250000188</v>
      </c>
      <c r="I3" s="122">
        <v>21507111.389998406</v>
      </c>
      <c r="L3" s="119"/>
    </row>
    <row r="4" spans="1:12">
      <c r="A4" s="120" t="s">
        <v>113</v>
      </c>
      <c r="B4" s="120" t="s">
        <v>114</v>
      </c>
      <c r="C4" s="121">
        <v>12506487</v>
      </c>
      <c r="D4" s="121">
        <v>11856025</v>
      </c>
      <c r="E4" s="122">
        <v>12709844</v>
      </c>
      <c r="F4" s="304">
        <v>13301707.5688</v>
      </c>
      <c r="G4" s="122">
        <v>14818677</v>
      </c>
      <c r="H4" s="122">
        <v>12290876.340000164</v>
      </c>
      <c r="I4" s="122">
        <v>15884991.029999908</v>
      </c>
      <c r="J4" s="298"/>
      <c r="K4" s="298"/>
      <c r="L4" s="298"/>
    </row>
    <row r="5" spans="1:12">
      <c r="A5" s="120" t="s">
        <v>115</v>
      </c>
      <c r="B5" s="120" t="s">
        <v>116</v>
      </c>
      <c r="C5" s="121">
        <v>3249660</v>
      </c>
      <c r="D5" s="121">
        <v>2467141</v>
      </c>
      <c r="E5" s="122">
        <v>1873494</v>
      </c>
      <c r="F5" s="304">
        <v>2431150.9152000002</v>
      </c>
      <c r="G5" s="122">
        <v>3166745.5</v>
      </c>
      <c r="H5" s="122">
        <v>6764512.799999997</v>
      </c>
      <c r="I5" s="122">
        <v>15771098.540000034</v>
      </c>
      <c r="J5" s="298"/>
      <c r="K5" s="298"/>
      <c r="L5" s="298"/>
    </row>
    <row r="6" spans="1:12">
      <c r="A6" s="120" t="s">
        <v>117</v>
      </c>
      <c r="B6" s="120" t="s">
        <v>118</v>
      </c>
      <c r="C6" s="121">
        <v>10581994</v>
      </c>
      <c r="D6" s="121">
        <v>10698904</v>
      </c>
      <c r="E6" s="122">
        <v>10319617</v>
      </c>
      <c r="F6" s="304">
        <v>12464622.6885</v>
      </c>
      <c r="G6" s="122">
        <v>12037553</v>
      </c>
      <c r="H6" s="122">
        <v>11378402.890000029</v>
      </c>
      <c r="I6" s="122">
        <v>15704853.380000161</v>
      </c>
      <c r="J6" s="298"/>
      <c r="K6" s="298"/>
      <c r="L6" s="298"/>
    </row>
    <row r="7" spans="1:12">
      <c r="A7" s="120" t="s">
        <v>119</v>
      </c>
      <c r="B7" s="120" t="s">
        <v>120</v>
      </c>
      <c r="C7" s="121">
        <v>13093069</v>
      </c>
      <c r="D7" s="121">
        <v>13279175</v>
      </c>
      <c r="E7" s="122">
        <v>14633601</v>
      </c>
      <c r="F7" s="304">
        <v>13463956.5835</v>
      </c>
      <c r="G7" s="122">
        <v>14898017</v>
      </c>
      <c r="H7" s="122">
        <v>16555985.209999086</v>
      </c>
      <c r="I7" s="122">
        <v>15183298.179999495</v>
      </c>
      <c r="J7" s="298"/>
      <c r="K7" s="298"/>
      <c r="L7" s="298"/>
    </row>
    <row r="8" spans="1:12">
      <c r="A8" s="120" t="s">
        <v>111</v>
      </c>
      <c r="B8" s="120" t="s">
        <v>121</v>
      </c>
      <c r="C8" s="121">
        <v>7836471</v>
      </c>
      <c r="D8" s="121">
        <v>7947325</v>
      </c>
      <c r="E8" s="122">
        <v>9193512</v>
      </c>
      <c r="F8" s="304">
        <v>5682700.5829999996</v>
      </c>
      <c r="G8" s="122">
        <v>9150754.3800000641</v>
      </c>
      <c r="H8" s="122">
        <v>11067664.109999968</v>
      </c>
      <c r="I8" s="122">
        <v>14720332.409999924</v>
      </c>
      <c r="J8" s="298"/>
      <c r="K8" s="298"/>
      <c r="L8" s="298"/>
    </row>
    <row r="9" spans="1:12">
      <c r="A9" s="120" t="s">
        <v>119</v>
      </c>
      <c r="B9" s="120" t="s">
        <v>122</v>
      </c>
      <c r="C9" s="121">
        <v>14260246</v>
      </c>
      <c r="D9" s="121">
        <v>12695998</v>
      </c>
      <c r="E9" s="122">
        <v>13051782</v>
      </c>
      <c r="F9" s="304">
        <v>11804995.7031</v>
      </c>
      <c r="G9" s="122">
        <v>12895392</v>
      </c>
      <c r="H9" s="122">
        <v>13298387.809999526</v>
      </c>
      <c r="I9" s="122">
        <v>13500877.299999634</v>
      </c>
      <c r="J9" s="298"/>
      <c r="K9" s="298"/>
      <c r="L9" s="298"/>
    </row>
    <row r="10" spans="1:12">
      <c r="A10" s="120" t="s">
        <v>111</v>
      </c>
      <c r="B10" s="120" t="s">
        <v>123</v>
      </c>
      <c r="C10" s="121">
        <v>7867962</v>
      </c>
      <c r="D10" s="121">
        <v>8134508</v>
      </c>
      <c r="E10" s="122">
        <v>8408978</v>
      </c>
      <c r="F10" s="304">
        <v>8683081.6220999993</v>
      </c>
      <c r="G10" s="122">
        <v>8168663</v>
      </c>
      <c r="H10" s="122">
        <v>6277054.5600004941</v>
      </c>
      <c r="I10" s="122">
        <v>11071773.820000593</v>
      </c>
      <c r="J10" s="298"/>
      <c r="K10" s="298"/>
      <c r="L10" s="298"/>
    </row>
    <row r="11" spans="1:12">
      <c r="A11" s="120" t="s">
        <v>124</v>
      </c>
      <c r="B11" s="120" t="s">
        <v>125</v>
      </c>
      <c r="C11" s="121">
        <v>6514202</v>
      </c>
      <c r="D11" s="121">
        <v>6261922</v>
      </c>
      <c r="E11" s="122">
        <v>6000359</v>
      </c>
      <c r="F11" s="304">
        <v>7036928.1808000002</v>
      </c>
      <c r="G11" s="122">
        <v>7907753.5</v>
      </c>
      <c r="H11" s="122">
        <v>7698449.5599996485</v>
      </c>
      <c r="I11" s="122">
        <v>10512320.409999616</v>
      </c>
      <c r="J11" s="298"/>
      <c r="K11" s="298"/>
      <c r="L11" s="298"/>
    </row>
    <row r="12" spans="1:12">
      <c r="A12" s="120" t="s">
        <v>126</v>
      </c>
      <c r="B12" s="120" t="s">
        <v>127</v>
      </c>
      <c r="C12" s="121">
        <v>26707470</v>
      </c>
      <c r="D12" s="121">
        <v>22221493</v>
      </c>
      <c r="E12" s="122">
        <v>19305375</v>
      </c>
      <c r="F12" s="304">
        <v>26898079.1413</v>
      </c>
      <c r="G12" s="122">
        <v>27828423.319999866</v>
      </c>
      <c r="H12" s="122">
        <v>8037815.8199999854</v>
      </c>
      <c r="I12" s="122">
        <v>9027968.480000129</v>
      </c>
      <c r="J12" s="298"/>
      <c r="K12" s="298"/>
      <c r="L12" s="298"/>
    </row>
    <row r="13" spans="1:12">
      <c r="A13" s="120" t="s">
        <v>128</v>
      </c>
      <c r="B13" s="120" t="s">
        <v>129</v>
      </c>
      <c r="C13" s="121">
        <v>5823872</v>
      </c>
      <c r="D13" s="121">
        <v>5113491</v>
      </c>
      <c r="E13" s="122">
        <v>4659063</v>
      </c>
      <c r="F13" s="304">
        <v>5513168.8964999998</v>
      </c>
      <c r="G13" s="122">
        <v>5950107</v>
      </c>
      <c r="H13" s="122">
        <v>6308889.4099996276</v>
      </c>
      <c r="I13" s="122">
        <v>8660123.6600000393</v>
      </c>
      <c r="J13" s="298"/>
      <c r="K13" s="298"/>
      <c r="L13" s="298"/>
    </row>
    <row r="14" spans="1:12">
      <c r="A14" s="120" t="s">
        <v>124</v>
      </c>
      <c r="B14" s="120" t="s">
        <v>130</v>
      </c>
      <c r="C14" s="121">
        <v>2922853</v>
      </c>
      <c r="D14" s="121">
        <v>3083783</v>
      </c>
      <c r="E14" s="122">
        <v>3716621</v>
      </c>
      <c r="F14" s="304">
        <v>3077437.7009999999</v>
      </c>
      <c r="G14" s="122">
        <v>3854002.1200000616</v>
      </c>
      <c r="H14" s="122">
        <v>4493513.329999933</v>
      </c>
      <c r="I14" s="122">
        <v>7530537.9999998426</v>
      </c>
      <c r="J14" s="298"/>
      <c r="K14" s="298"/>
      <c r="L14" s="298"/>
    </row>
    <row r="15" spans="1:12">
      <c r="A15" s="120" t="s">
        <v>128</v>
      </c>
      <c r="B15" s="120" t="s">
        <v>131</v>
      </c>
      <c r="C15" s="121">
        <v>2165825</v>
      </c>
      <c r="D15" s="121">
        <v>2697368</v>
      </c>
      <c r="E15" s="122">
        <v>3852114</v>
      </c>
      <c r="F15" s="304">
        <v>3411226.4029000001</v>
      </c>
      <c r="G15" s="122">
        <v>3312089.4399999902</v>
      </c>
      <c r="H15" s="122">
        <v>5921547.4499999862</v>
      </c>
      <c r="I15" s="122">
        <v>7089803.8899999689</v>
      </c>
      <c r="J15" s="298"/>
      <c r="K15" s="298"/>
      <c r="L15" s="298"/>
    </row>
    <row r="16" spans="1:12">
      <c r="A16" s="120" t="s">
        <v>111</v>
      </c>
      <c r="B16" s="120" t="s">
        <v>132</v>
      </c>
      <c r="C16" s="121">
        <v>4070365</v>
      </c>
      <c r="D16" s="121">
        <v>16903087</v>
      </c>
      <c r="E16" s="122">
        <v>14853092</v>
      </c>
      <c r="F16" s="304">
        <v>5983807.7274000002</v>
      </c>
      <c r="G16" s="122">
        <v>5838411.4299999326</v>
      </c>
      <c r="H16" s="122">
        <v>6009280.8199998569</v>
      </c>
      <c r="I16" s="122">
        <v>7071369.7400000244</v>
      </c>
      <c r="J16" s="298"/>
      <c r="K16" s="298"/>
      <c r="L16" s="298"/>
    </row>
    <row r="17" spans="1:9">
      <c r="A17" s="120" t="s">
        <v>128</v>
      </c>
      <c r="B17" s="120" t="s">
        <v>133</v>
      </c>
      <c r="C17" s="121">
        <v>5777371</v>
      </c>
      <c r="D17" s="121">
        <v>5192007</v>
      </c>
      <c r="E17" s="122">
        <v>5039328</v>
      </c>
      <c r="F17" s="304">
        <v>5899444.9244999997</v>
      </c>
      <c r="G17" s="122">
        <v>5391461</v>
      </c>
      <c r="H17" s="122">
        <v>6660550.8199999984</v>
      </c>
      <c r="I17" s="122">
        <v>6486061.2200000314</v>
      </c>
    </row>
    <row r="18" spans="1:9">
      <c r="A18" s="120" t="s">
        <v>134</v>
      </c>
      <c r="B18" s="120" t="s">
        <v>135</v>
      </c>
      <c r="C18" s="121">
        <v>4325289</v>
      </c>
      <c r="D18" s="121">
        <v>4794544</v>
      </c>
      <c r="E18" s="122">
        <v>5581433</v>
      </c>
      <c r="F18" s="304">
        <v>6065576.3179000001</v>
      </c>
      <c r="G18" s="122">
        <v>5396875</v>
      </c>
      <c r="H18" s="122">
        <v>9125716.6199999508</v>
      </c>
      <c r="I18" s="122">
        <v>6004789.5800000075</v>
      </c>
    </row>
    <row r="19" spans="1:9">
      <c r="A19" s="120" t="s">
        <v>117</v>
      </c>
      <c r="B19" s="120" t="s">
        <v>136</v>
      </c>
      <c r="C19" s="121">
        <v>2351857</v>
      </c>
      <c r="D19" s="121">
        <v>4492830</v>
      </c>
      <c r="E19" s="122">
        <v>13056230</v>
      </c>
      <c r="F19" s="304">
        <v>4460802.6261</v>
      </c>
      <c r="G19" s="122">
        <v>3432809.5</v>
      </c>
      <c r="H19" s="122">
        <v>4101277.8000000501</v>
      </c>
      <c r="I19" s="122">
        <v>5970953.8799998583</v>
      </c>
    </row>
    <row r="20" spans="1:9">
      <c r="A20" s="120" t="s">
        <v>111</v>
      </c>
      <c r="B20" s="120" t="s">
        <v>137</v>
      </c>
      <c r="C20" s="121">
        <v>5723325</v>
      </c>
      <c r="D20" s="121">
        <v>4701192</v>
      </c>
      <c r="E20" s="122">
        <v>5331360</v>
      </c>
      <c r="F20" s="304">
        <v>5449208.1135</v>
      </c>
      <c r="G20" s="122">
        <v>5009703.5</v>
      </c>
      <c r="H20" s="122">
        <v>5366402.1900000162</v>
      </c>
      <c r="I20" s="122">
        <v>5826710.4800000004</v>
      </c>
    </row>
    <row r="21" spans="1:9">
      <c r="A21" s="120" t="s">
        <v>138</v>
      </c>
      <c r="B21" s="120" t="s">
        <v>139</v>
      </c>
      <c r="C21" s="121">
        <v>5099313</v>
      </c>
      <c r="D21" s="121">
        <v>8450461</v>
      </c>
      <c r="E21" s="122">
        <v>14689312</v>
      </c>
      <c r="F21" s="304">
        <v>4348466.6549000004</v>
      </c>
      <c r="G21" s="122">
        <v>5003006.2299999986</v>
      </c>
      <c r="H21" s="122">
        <v>5409836.6200000113</v>
      </c>
      <c r="I21" s="122">
        <v>5398448.6000000061</v>
      </c>
    </row>
    <row r="22" spans="1:9">
      <c r="A22" s="120" t="s">
        <v>124</v>
      </c>
      <c r="B22" s="120" t="s">
        <v>140</v>
      </c>
      <c r="C22" s="121">
        <v>5608712</v>
      </c>
      <c r="D22" s="121">
        <v>5651060</v>
      </c>
      <c r="E22" s="122">
        <v>5009376</v>
      </c>
      <c r="F22" s="304">
        <v>5810701.2675999999</v>
      </c>
      <c r="G22" s="122">
        <v>5692203.5</v>
      </c>
      <c r="H22" s="122">
        <v>5772200.3099999921</v>
      </c>
      <c r="I22" s="122">
        <v>5367193.6499999212</v>
      </c>
    </row>
    <row r="23" spans="1:9">
      <c r="A23" s="120" t="s">
        <v>111</v>
      </c>
      <c r="B23" s="120" t="s">
        <v>141</v>
      </c>
      <c r="C23" s="121">
        <v>4636585</v>
      </c>
      <c r="D23" s="121">
        <v>4084647</v>
      </c>
      <c r="E23" s="122">
        <v>5192557</v>
      </c>
      <c r="F23" s="304">
        <v>4783793.5384999998</v>
      </c>
      <c r="G23" s="122">
        <v>5557386</v>
      </c>
      <c r="H23" s="122">
        <v>6274263.7900000103</v>
      </c>
      <c r="I23" s="122">
        <v>5197167.0000000093</v>
      </c>
    </row>
    <row r="24" spans="1:9">
      <c r="A24" s="120" t="s">
        <v>115</v>
      </c>
      <c r="B24" s="120" t="s">
        <v>142</v>
      </c>
      <c r="C24" s="121">
        <v>3698190</v>
      </c>
      <c r="D24" s="121">
        <v>3470656</v>
      </c>
      <c r="E24" s="122">
        <v>2548483</v>
      </c>
      <c r="F24" s="304">
        <v>3042427.6486999998</v>
      </c>
      <c r="G24" s="122">
        <v>2171811.5</v>
      </c>
      <c r="H24" s="122">
        <v>2191239.2400000235</v>
      </c>
      <c r="I24" s="122">
        <v>5158223.6899998905</v>
      </c>
    </row>
    <row r="25" spans="1:9">
      <c r="A25" s="120" t="s">
        <v>128</v>
      </c>
      <c r="B25" s="120" t="s">
        <v>143</v>
      </c>
      <c r="C25" s="121">
        <v>4418320</v>
      </c>
      <c r="D25" s="121">
        <v>6084261</v>
      </c>
      <c r="E25" s="122">
        <v>6169855</v>
      </c>
      <c r="F25" s="304">
        <v>6922487.5104</v>
      </c>
      <c r="G25" s="122">
        <v>4252407.5</v>
      </c>
      <c r="H25" s="122">
        <v>4674722.7100000028</v>
      </c>
      <c r="I25" s="122">
        <v>4894316.98999999</v>
      </c>
    </row>
    <row r="26" spans="1:9">
      <c r="A26" s="120" t="s">
        <v>126</v>
      </c>
      <c r="B26" s="120" t="s">
        <v>144</v>
      </c>
      <c r="C26" s="121">
        <v>6144027</v>
      </c>
      <c r="D26" s="121">
        <v>14303365</v>
      </c>
      <c r="E26" s="122">
        <v>16049035</v>
      </c>
      <c r="F26" s="304">
        <v>7765624.3823999995</v>
      </c>
      <c r="G26" s="122">
        <v>8042364</v>
      </c>
      <c r="H26" s="122">
        <v>8584704.1599998865</v>
      </c>
      <c r="I26" s="122">
        <v>4173848.6199999908</v>
      </c>
    </row>
    <row r="27" spans="1:9">
      <c r="A27" s="120" t="s">
        <v>115</v>
      </c>
      <c r="B27" s="120" t="s">
        <v>115</v>
      </c>
      <c r="C27" s="121">
        <v>2656838</v>
      </c>
      <c r="D27" s="121">
        <v>2340670</v>
      </c>
      <c r="E27" s="122">
        <v>2492464</v>
      </c>
      <c r="F27" s="304">
        <v>2232962.9367</v>
      </c>
      <c r="G27" s="122">
        <v>2350410.5</v>
      </c>
      <c r="H27" s="122">
        <v>3177227.6000000057</v>
      </c>
      <c r="I27" s="122">
        <v>3511582.2699999893</v>
      </c>
    </row>
    <row r="28" spans="1:9">
      <c r="A28" s="120" t="s">
        <v>124</v>
      </c>
      <c r="B28" s="120" t="s">
        <v>145</v>
      </c>
      <c r="C28" s="121">
        <v>2039218</v>
      </c>
      <c r="D28" s="121">
        <v>2077580</v>
      </c>
      <c r="E28" s="122">
        <v>2037737</v>
      </c>
      <c r="F28" s="304">
        <v>1948294.2198000001</v>
      </c>
      <c r="G28" s="122">
        <v>3269581</v>
      </c>
      <c r="H28" s="122">
        <v>2996814.2599999858</v>
      </c>
      <c r="I28" s="122">
        <v>3313183.3300000085</v>
      </c>
    </row>
    <row r="29" spans="1:9">
      <c r="A29" s="120" t="s">
        <v>124</v>
      </c>
      <c r="B29" s="120" t="s">
        <v>146</v>
      </c>
      <c r="C29" s="121">
        <v>1972702</v>
      </c>
      <c r="D29" s="121">
        <v>1736157</v>
      </c>
      <c r="E29" s="122">
        <v>1395903</v>
      </c>
      <c r="F29" s="304">
        <v>1422122.0538999999</v>
      </c>
      <c r="G29" s="122">
        <v>1869750.5</v>
      </c>
      <c r="H29" s="122">
        <v>1776660.0600000038</v>
      </c>
      <c r="I29" s="122">
        <v>2775590.0100000077</v>
      </c>
    </row>
    <row r="30" spans="1:9">
      <c r="A30" s="120" t="s">
        <v>111</v>
      </c>
      <c r="B30" s="120" t="s">
        <v>147</v>
      </c>
      <c r="C30" s="121">
        <v>1911010</v>
      </c>
      <c r="D30" s="121">
        <v>2425481</v>
      </c>
      <c r="E30" s="122">
        <v>3397606</v>
      </c>
      <c r="F30" s="304">
        <v>2318097.3568000002</v>
      </c>
      <c r="G30" s="122">
        <v>3000147.0599999898</v>
      </c>
      <c r="H30" s="122">
        <v>3132052.1799999936</v>
      </c>
      <c r="I30" s="122">
        <v>2661248.7400000016</v>
      </c>
    </row>
    <row r="31" spans="1:9">
      <c r="A31" s="120" t="s">
        <v>111</v>
      </c>
      <c r="B31" s="120" t="s">
        <v>148</v>
      </c>
      <c r="C31" s="121">
        <v>8183285</v>
      </c>
      <c r="D31" s="121">
        <v>6293622</v>
      </c>
      <c r="E31" s="122">
        <v>5710500</v>
      </c>
      <c r="F31" s="304">
        <v>7792659.9209000003</v>
      </c>
      <c r="G31" s="122">
        <v>4567539</v>
      </c>
      <c r="H31" s="122">
        <v>3113134.1799997287</v>
      </c>
      <c r="I31" s="122">
        <v>2627655.3199996743</v>
      </c>
    </row>
    <row r="32" spans="1:9" ht="16.5">
      <c r="A32" s="120" t="s">
        <v>149</v>
      </c>
      <c r="B32" s="120" t="s">
        <v>150</v>
      </c>
      <c r="C32" s="121">
        <v>4720584</v>
      </c>
      <c r="D32" s="121">
        <v>5039768</v>
      </c>
      <c r="E32" s="122">
        <v>4911421</v>
      </c>
      <c r="F32" s="304">
        <v>5165002</v>
      </c>
      <c r="G32" s="123">
        <v>4484226.2300000098</v>
      </c>
      <c r="H32" s="122">
        <v>1457938.07</v>
      </c>
      <c r="I32" s="122">
        <v>2362260.2800000352</v>
      </c>
    </row>
    <row r="33" spans="1:9">
      <c r="A33" s="120" t="s">
        <v>151</v>
      </c>
      <c r="B33" s="120" t="s">
        <v>152</v>
      </c>
      <c r="C33" s="121">
        <v>1971459</v>
      </c>
      <c r="D33" s="121">
        <v>1885081</v>
      </c>
      <c r="E33" s="122">
        <v>1913479</v>
      </c>
      <c r="F33" s="304">
        <v>1781759.9763</v>
      </c>
      <c r="G33" s="122">
        <v>2339580</v>
      </c>
      <c r="H33" s="122">
        <v>2205031.4699999914</v>
      </c>
      <c r="I33" s="122">
        <v>1917940.7699999996</v>
      </c>
    </row>
    <row r="34" spans="1:9">
      <c r="A34" s="120" t="s">
        <v>153</v>
      </c>
      <c r="B34" s="120" t="s">
        <v>153</v>
      </c>
      <c r="C34" s="122">
        <v>0</v>
      </c>
      <c r="D34" s="122">
        <v>0</v>
      </c>
      <c r="E34" s="122">
        <v>0</v>
      </c>
      <c r="F34" s="122">
        <v>0</v>
      </c>
      <c r="G34" s="122">
        <v>0</v>
      </c>
      <c r="H34" s="122">
        <v>1942943.7499999998</v>
      </c>
      <c r="I34" s="122">
        <v>1760317.7100000004</v>
      </c>
    </row>
    <row r="35" spans="1:9">
      <c r="A35" s="120" t="s">
        <v>128</v>
      </c>
      <c r="B35" s="120" t="s">
        <v>154</v>
      </c>
      <c r="C35" s="121">
        <v>722932</v>
      </c>
      <c r="D35" s="121">
        <v>651168</v>
      </c>
      <c r="E35" s="122">
        <v>1031908</v>
      </c>
      <c r="F35" s="304">
        <v>1139687.8296000001</v>
      </c>
      <c r="G35" s="122">
        <v>3257843.5</v>
      </c>
      <c r="H35" s="122">
        <v>5999018.3400000045</v>
      </c>
      <c r="I35" s="122">
        <v>1744049.9699999969</v>
      </c>
    </row>
    <row r="36" spans="1:9">
      <c r="A36" s="120" t="s">
        <v>134</v>
      </c>
      <c r="B36" s="120" t="s">
        <v>155</v>
      </c>
      <c r="C36" s="121">
        <v>1013810</v>
      </c>
      <c r="D36" s="121">
        <v>1276023</v>
      </c>
      <c r="E36" s="122">
        <v>1149467</v>
      </c>
      <c r="F36" s="304">
        <v>895842.49789999996</v>
      </c>
      <c r="G36" s="122">
        <v>2415985.5</v>
      </c>
      <c r="H36" s="122">
        <v>1834158.0000000009</v>
      </c>
      <c r="I36" s="122">
        <v>1660160.8699999996</v>
      </c>
    </row>
    <row r="37" spans="1:9">
      <c r="A37" s="120" t="s">
        <v>113</v>
      </c>
      <c r="B37" s="120" t="s">
        <v>156</v>
      </c>
      <c r="C37" s="121">
        <v>1343568</v>
      </c>
      <c r="D37" s="121">
        <v>1125091</v>
      </c>
      <c r="E37" s="122">
        <v>1005211</v>
      </c>
      <c r="F37" s="304">
        <v>1123866.7309000001</v>
      </c>
      <c r="G37" s="122">
        <v>1008041.5</v>
      </c>
      <c r="H37" s="122">
        <v>1273137.4899999991</v>
      </c>
      <c r="I37" s="122">
        <v>1554664.6399999862</v>
      </c>
    </row>
    <row r="38" spans="1:9" ht="13.9" customHeight="1">
      <c r="A38" s="120" t="s">
        <v>113</v>
      </c>
      <c r="B38" s="120" t="s">
        <v>157</v>
      </c>
      <c r="C38" s="121">
        <v>1237767</v>
      </c>
      <c r="D38" s="121">
        <v>963718</v>
      </c>
      <c r="E38" s="122">
        <v>1740550</v>
      </c>
      <c r="F38" s="304">
        <v>1062093.1931</v>
      </c>
      <c r="G38" s="122">
        <v>1290501</v>
      </c>
      <c r="H38" s="122">
        <v>1542877.9700000081</v>
      </c>
      <c r="I38" s="122">
        <v>1417995.8900000043</v>
      </c>
    </row>
    <row r="39" spans="1:9">
      <c r="A39" s="120" t="s">
        <v>134</v>
      </c>
      <c r="B39" s="120" t="s">
        <v>158</v>
      </c>
      <c r="C39" s="121">
        <v>1498079</v>
      </c>
      <c r="D39" s="121">
        <v>976127</v>
      </c>
      <c r="E39" s="122">
        <v>1662018</v>
      </c>
      <c r="F39" s="304">
        <v>1794443.4733</v>
      </c>
      <c r="G39" s="122">
        <v>2099561.5</v>
      </c>
      <c r="H39" s="122">
        <v>1251709.4500000051</v>
      </c>
      <c r="I39" s="122">
        <v>1158735.2299999991</v>
      </c>
    </row>
    <row r="40" spans="1:9">
      <c r="A40" s="120" t="s">
        <v>151</v>
      </c>
      <c r="B40" s="120" t="s">
        <v>159</v>
      </c>
      <c r="C40" s="121">
        <v>1199232</v>
      </c>
      <c r="D40" s="121">
        <v>956371</v>
      </c>
      <c r="E40" s="122">
        <v>1071241</v>
      </c>
      <c r="F40" s="304">
        <v>1054064.3602</v>
      </c>
      <c r="G40" s="122">
        <v>1049616.5</v>
      </c>
      <c r="H40" s="122">
        <v>1031531.9600000008</v>
      </c>
      <c r="I40" s="122">
        <v>1124770.2099999983</v>
      </c>
    </row>
    <row r="41" spans="1:9">
      <c r="A41" s="120" t="s">
        <v>113</v>
      </c>
      <c r="B41" s="120" t="s">
        <v>160</v>
      </c>
      <c r="C41" s="121">
        <v>518872</v>
      </c>
      <c r="D41" s="121">
        <v>663968</v>
      </c>
      <c r="E41" s="122">
        <v>703694</v>
      </c>
      <c r="F41" s="304">
        <v>875699.14780000004</v>
      </c>
      <c r="G41" s="122">
        <v>764248</v>
      </c>
      <c r="H41" s="122">
        <v>844438.50000000128</v>
      </c>
      <c r="I41" s="122">
        <v>945491.44999999891</v>
      </c>
    </row>
    <row r="42" spans="1:9">
      <c r="A42" s="120" t="s">
        <v>128</v>
      </c>
      <c r="B42" s="120" t="s">
        <v>161</v>
      </c>
      <c r="C42" s="121">
        <v>1305518</v>
      </c>
      <c r="D42" s="121">
        <v>1066181</v>
      </c>
      <c r="E42" s="122">
        <v>462057</v>
      </c>
      <c r="F42" s="304">
        <v>1145831.0793000001</v>
      </c>
      <c r="G42" s="122">
        <v>2316362</v>
      </c>
      <c r="H42" s="122">
        <v>396027.57999999996</v>
      </c>
      <c r="I42" s="122">
        <v>874266.07000000007</v>
      </c>
    </row>
    <row r="43" spans="1:9">
      <c r="A43" s="120" t="s">
        <v>151</v>
      </c>
      <c r="B43" s="120" t="s">
        <v>162</v>
      </c>
      <c r="C43" s="121">
        <v>675711</v>
      </c>
      <c r="D43" s="121">
        <v>798453</v>
      </c>
      <c r="E43" s="122">
        <v>690752</v>
      </c>
      <c r="F43" s="304">
        <v>679356.64720000001</v>
      </c>
      <c r="G43" s="122">
        <v>686802.5</v>
      </c>
      <c r="H43" s="122">
        <v>551138.67999999982</v>
      </c>
      <c r="I43" s="122">
        <v>783836.91000000481</v>
      </c>
    </row>
    <row r="44" spans="1:9">
      <c r="A44" s="120" t="s">
        <v>115</v>
      </c>
      <c r="B44" s="120" t="s">
        <v>163</v>
      </c>
      <c r="C44" s="121">
        <v>573171</v>
      </c>
      <c r="D44" s="121">
        <v>564146</v>
      </c>
      <c r="E44" s="122">
        <v>648386</v>
      </c>
      <c r="F44" s="304">
        <v>690804.08570000005</v>
      </c>
      <c r="G44" s="122">
        <v>623182.9900000015</v>
      </c>
      <c r="H44" s="122">
        <v>884184.11999999511</v>
      </c>
      <c r="I44" s="122">
        <v>695336.99999999639</v>
      </c>
    </row>
    <row r="45" spans="1:9">
      <c r="A45" s="120" t="s">
        <v>111</v>
      </c>
      <c r="B45" s="120" t="s">
        <v>164</v>
      </c>
      <c r="C45" s="121">
        <v>742162</v>
      </c>
      <c r="D45" s="121">
        <v>740132</v>
      </c>
      <c r="E45" s="122">
        <v>537052</v>
      </c>
      <c r="F45" s="304">
        <v>672318.89249999996</v>
      </c>
      <c r="G45" s="122">
        <v>520736.5</v>
      </c>
      <c r="H45" s="122">
        <v>579767.49999999965</v>
      </c>
      <c r="I45" s="122">
        <v>671352.55</v>
      </c>
    </row>
    <row r="46" spans="1:9">
      <c r="A46" s="120" t="s">
        <v>151</v>
      </c>
      <c r="B46" s="120" t="s">
        <v>165</v>
      </c>
      <c r="C46" s="121">
        <v>423740</v>
      </c>
      <c r="D46" s="121">
        <v>417485</v>
      </c>
      <c r="E46" s="122">
        <v>419033</v>
      </c>
      <c r="F46" s="304">
        <v>375117.12790000002</v>
      </c>
      <c r="G46" s="122">
        <v>528350.5</v>
      </c>
      <c r="H46" s="122">
        <v>526291.57000000053</v>
      </c>
      <c r="I46" s="122">
        <v>661994.23000000045</v>
      </c>
    </row>
    <row r="47" spans="1:9">
      <c r="A47" s="120" t="s">
        <v>117</v>
      </c>
      <c r="B47" s="120" t="s">
        <v>166</v>
      </c>
      <c r="C47" s="121">
        <v>443387</v>
      </c>
      <c r="D47" s="121">
        <v>4390636</v>
      </c>
      <c r="E47" s="122">
        <v>418010</v>
      </c>
      <c r="F47" s="304">
        <v>5550008.5082</v>
      </c>
      <c r="G47" s="122">
        <v>1084977.5</v>
      </c>
      <c r="H47" s="122">
        <v>3941792.7500000028</v>
      </c>
      <c r="I47" s="122">
        <v>562079.3399999995</v>
      </c>
    </row>
    <row r="48" spans="1:9">
      <c r="A48" s="120" t="s">
        <v>115</v>
      </c>
      <c r="B48" s="120" t="s">
        <v>167</v>
      </c>
      <c r="C48" s="121">
        <v>433593</v>
      </c>
      <c r="D48" s="121">
        <v>460445</v>
      </c>
      <c r="E48" s="122">
        <v>621418</v>
      </c>
      <c r="F48" s="304">
        <v>549087.40560000006</v>
      </c>
      <c r="G48" s="122">
        <v>605693.5</v>
      </c>
      <c r="H48" s="122">
        <v>785921.179999999</v>
      </c>
      <c r="I48" s="122">
        <v>536292.71999999927</v>
      </c>
    </row>
    <row r="49" spans="1:9">
      <c r="A49" s="120" t="s">
        <v>115</v>
      </c>
      <c r="B49" s="120" t="s">
        <v>168</v>
      </c>
      <c r="C49" s="121">
        <v>709426</v>
      </c>
      <c r="D49" s="121">
        <v>391797</v>
      </c>
      <c r="E49" s="122">
        <v>261312</v>
      </c>
      <c r="F49" s="304">
        <v>171481.12530000001</v>
      </c>
      <c r="G49" s="122">
        <v>85426.5</v>
      </c>
      <c r="H49" s="122">
        <v>200564.70000000054</v>
      </c>
      <c r="I49" s="122">
        <v>263801.98000000505</v>
      </c>
    </row>
    <row r="50" spans="1:9">
      <c r="A50" s="120" t="s">
        <v>126</v>
      </c>
      <c r="B50" s="120" t="s">
        <v>169</v>
      </c>
      <c r="C50" s="121">
        <v>81943</v>
      </c>
      <c r="D50" s="121">
        <v>86814</v>
      </c>
      <c r="E50" s="122">
        <v>94799</v>
      </c>
      <c r="F50" s="304">
        <v>91238.046499999997</v>
      </c>
      <c r="G50" s="122">
        <v>74681</v>
      </c>
      <c r="H50" s="122">
        <v>242180.88999999981</v>
      </c>
      <c r="I50" s="122">
        <v>239307.34000000011</v>
      </c>
    </row>
    <row r="51" spans="1:9">
      <c r="A51" s="120" t="s">
        <v>126</v>
      </c>
      <c r="B51" s="120" t="s">
        <v>170</v>
      </c>
      <c r="C51" s="121">
        <v>411339</v>
      </c>
      <c r="D51" s="121">
        <v>371864</v>
      </c>
      <c r="E51" s="122">
        <v>433073</v>
      </c>
      <c r="F51" s="304">
        <v>181886.69519999999</v>
      </c>
      <c r="G51" s="122">
        <v>298742</v>
      </c>
      <c r="H51" s="122">
        <v>753582.64000000036</v>
      </c>
      <c r="I51" s="122">
        <v>212812.34000000049</v>
      </c>
    </row>
    <row r="52" spans="1:9">
      <c r="A52" s="120" t="s">
        <v>111</v>
      </c>
      <c r="B52" s="120" t="s">
        <v>171</v>
      </c>
      <c r="C52" s="121">
        <v>42083</v>
      </c>
      <c r="D52" s="121">
        <v>39667</v>
      </c>
      <c r="E52" s="122">
        <v>36202</v>
      </c>
      <c r="F52" s="304">
        <v>35677.423199999997</v>
      </c>
      <c r="G52" s="122">
        <v>106739</v>
      </c>
      <c r="H52" s="122">
        <v>503043.56000000017</v>
      </c>
      <c r="I52" s="122">
        <v>199185.94000000009</v>
      </c>
    </row>
    <row r="53" spans="1:9">
      <c r="A53" s="120" t="s">
        <v>134</v>
      </c>
      <c r="B53" s="120" t="s">
        <v>172</v>
      </c>
      <c r="C53" s="121">
        <v>122342</v>
      </c>
      <c r="D53" s="121">
        <v>123847</v>
      </c>
      <c r="E53" s="122">
        <v>130099</v>
      </c>
      <c r="F53" s="304">
        <v>147135.60010000001</v>
      </c>
      <c r="G53" s="122">
        <v>131500.5</v>
      </c>
      <c r="H53" s="122">
        <v>133824.64000000022</v>
      </c>
      <c r="I53" s="122">
        <v>186603.75000000035</v>
      </c>
    </row>
    <row r="54" spans="1:9">
      <c r="A54" s="120" t="s">
        <v>126</v>
      </c>
      <c r="B54" s="120" t="s">
        <v>173</v>
      </c>
      <c r="C54" s="121">
        <v>108564</v>
      </c>
      <c r="D54" s="121">
        <v>97552</v>
      </c>
      <c r="E54" s="122">
        <v>84159</v>
      </c>
      <c r="F54" s="304">
        <v>97923.563899999994</v>
      </c>
      <c r="G54" s="122">
        <v>112597.54999999996</v>
      </c>
      <c r="H54" s="122">
        <v>143926.32999999996</v>
      </c>
      <c r="I54" s="122">
        <v>157222</v>
      </c>
    </row>
    <row r="55" spans="1:9">
      <c r="A55" s="120" t="s">
        <v>115</v>
      </c>
      <c r="B55" s="120" t="s">
        <v>174</v>
      </c>
      <c r="C55" s="121">
        <v>29103</v>
      </c>
      <c r="D55" s="121">
        <v>26782</v>
      </c>
      <c r="E55" s="122">
        <v>28117</v>
      </c>
      <c r="F55" s="304">
        <v>27959.446</v>
      </c>
      <c r="G55" s="122">
        <v>40201</v>
      </c>
      <c r="H55" s="122">
        <v>67590.26999999996</v>
      </c>
      <c r="I55" s="122">
        <v>97673</v>
      </c>
    </row>
    <row r="56" spans="1:9">
      <c r="A56" s="120" t="s">
        <v>175</v>
      </c>
      <c r="B56" s="120" t="s">
        <v>175</v>
      </c>
      <c r="C56" s="122">
        <v>0</v>
      </c>
      <c r="D56" s="122">
        <v>0</v>
      </c>
      <c r="E56" s="122">
        <v>0</v>
      </c>
      <c r="F56" s="122">
        <v>0</v>
      </c>
      <c r="G56" s="122">
        <v>0</v>
      </c>
      <c r="H56" s="122">
        <v>27955.160000000018</v>
      </c>
      <c r="I56" s="122">
        <v>54272</v>
      </c>
    </row>
    <row r="57" spans="1:9">
      <c r="A57" s="120" t="s">
        <v>151</v>
      </c>
      <c r="B57" s="120" t="s">
        <v>176</v>
      </c>
      <c r="C57" s="121">
        <v>86240</v>
      </c>
      <c r="D57" s="121">
        <v>56671</v>
      </c>
      <c r="E57" s="122">
        <v>87518</v>
      </c>
      <c r="F57" s="304">
        <v>58379.9594</v>
      </c>
      <c r="G57" s="122">
        <v>60293.380000000012</v>
      </c>
      <c r="H57" s="122">
        <v>45761.479999999974</v>
      </c>
      <c r="I57" s="122">
        <v>42125</v>
      </c>
    </row>
    <row r="58" spans="1:9">
      <c r="A58" s="120" t="s">
        <v>138</v>
      </c>
      <c r="B58" s="120" t="s">
        <v>177</v>
      </c>
      <c r="C58" s="121">
        <v>23087</v>
      </c>
      <c r="D58" s="121">
        <v>113812</v>
      </c>
      <c r="E58" s="122">
        <v>69288</v>
      </c>
      <c r="F58" s="304">
        <v>51366.040699999998</v>
      </c>
      <c r="G58" s="122">
        <v>133142.45000000039</v>
      </c>
      <c r="H58" s="122">
        <v>67397.639999999941</v>
      </c>
      <c r="I58" s="122">
        <v>38963</v>
      </c>
    </row>
    <row r="59" spans="1:9">
      <c r="A59" s="120" t="s">
        <v>178</v>
      </c>
      <c r="B59" s="120" t="s">
        <v>178</v>
      </c>
      <c r="C59" s="122">
        <v>0</v>
      </c>
      <c r="D59" s="122">
        <v>0</v>
      </c>
      <c r="E59" s="122">
        <v>0</v>
      </c>
      <c r="F59" s="122">
        <v>0</v>
      </c>
      <c r="G59" s="122">
        <v>0</v>
      </c>
      <c r="H59" s="122">
        <v>24083.559999999987</v>
      </c>
      <c r="I59" s="122">
        <v>23294</v>
      </c>
    </row>
    <row r="60" spans="1:9">
      <c r="A60" s="120" t="s">
        <v>151</v>
      </c>
      <c r="B60" s="120" t="s">
        <v>179</v>
      </c>
      <c r="C60" s="121">
        <v>22359</v>
      </c>
      <c r="D60" s="121">
        <v>17229</v>
      </c>
      <c r="E60" s="122">
        <v>12713</v>
      </c>
      <c r="F60" s="304">
        <v>60273.281799999997</v>
      </c>
      <c r="G60" s="122">
        <v>63969.5</v>
      </c>
      <c r="H60" s="122">
        <v>62782.64999999998</v>
      </c>
      <c r="I60" s="122">
        <v>20239</v>
      </c>
    </row>
    <row r="61" spans="1:9">
      <c r="A61" s="120" t="s">
        <v>180</v>
      </c>
      <c r="B61" s="120" t="s">
        <v>180</v>
      </c>
      <c r="C61" s="122">
        <v>0</v>
      </c>
      <c r="D61" s="122">
        <v>0</v>
      </c>
      <c r="E61" s="122">
        <v>0</v>
      </c>
      <c r="F61" s="122">
        <v>0</v>
      </c>
      <c r="G61" s="122">
        <v>0</v>
      </c>
      <c r="H61" s="122">
        <v>21741.42</v>
      </c>
      <c r="I61" s="122">
        <v>18072</v>
      </c>
    </row>
    <row r="62" spans="1:9">
      <c r="A62" s="120" t="s">
        <v>126</v>
      </c>
      <c r="B62" s="120" t="s">
        <v>181</v>
      </c>
      <c r="C62" s="121">
        <v>91303</v>
      </c>
      <c r="D62" s="121">
        <v>62879</v>
      </c>
      <c r="E62" s="122">
        <v>89983</v>
      </c>
      <c r="F62" s="304">
        <v>-14688.2058</v>
      </c>
      <c r="G62" s="122">
        <v>22143</v>
      </c>
      <c r="H62" s="122">
        <v>22376.089999999997</v>
      </c>
      <c r="I62" s="122">
        <v>1434</v>
      </c>
    </row>
    <row r="63" spans="1:9">
      <c r="A63" s="120" t="s">
        <v>117</v>
      </c>
      <c r="B63" s="120" t="s">
        <v>182</v>
      </c>
      <c r="C63" s="121">
        <v>436666</v>
      </c>
      <c r="D63" s="121">
        <v>110180</v>
      </c>
      <c r="E63" s="122">
        <v>4129</v>
      </c>
      <c r="F63" s="304">
        <v>46269.546199999997</v>
      </c>
      <c r="G63" s="122">
        <v>57417</v>
      </c>
      <c r="H63" s="122">
        <v>0</v>
      </c>
      <c r="I63" s="122">
        <v>0</v>
      </c>
    </row>
    <row r="64" spans="1:9">
      <c r="A64" s="120" t="s">
        <v>117</v>
      </c>
      <c r="B64" s="120" t="s">
        <v>183</v>
      </c>
      <c r="C64" s="121">
        <v>215578</v>
      </c>
      <c r="D64" s="121">
        <v>276255</v>
      </c>
      <c r="E64" s="122">
        <v>264719</v>
      </c>
      <c r="F64" s="304">
        <v>31170.597300000001</v>
      </c>
      <c r="G64" s="122">
        <v>0</v>
      </c>
      <c r="H64" s="122">
        <v>638.0200000000001</v>
      </c>
      <c r="I64" s="122">
        <v>0</v>
      </c>
    </row>
    <row r="65" spans="1:10">
      <c r="A65" s="120" t="s">
        <v>151</v>
      </c>
      <c r="B65" s="120" t="s">
        <v>184</v>
      </c>
      <c r="C65" s="121">
        <v>25689</v>
      </c>
      <c r="D65" s="121">
        <v>0</v>
      </c>
      <c r="E65" s="122">
        <v>0</v>
      </c>
      <c r="F65" s="304">
        <v>37816.43</v>
      </c>
      <c r="G65" s="122">
        <v>193050.5</v>
      </c>
      <c r="H65" s="122">
        <v>3781</v>
      </c>
      <c r="I65" s="122">
        <v>0</v>
      </c>
      <c r="J65" s="298"/>
    </row>
    <row r="66" spans="1:10">
      <c r="A66" s="120" t="s">
        <v>151</v>
      </c>
      <c r="B66" s="120" t="s">
        <v>185</v>
      </c>
      <c r="C66" s="122">
        <v>0</v>
      </c>
      <c r="D66" s="122">
        <v>0</v>
      </c>
      <c r="E66" s="122">
        <v>0</v>
      </c>
      <c r="F66" s="122">
        <v>0</v>
      </c>
      <c r="G66" s="122">
        <v>0</v>
      </c>
      <c r="H66" s="122">
        <v>7865150</v>
      </c>
      <c r="I66" s="122">
        <v>0</v>
      </c>
      <c r="J66" s="298"/>
    </row>
    <row r="67" spans="1:10">
      <c r="A67" s="120" t="s">
        <v>138</v>
      </c>
      <c r="B67" s="120" t="s">
        <v>186</v>
      </c>
      <c r="C67" s="121">
        <v>132028</v>
      </c>
      <c r="D67" s="121">
        <v>298503</v>
      </c>
      <c r="E67" s="122">
        <v>169018</v>
      </c>
      <c r="F67" s="304">
        <v>262471.66019999998</v>
      </c>
      <c r="G67" s="122">
        <v>143798.5</v>
      </c>
      <c r="H67" s="122">
        <v>276655.44999999972</v>
      </c>
      <c r="I67" s="122">
        <v>-24299</v>
      </c>
      <c r="J67" s="298"/>
    </row>
    <row r="68" spans="1:10" s="128" customFormat="1" ht="16" thickBot="1">
      <c r="A68" s="147" t="s">
        <v>66</v>
      </c>
      <c r="B68" s="147"/>
      <c r="C68" s="144">
        <f>SUM(C4:C66)</f>
        <v>203375825</v>
      </c>
      <c r="D68" s="144">
        <f>SUM(D4:D66)</f>
        <v>223208895</v>
      </c>
      <c r="E68" s="144">
        <f>SUM(E4:E66)</f>
        <v>236860439</v>
      </c>
      <c r="F68" s="144">
        <f>SUM(F4:F66)</f>
        <v>215594405.692</v>
      </c>
      <c r="G68" s="144">
        <f>SUM(G4:G66)</f>
        <v>221289657.07999995</v>
      </c>
      <c r="H68" s="144">
        <f>SUM(H3:H67)</f>
        <v>242415457.77999815</v>
      </c>
      <c r="I68" s="144">
        <f>SUM(I3:I67)</f>
        <v>264565685.79999715</v>
      </c>
      <c r="J68" s="128" t="s">
        <v>187</v>
      </c>
    </row>
    <row r="69" spans="1:10" ht="15" thickTop="1">
      <c r="A69" s="298"/>
      <c r="B69" s="104"/>
      <c r="C69" s="124"/>
      <c r="D69" s="301"/>
      <c r="E69" s="304"/>
      <c r="F69" s="304"/>
      <c r="G69" s="304"/>
      <c r="H69" s="301"/>
      <c r="I69" s="301"/>
      <c r="J69" s="298"/>
    </row>
    <row r="70" spans="1:10">
      <c r="A70" s="110" t="s">
        <v>13</v>
      </c>
      <c r="B70" s="125"/>
      <c r="C70" s="301"/>
      <c r="D70" s="301"/>
      <c r="E70" s="304"/>
      <c r="F70" s="304"/>
      <c r="G70" s="304"/>
      <c r="H70" s="301"/>
      <c r="I70" s="301"/>
      <c r="J70" s="298"/>
    </row>
    <row r="71" spans="1:10" s="203" customFormat="1" ht="23.5" customHeight="1">
      <c r="A71" s="373" t="s">
        <v>188</v>
      </c>
      <c r="B71" s="373"/>
      <c r="C71" s="373"/>
      <c r="D71" s="373"/>
      <c r="E71" s="373"/>
      <c r="F71" s="373"/>
      <c r="G71" s="373"/>
      <c r="H71" s="373"/>
      <c r="I71" s="373"/>
      <c r="J71" s="300"/>
    </row>
    <row r="72" spans="1:10" s="204" customFormat="1" ht="23.5" customHeight="1">
      <c r="A72" s="374" t="s">
        <v>189</v>
      </c>
      <c r="B72" s="374"/>
      <c r="C72" s="374"/>
      <c r="D72" s="374"/>
      <c r="E72" s="374"/>
      <c r="F72" s="374"/>
      <c r="G72" s="374"/>
      <c r="H72" s="374"/>
      <c r="I72" s="374"/>
      <c r="J72" s="305"/>
    </row>
    <row r="73" spans="1:10" s="204" customFormat="1" ht="31" customHeight="1">
      <c r="A73" s="373" t="s">
        <v>62</v>
      </c>
      <c r="B73" s="373"/>
      <c r="C73" s="373"/>
      <c r="D73" s="373"/>
      <c r="E73" s="373"/>
      <c r="F73" s="373"/>
      <c r="G73" s="373"/>
      <c r="H73" s="373"/>
      <c r="I73" s="373"/>
      <c r="J73" s="305"/>
    </row>
    <row r="74" spans="1:10">
      <c r="A74" s="108"/>
      <c r="B74" s="298"/>
      <c r="C74" s="301"/>
      <c r="D74" s="301"/>
      <c r="E74" s="304"/>
      <c r="F74" s="304"/>
      <c r="G74" s="304"/>
      <c r="H74" s="301"/>
      <c r="I74" s="301"/>
      <c r="J74" s="298"/>
    </row>
    <row r="76" spans="1:10" ht="18.5">
      <c r="A76" s="117" t="s">
        <v>110</v>
      </c>
      <c r="B76" s="118">
        <v>2025</v>
      </c>
      <c r="C76" s="298"/>
      <c r="D76" s="298"/>
      <c r="E76" s="298"/>
      <c r="F76" s="298"/>
      <c r="G76" s="298"/>
      <c r="H76" s="298"/>
      <c r="I76" s="298"/>
      <c r="J76" s="298"/>
    </row>
    <row r="77" spans="1:10">
      <c r="A77" s="120" t="s">
        <v>181</v>
      </c>
      <c r="B77" s="122">
        <v>1434.2400000000005</v>
      </c>
      <c r="C77" s="298"/>
      <c r="D77" s="298"/>
      <c r="E77" s="298"/>
      <c r="F77" s="298"/>
      <c r="G77" s="298"/>
      <c r="H77" s="298"/>
      <c r="I77" s="298"/>
      <c r="J77" s="298"/>
    </row>
    <row r="78" spans="1:10">
      <c r="A78" s="120" t="s">
        <v>180</v>
      </c>
      <c r="B78" s="122">
        <v>18071.809999999998</v>
      </c>
      <c r="C78" s="298"/>
      <c r="D78" s="298"/>
      <c r="E78" s="298"/>
      <c r="F78" s="298"/>
      <c r="G78" s="298"/>
      <c r="H78" s="298"/>
      <c r="I78" s="298"/>
      <c r="J78" s="298"/>
    </row>
    <row r="79" spans="1:10">
      <c r="A79" s="120" t="s">
        <v>179</v>
      </c>
      <c r="B79" s="122">
        <v>20238.650000000001</v>
      </c>
      <c r="C79" s="298"/>
      <c r="D79" s="298"/>
      <c r="E79" s="298"/>
      <c r="F79" s="298"/>
      <c r="G79" s="298"/>
      <c r="H79" s="298"/>
      <c r="I79" s="298"/>
      <c r="J79" s="298"/>
    </row>
    <row r="80" spans="1:10">
      <c r="A80" s="120" t="s">
        <v>178</v>
      </c>
      <c r="B80" s="122">
        <v>23294.21999999999</v>
      </c>
      <c r="C80" s="298"/>
      <c r="D80" s="298"/>
      <c r="E80" s="298"/>
      <c r="F80" s="298"/>
      <c r="G80" s="298"/>
      <c r="H80" s="298"/>
      <c r="I80" s="298"/>
      <c r="J80" s="298"/>
    </row>
    <row r="81" spans="1:9">
      <c r="A81" s="120" t="s">
        <v>177</v>
      </c>
      <c r="B81" s="122">
        <v>38962.82000000016</v>
      </c>
      <c r="C81" s="298"/>
      <c r="D81" s="298"/>
      <c r="E81" s="298"/>
      <c r="F81" s="298"/>
      <c r="G81" s="298"/>
      <c r="H81" s="298"/>
      <c r="I81" s="298"/>
    </row>
    <row r="82" spans="1:9">
      <c r="A82" s="120" t="s">
        <v>176</v>
      </c>
      <c r="B82" s="122">
        <v>42125.019999999975</v>
      </c>
      <c r="C82" s="298"/>
      <c r="D82" s="298"/>
      <c r="E82" s="298"/>
      <c r="F82" s="298"/>
      <c r="G82" s="298"/>
      <c r="H82" s="298"/>
      <c r="I82" s="298"/>
    </row>
    <row r="83" spans="1:9">
      <c r="A83" s="120" t="s">
        <v>175</v>
      </c>
      <c r="B83" s="122">
        <v>54271.719999999958</v>
      </c>
      <c r="C83" s="298"/>
      <c r="D83" s="298"/>
      <c r="E83" s="298"/>
      <c r="F83" s="298"/>
      <c r="G83" s="298"/>
      <c r="H83" s="298"/>
      <c r="I83" s="298"/>
    </row>
    <row r="84" spans="1:9">
      <c r="A84" s="120" t="s">
        <v>174</v>
      </c>
      <c r="B84" s="122">
        <v>97674.030000000042</v>
      </c>
      <c r="C84" s="298"/>
      <c r="D84" s="298"/>
      <c r="E84" s="298"/>
      <c r="F84" s="298"/>
      <c r="G84" s="298"/>
      <c r="H84" s="298"/>
      <c r="I84" s="298"/>
    </row>
    <row r="85" spans="1:9">
      <c r="A85" s="120" t="s">
        <v>173</v>
      </c>
      <c r="B85" s="122">
        <v>157221.69000000012</v>
      </c>
      <c r="C85" s="298"/>
      <c r="D85" s="298"/>
      <c r="E85" s="298"/>
      <c r="F85" s="298"/>
      <c r="G85" s="298"/>
      <c r="H85" s="298"/>
      <c r="I85" s="298"/>
    </row>
    <row r="86" spans="1:9">
      <c r="A86" s="120" t="s">
        <v>172</v>
      </c>
      <c r="B86" s="122">
        <v>186603.75000000035</v>
      </c>
      <c r="C86" s="298"/>
      <c r="D86" s="298"/>
      <c r="E86" s="298"/>
      <c r="F86" s="298"/>
      <c r="G86" s="298"/>
      <c r="H86" s="298"/>
      <c r="I86" s="298"/>
    </row>
    <row r="87" spans="1:9">
      <c r="A87" s="120" t="s">
        <v>171</v>
      </c>
      <c r="B87" s="122">
        <v>199185.94000000009</v>
      </c>
      <c r="C87" s="298"/>
      <c r="D87" s="298"/>
      <c r="E87" s="298"/>
      <c r="F87" s="298"/>
      <c r="G87" s="298"/>
      <c r="H87" s="298"/>
      <c r="I87" s="298"/>
    </row>
    <row r="88" spans="1:9">
      <c r="A88" s="120" t="s">
        <v>170</v>
      </c>
      <c r="B88" s="122">
        <v>212812.34000000049</v>
      </c>
      <c r="C88" s="298"/>
      <c r="D88" s="298"/>
      <c r="E88" s="298"/>
      <c r="F88" s="298"/>
      <c r="G88" s="298"/>
      <c r="H88" s="298"/>
      <c r="I88" s="298"/>
    </row>
    <row r="89" spans="1:9">
      <c r="A89" s="120" t="s">
        <v>169</v>
      </c>
      <c r="B89" s="122">
        <v>239307.34000000011</v>
      </c>
      <c r="C89" s="298"/>
      <c r="D89" s="298"/>
      <c r="E89" s="298"/>
      <c r="F89" s="298"/>
      <c r="G89" s="298"/>
      <c r="H89" s="298"/>
      <c r="I89" s="298"/>
    </row>
    <row r="90" spans="1:9">
      <c r="A90" s="120" t="s">
        <v>168</v>
      </c>
      <c r="B90" s="122">
        <v>263801.98000000505</v>
      </c>
      <c r="C90" s="298"/>
      <c r="D90" s="298"/>
      <c r="E90" s="298"/>
      <c r="F90" s="298"/>
      <c r="G90" s="298"/>
      <c r="H90" s="298"/>
      <c r="I90" s="298"/>
    </row>
    <row r="91" spans="1:9">
      <c r="A91" s="120" t="s">
        <v>167</v>
      </c>
      <c r="B91" s="122">
        <v>536292.71999999927</v>
      </c>
      <c r="C91" s="298"/>
      <c r="D91" s="298"/>
      <c r="E91" s="298"/>
      <c r="F91" s="298"/>
      <c r="G91" s="298"/>
      <c r="H91" s="298"/>
      <c r="I91" s="298"/>
    </row>
    <row r="92" spans="1:9">
      <c r="A92" s="120" t="s">
        <v>166</v>
      </c>
      <c r="B92" s="122">
        <v>562079.3399999995</v>
      </c>
      <c r="C92" s="298"/>
      <c r="D92" s="298"/>
      <c r="E92" s="298"/>
      <c r="F92" s="298"/>
      <c r="G92" s="298"/>
      <c r="H92" s="298"/>
      <c r="I92" s="298"/>
    </row>
    <row r="93" spans="1:9">
      <c r="A93" s="120" t="s">
        <v>165</v>
      </c>
      <c r="B93" s="122">
        <v>661994.23000000045</v>
      </c>
      <c r="C93" s="298"/>
      <c r="D93" s="298"/>
      <c r="E93" s="298"/>
      <c r="F93" s="298"/>
      <c r="G93" s="298"/>
      <c r="H93" s="298"/>
      <c r="I93" s="298"/>
    </row>
    <row r="94" spans="1:9">
      <c r="A94" s="120" t="s">
        <v>164</v>
      </c>
      <c r="B94" s="122">
        <v>671352.55</v>
      </c>
      <c r="C94" s="298"/>
      <c r="D94" s="298"/>
      <c r="E94" s="298"/>
      <c r="F94" s="298"/>
      <c r="G94" s="298"/>
      <c r="H94" s="298"/>
      <c r="I94" s="298"/>
    </row>
    <row r="95" spans="1:9">
      <c r="A95" s="120" t="s">
        <v>163</v>
      </c>
      <c r="B95" s="122">
        <v>695336.99999999639</v>
      </c>
      <c r="C95" s="126"/>
      <c r="D95" s="126"/>
      <c r="E95" s="298"/>
      <c r="F95" s="298"/>
      <c r="G95" s="298"/>
      <c r="H95" s="298"/>
      <c r="I95" s="298"/>
    </row>
    <row r="96" spans="1:9">
      <c r="A96" s="120" t="s">
        <v>162</v>
      </c>
      <c r="B96" s="122">
        <v>783836.91000000481</v>
      </c>
      <c r="C96" s="298"/>
      <c r="D96" s="298"/>
      <c r="E96" s="298"/>
      <c r="F96" s="298"/>
      <c r="G96" s="298"/>
      <c r="H96" s="298"/>
      <c r="I96" s="298"/>
    </row>
    <row r="97" spans="1:9">
      <c r="A97" s="120" t="s">
        <v>161</v>
      </c>
      <c r="B97" s="122">
        <v>874266.07000000007</v>
      </c>
      <c r="C97" s="298"/>
      <c r="D97" s="298"/>
      <c r="E97" s="298"/>
      <c r="F97" s="298"/>
      <c r="G97" s="298"/>
      <c r="H97" s="298"/>
      <c r="I97" s="298"/>
    </row>
    <row r="98" spans="1:9">
      <c r="A98" s="120" t="s">
        <v>160</v>
      </c>
      <c r="B98" s="122">
        <v>945491.44999999891</v>
      </c>
      <c r="C98" s="298"/>
      <c r="D98" s="298"/>
      <c r="E98" s="298"/>
      <c r="F98" s="298"/>
      <c r="G98" s="298"/>
      <c r="H98" s="298"/>
      <c r="I98" s="298"/>
    </row>
    <row r="99" spans="1:9">
      <c r="A99" s="120" t="s">
        <v>159</v>
      </c>
      <c r="B99" s="122">
        <v>1124770.2099999983</v>
      </c>
      <c r="C99" s="298"/>
      <c r="D99" s="298"/>
      <c r="E99" s="298"/>
      <c r="F99" s="298"/>
      <c r="G99" s="298"/>
      <c r="H99" s="298"/>
      <c r="I99" s="298"/>
    </row>
    <row r="100" spans="1:9">
      <c r="A100" s="120" t="s">
        <v>158</v>
      </c>
      <c r="B100" s="122">
        <v>1158735.2299999991</v>
      </c>
      <c r="C100" s="298"/>
      <c r="D100" s="298"/>
      <c r="E100" s="298"/>
      <c r="F100" s="298"/>
      <c r="G100" s="298"/>
      <c r="H100" s="298"/>
      <c r="I100" s="298"/>
    </row>
    <row r="101" spans="1:9">
      <c r="A101" s="120" t="s">
        <v>157</v>
      </c>
      <c r="B101" s="122">
        <v>1417995.8900000043</v>
      </c>
      <c r="C101" s="298"/>
      <c r="D101" s="298"/>
      <c r="E101" s="298"/>
      <c r="F101" s="298"/>
      <c r="G101" s="298"/>
      <c r="H101" s="298"/>
      <c r="I101" s="298"/>
    </row>
    <row r="102" spans="1:9">
      <c r="A102" s="120" t="s">
        <v>156</v>
      </c>
      <c r="B102" s="122">
        <v>1554664.6399999862</v>
      </c>
      <c r="C102" s="298"/>
      <c r="D102" s="298"/>
      <c r="E102" s="298"/>
      <c r="F102" s="298"/>
      <c r="G102" s="298"/>
      <c r="H102" s="298"/>
      <c r="I102" s="298"/>
    </row>
    <row r="103" spans="1:9">
      <c r="A103" s="120" t="s">
        <v>155</v>
      </c>
      <c r="B103" s="122">
        <v>1660160.8699999996</v>
      </c>
      <c r="C103" s="298"/>
      <c r="D103" s="298"/>
      <c r="E103" s="298"/>
      <c r="F103" s="298"/>
      <c r="G103" s="298"/>
      <c r="H103" s="298"/>
      <c r="I103" s="298"/>
    </row>
    <row r="104" spans="1:9">
      <c r="A104" s="120" t="s">
        <v>154</v>
      </c>
      <c r="B104" s="122">
        <v>1744049.9699999969</v>
      </c>
      <c r="C104" s="298"/>
      <c r="D104" s="298"/>
      <c r="E104" s="298"/>
      <c r="F104" s="298"/>
      <c r="G104" s="298"/>
      <c r="H104" s="298"/>
      <c r="I104" s="298"/>
    </row>
    <row r="105" spans="1:9">
      <c r="A105" s="120" t="s">
        <v>153</v>
      </c>
      <c r="B105" s="122">
        <v>1760317.7100000004</v>
      </c>
      <c r="C105" s="298"/>
      <c r="D105" s="298"/>
      <c r="E105" s="298"/>
      <c r="F105" s="298"/>
      <c r="G105" s="298"/>
      <c r="H105" s="298"/>
      <c r="I105" s="298"/>
    </row>
    <row r="106" spans="1:9">
      <c r="A106" s="120" t="s">
        <v>152</v>
      </c>
      <c r="B106" s="122">
        <v>1917940.7699999996</v>
      </c>
      <c r="C106" s="298"/>
      <c r="D106" s="298"/>
      <c r="E106" s="298"/>
      <c r="F106" s="298"/>
      <c r="G106" s="298"/>
      <c r="H106" s="298"/>
      <c r="I106" s="298"/>
    </row>
    <row r="107" spans="1:9">
      <c r="A107" s="120" t="s">
        <v>150</v>
      </c>
      <c r="B107" s="122">
        <v>2362260.2800000352</v>
      </c>
      <c r="C107" s="298"/>
      <c r="D107" s="298"/>
      <c r="E107" s="298"/>
      <c r="F107" s="298"/>
      <c r="G107" s="298"/>
      <c r="H107" s="298"/>
      <c r="I107" s="298"/>
    </row>
    <row r="108" spans="1:9">
      <c r="A108" s="120" t="s">
        <v>148</v>
      </c>
      <c r="B108" s="122">
        <v>2627655.3199996743</v>
      </c>
      <c r="C108" s="298"/>
      <c r="D108" s="298"/>
      <c r="E108" s="298"/>
      <c r="F108" s="298"/>
      <c r="G108" s="298"/>
      <c r="H108" s="298"/>
      <c r="I108" s="298"/>
    </row>
    <row r="109" spans="1:9">
      <c r="A109" s="120" t="s">
        <v>147</v>
      </c>
      <c r="B109" s="122">
        <v>2661248.7400000016</v>
      </c>
      <c r="C109" s="298"/>
      <c r="D109" s="298"/>
      <c r="E109" s="298"/>
      <c r="F109" s="298"/>
      <c r="G109" s="298"/>
      <c r="H109" s="298"/>
      <c r="I109" s="298"/>
    </row>
    <row r="110" spans="1:9">
      <c r="A110" s="120" t="s">
        <v>146</v>
      </c>
      <c r="B110" s="122">
        <v>2775590.0100000077</v>
      </c>
      <c r="C110" s="298"/>
      <c r="D110" s="298"/>
      <c r="E110" s="298"/>
      <c r="F110" s="298"/>
      <c r="G110" s="298"/>
      <c r="H110" s="298"/>
      <c r="I110" s="298"/>
    </row>
    <row r="111" spans="1:9">
      <c r="A111" s="120" t="s">
        <v>145</v>
      </c>
      <c r="B111" s="122">
        <v>3313183.3300000085</v>
      </c>
      <c r="C111" s="298"/>
      <c r="D111" s="298"/>
      <c r="E111" s="298"/>
      <c r="F111" s="298"/>
      <c r="G111" s="298"/>
      <c r="H111" s="298"/>
      <c r="I111" s="298"/>
    </row>
    <row r="112" spans="1:9">
      <c r="A112" s="120" t="s">
        <v>115</v>
      </c>
      <c r="B112" s="122">
        <v>3511582.2699999893</v>
      </c>
      <c r="C112" s="298"/>
      <c r="D112" s="298"/>
      <c r="E112" s="298"/>
      <c r="F112" s="298"/>
      <c r="G112" s="298"/>
      <c r="H112" s="298"/>
      <c r="I112" s="298"/>
    </row>
    <row r="113" spans="1:9">
      <c r="A113" s="120" t="s">
        <v>144</v>
      </c>
      <c r="B113" s="122">
        <v>4173848.6199999908</v>
      </c>
      <c r="C113" s="298"/>
      <c r="D113" s="298"/>
      <c r="E113" s="298"/>
      <c r="F113" s="298"/>
      <c r="G113" s="298"/>
      <c r="H113" s="298"/>
      <c r="I113" s="298"/>
    </row>
    <row r="114" spans="1:9">
      <c r="A114" s="120" t="s">
        <v>143</v>
      </c>
      <c r="B114" s="122">
        <v>4894316.98999999</v>
      </c>
      <c r="C114" s="298"/>
      <c r="D114" s="298"/>
      <c r="E114" s="298"/>
      <c r="F114" s="298"/>
      <c r="G114" s="298"/>
      <c r="H114" s="298"/>
      <c r="I114" s="298"/>
    </row>
    <row r="115" spans="1:9">
      <c r="A115" s="120" t="s">
        <v>142</v>
      </c>
      <c r="B115" s="122">
        <v>5158223.6899998905</v>
      </c>
      <c r="C115" s="298"/>
      <c r="D115" s="298"/>
      <c r="E115" s="298"/>
      <c r="F115" s="298"/>
      <c r="G115" s="298"/>
      <c r="H115" s="298"/>
      <c r="I115" s="298"/>
    </row>
    <row r="116" spans="1:9">
      <c r="A116" s="120" t="s">
        <v>141</v>
      </c>
      <c r="B116" s="122">
        <v>5197167.0000000093</v>
      </c>
      <c r="C116" s="298"/>
      <c r="D116" s="298"/>
      <c r="E116" s="298"/>
      <c r="F116" s="298"/>
      <c r="G116" s="298"/>
      <c r="H116" s="298"/>
      <c r="I116" s="298"/>
    </row>
    <row r="117" spans="1:9">
      <c r="A117" s="120" t="s">
        <v>140</v>
      </c>
      <c r="B117" s="122">
        <v>5367193.6499999212</v>
      </c>
      <c r="C117" s="298"/>
      <c r="D117" s="298"/>
      <c r="E117" s="298"/>
      <c r="F117" s="298"/>
      <c r="G117" s="298"/>
      <c r="H117" s="298"/>
      <c r="I117" s="298"/>
    </row>
    <row r="118" spans="1:9">
      <c r="A118" s="120" t="s">
        <v>139</v>
      </c>
      <c r="B118" s="122">
        <v>5398448.6000000061</v>
      </c>
      <c r="C118" s="298"/>
      <c r="D118" s="298"/>
      <c r="E118" s="298"/>
      <c r="F118" s="298"/>
      <c r="G118" s="298"/>
      <c r="H118" s="298"/>
      <c r="I118" s="298"/>
    </row>
    <row r="119" spans="1:9">
      <c r="A119" s="120" t="s">
        <v>137</v>
      </c>
      <c r="B119" s="122">
        <v>5826710.4800000004</v>
      </c>
      <c r="C119" s="298"/>
      <c r="D119" s="298"/>
      <c r="E119" s="298"/>
      <c r="F119" s="298"/>
      <c r="G119" s="298"/>
      <c r="H119" s="298"/>
      <c r="I119" s="298"/>
    </row>
    <row r="120" spans="1:9">
      <c r="A120" s="120" t="s">
        <v>136</v>
      </c>
      <c r="B120" s="122">
        <v>5970953.8799998583</v>
      </c>
      <c r="C120" s="298"/>
      <c r="D120" s="298"/>
      <c r="E120" s="298"/>
      <c r="F120" s="298"/>
      <c r="G120" s="298"/>
      <c r="H120" s="298"/>
      <c r="I120" s="298"/>
    </row>
    <row r="121" spans="1:9">
      <c r="A121" s="120" t="s">
        <v>135</v>
      </c>
      <c r="B121" s="122">
        <v>6004789.5800000075</v>
      </c>
      <c r="C121" s="298"/>
      <c r="D121" s="298"/>
      <c r="E121" s="298"/>
      <c r="F121" s="298"/>
      <c r="G121" s="298"/>
      <c r="H121" s="298"/>
      <c r="I121" s="298"/>
    </row>
    <row r="122" spans="1:9">
      <c r="A122" s="120" t="s">
        <v>133</v>
      </c>
      <c r="B122" s="122">
        <v>6486061.2200000314</v>
      </c>
      <c r="C122" s="298"/>
      <c r="D122" s="298"/>
      <c r="E122" s="298"/>
      <c r="F122" s="298"/>
      <c r="G122" s="298"/>
      <c r="H122" s="298"/>
      <c r="I122" s="298"/>
    </row>
    <row r="123" spans="1:9">
      <c r="A123" s="120" t="s">
        <v>132</v>
      </c>
      <c r="B123" s="122">
        <v>7071369.7400000244</v>
      </c>
      <c r="C123" s="298"/>
      <c r="D123" s="298"/>
      <c r="E123" s="298"/>
      <c r="F123" s="298"/>
      <c r="G123" s="298"/>
      <c r="H123" s="298"/>
      <c r="I123" s="298"/>
    </row>
    <row r="124" spans="1:9">
      <c r="A124" s="120" t="s">
        <v>131</v>
      </c>
      <c r="B124" s="122">
        <v>7089803.8899999689</v>
      </c>
      <c r="C124" s="298"/>
      <c r="D124" s="298"/>
      <c r="E124" s="298"/>
      <c r="F124" s="298"/>
      <c r="G124" s="298"/>
      <c r="H124" s="298"/>
      <c r="I124" s="298"/>
    </row>
    <row r="125" spans="1:9">
      <c r="A125" s="120" t="s">
        <v>130</v>
      </c>
      <c r="B125" s="122">
        <v>7530537.9999998426</v>
      </c>
      <c r="C125" s="298"/>
      <c r="D125" s="298"/>
      <c r="E125" s="298"/>
      <c r="F125" s="298"/>
      <c r="G125" s="298"/>
      <c r="H125" s="298"/>
      <c r="I125" s="298"/>
    </row>
    <row r="126" spans="1:9">
      <c r="A126" s="120" t="s">
        <v>129</v>
      </c>
      <c r="B126" s="122">
        <v>8660123.6600000393</v>
      </c>
      <c r="C126" s="298"/>
      <c r="D126" s="298"/>
      <c r="E126" s="298"/>
      <c r="F126" s="298"/>
      <c r="G126" s="298"/>
      <c r="H126" s="298"/>
      <c r="I126" s="298"/>
    </row>
    <row r="127" spans="1:9">
      <c r="A127" s="120" t="s">
        <v>127</v>
      </c>
      <c r="B127" s="122">
        <v>9027968.480000129</v>
      </c>
      <c r="C127" s="298"/>
      <c r="D127" s="298"/>
      <c r="E127" s="298"/>
      <c r="F127" s="298"/>
      <c r="G127" s="298"/>
      <c r="H127" s="298"/>
      <c r="I127" s="298"/>
    </row>
    <row r="128" spans="1:9">
      <c r="A128" s="120" t="s">
        <v>125</v>
      </c>
      <c r="B128" s="122">
        <v>10512320.409999616</v>
      </c>
      <c r="C128" s="298"/>
      <c r="D128" s="298"/>
      <c r="E128" s="298"/>
      <c r="F128" s="298"/>
      <c r="G128" s="298"/>
      <c r="H128" s="298"/>
      <c r="I128" s="298"/>
    </row>
    <row r="129" spans="1:9">
      <c r="A129" s="120" t="s">
        <v>123</v>
      </c>
      <c r="B129" s="122">
        <v>11071773.820000593</v>
      </c>
      <c r="C129" s="298"/>
      <c r="D129" s="298"/>
      <c r="E129" s="298"/>
      <c r="F129" s="298"/>
      <c r="G129" s="298"/>
      <c r="H129" s="298"/>
      <c r="I129" s="298"/>
    </row>
    <row r="130" spans="1:9">
      <c r="A130" s="120" t="s">
        <v>122</v>
      </c>
      <c r="B130" s="122">
        <v>13500877.299999634</v>
      </c>
      <c r="C130" s="298"/>
      <c r="D130" s="298"/>
      <c r="E130" s="298"/>
      <c r="F130" s="298"/>
      <c r="G130" s="298"/>
      <c r="H130" s="298"/>
      <c r="I130" s="298"/>
    </row>
    <row r="131" spans="1:9">
      <c r="A131" s="120" t="s">
        <v>121</v>
      </c>
      <c r="B131" s="122">
        <v>14720332.409999924</v>
      </c>
      <c r="C131" s="298"/>
      <c r="D131" s="298"/>
      <c r="E131" s="298"/>
      <c r="F131" s="298"/>
      <c r="G131" s="298"/>
      <c r="H131" s="298"/>
      <c r="I131" s="298"/>
    </row>
    <row r="132" spans="1:9">
      <c r="A132" s="120" t="s">
        <v>120</v>
      </c>
      <c r="B132" s="122">
        <v>15183298.179999495</v>
      </c>
      <c r="C132" s="298"/>
      <c r="D132" s="298"/>
      <c r="E132" s="298"/>
      <c r="F132" s="298"/>
      <c r="G132" s="298"/>
      <c r="H132" s="298"/>
      <c r="I132" s="298"/>
    </row>
    <row r="133" spans="1:9">
      <c r="A133" s="120" t="s">
        <v>118</v>
      </c>
      <c r="B133" s="122">
        <v>15704853.380000161</v>
      </c>
      <c r="C133" s="298"/>
      <c r="D133" s="298"/>
      <c r="E133" s="298"/>
      <c r="F133" s="298"/>
      <c r="G133" s="298"/>
      <c r="H133" s="298"/>
      <c r="I133" s="298"/>
    </row>
    <row r="134" spans="1:9">
      <c r="A134" s="120" t="s">
        <v>116</v>
      </c>
      <c r="B134" s="122">
        <v>15771098.540000034</v>
      </c>
      <c r="C134" s="298"/>
      <c r="D134" s="298"/>
      <c r="E134" s="298"/>
      <c r="F134" s="298"/>
      <c r="G134" s="298"/>
      <c r="H134" s="298"/>
      <c r="I134" s="298"/>
    </row>
    <row r="135" spans="1:9">
      <c r="A135" s="120" t="s">
        <v>114</v>
      </c>
      <c r="B135" s="122">
        <v>15884991.029999908</v>
      </c>
      <c r="C135" s="298"/>
      <c r="D135" s="298"/>
      <c r="E135" s="298"/>
      <c r="F135" s="298"/>
      <c r="G135" s="298"/>
      <c r="H135" s="298"/>
      <c r="I135" s="298"/>
    </row>
    <row r="136" spans="1:9">
      <c r="A136" s="120" t="s">
        <v>112</v>
      </c>
      <c r="B136" s="122">
        <v>21507111.389998406</v>
      </c>
      <c r="C136" s="298"/>
      <c r="D136" s="298"/>
      <c r="E136" s="298"/>
      <c r="F136" s="298"/>
      <c r="G136" s="298"/>
      <c r="H136" s="298"/>
      <c r="I136" s="298"/>
    </row>
    <row r="137" spans="1:9">
      <c r="A137" s="298"/>
      <c r="B137" s="298"/>
      <c r="C137" s="301"/>
      <c r="D137" s="298"/>
      <c r="E137" s="298"/>
      <c r="F137" s="298"/>
      <c r="G137" s="298"/>
      <c r="H137" s="298"/>
      <c r="I137" s="298"/>
    </row>
    <row r="138" spans="1:9">
      <c r="A138" s="298"/>
      <c r="B138" s="298"/>
      <c r="C138" s="301"/>
      <c r="D138" s="298"/>
      <c r="E138" s="298"/>
      <c r="F138" s="298"/>
      <c r="G138" s="298"/>
      <c r="H138" s="298"/>
      <c r="I138" s="298"/>
    </row>
    <row r="139" spans="1:9">
      <c r="A139" s="298"/>
      <c r="B139" s="298"/>
      <c r="C139" s="301"/>
      <c r="D139" s="298"/>
      <c r="E139" s="298"/>
      <c r="F139" s="298"/>
      <c r="G139" s="298"/>
      <c r="H139" s="298"/>
      <c r="I139" s="298"/>
    </row>
    <row r="140" spans="1:9">
      <c r="A140" s="298"/>
      <c r="B140" s="298"/>
      <c r="C140" s="301"/>
      <c r="D140" s="298"/>
      <c r="E140" s="298"/>
      <c r="F140" s="298"/>
      <c r="G140" s="298"/>
      <c r="H140" s="298"/>
      <c r="I140" s="298"/>
    </row>
  </sheetData>
  <sortState xmlns:xlrd2="http://schemas.microsoft.com/office/spreadsheetml/2017/richdata2" ref="A77:B136">
    <sortCondition ref="B77:B136"/>
  </sortState>
  <mergeCells count="3">
    <mergeCell ref="A73:I73"/>
    <mergeCell ref="A71:I71"/>
    <mergeCell ref="A72:I72"/>
  </mergeCells>
  <pageMargins left="0.7" right="0.7" top="0.75" bottom="0.75" header="0.3" footer="0.3"/>
  <pageSetup scale="54" fitToHeight="0" orientation="portrait" horizontalDpi="90" verticalDpi="90" r:id="rId1"/>
  <ignoredErrors>
    <ignoredError sqref="C68"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30"/>
  <sheetViews>
    <sheetView zoomScale="115" zoomScaleNormal="115" workbookViewId="0">
      <pane ySplit="2" topLeftCell="A3" activePane="bottomLeft" state="frozen"/>
      <selection pane="bottomLeft" activeCell="A2" sqref="A2:P10"/>
    </sheetView>
  </sheetViews>
  <sheetFormatPr defaultColWidth="9.1796875" defaultRowHeight="14.5"/>
  <cols>
    <col min="1" max="1" width="21.1796875" style="90" customWidth="1"/>
    <col min="2" max="6" width="13.26953125" style="90" hidden="1" customWidth="1"/>
    <col min="7" max="16" width="15.26953125" style="98" customWidth="1"/>
    <col min="17" max="17" width="17.7265625" style="90" bestFit="1" customWidth="1"/>
    <col min="18" max="18" width="12.26953125" style="90" bestFit="1" customWidth="1"/>
    <col min="19" max="16384" width="9.1796875" style="90"/>
  </cols>
  <sheetData>
    <row r="1" spans="1:19" ht="27" customHeight="1">
      <c r="A1" s="200" t="s">
        <v>190</v>
      </c>
      <c r="B1" s="127"/>
      <c r="C1" s="298"/>
      <c r="D1" s="298"/>
      <c r="E1" s="298"/>
      <c r="F1" s="298"/>
      <c r="G1" s="306"/>
      <c r="H1" s="306"/>
      <c r="I1" s="306"/>
      <c r="J1" s="306"/>
      <c r="K1" s="306"/>
      <c r="L1" s="306"/>
      <c r="M1" s="306"/>
      <c r="N1" s="306"/>
      <c r="O1" s="306"/>
      <c r="P1" s="306"/>
      <c r="Q1" s="298"/>
      <c r="R1" s="298"/>
      <c r="S1" s="298"/>
    </row>
    <row r="2" spans="1:19" s="128" customFormat="1" ht="21.65" customHeight="1">
      <c r="A2" s="325" t="s">
        <v>415</v>
      </c>
      <c r="B2" s="321">
        <v>2011</v>
      </c>
      <c r="C2" s="321">
        <v>2012</v>
      </c>
      <c r="D2" s="321">
        <v>2013</v>
      </c>
      <c r="E2" s="321">
        <v>2014</v>
      </c>
      <c r="F2" s="321">
        <v>2015</v>
      </c>
      <c r="G2" s="315">
        <v>2016</v>
      </c>
      <c r="H2" s="315">
        <v>2017</v>
      </c>
      <c r="I2" s="315">
        <v>2018</v>
      </c>
      <c r="J2" s="315">
        <v>2019</v>
      </c>
      <c r="K2" s="315">
        <v>2020</v>
      </c>
      <c r="L2" s="315">
        <v>2021</v>
      </c>
      <c r="M2" s="315">
        <v>2022</v>
      </c>
      <c r="N2" s="315">
        <v>2023</v>
      </c>
      <c r="O2" s="315">
        <v>2024</v>
      </c>
      <c r="P2" s="325">
        <v>2025</v>
      </c>
    </row>
    <row r="3" spans="1:19" ht="15.5">
      <c r="A3" s="128" t="s">
        <v>191</v>
      </c>
      <c r="B3" s="129">
        <v>121317883.59999999</v>
      </c>
      <c r="C3" s="129">
        <v>115404913</v>
      </c>
      <c r="D3" s="129">
        <v>95365193</v>
      </c>
      <c r="E3" s="129">
        <v>86071758</v>
      </c>
      <c r="F3" s="129">
        <v>90272231.799999997</v>
      </c>
      <c r="G3" s="356">
        <v>89322441</v>
      </c>
      <c r="H3" s="356">
        <v>87798353</v>
      </c>
      <c r="I3" s="356">
        <v>92421567</v>
      </c>
      <c r="J3" s="356">
        <v>94205715</v>
      </c>
      <c r="K3" s="356">
        <v>95808893</v>
      </c>
      <c r="L3" s="356">
        <v>94296806</v>
      </c>
      <c r="M3" s="356">
        <v>84623596</v>
      </c>
      <c r="N3" s="356">
        <v>91412689.400000006</v>
      </c>
      <c r="O3" s="356">
        <v>100073108</v>
      </c>
      <c r="P3" s="356">
        <v>118684290</v>
      </c>
      <c r="Q3" s="145"/>
      <c r="R3" s="307"/>
      <c r="S3" s="298"/>
    </row>
    <row r="4" spans="1:19" ht="15.5">
      <c r="A4" s="128" t="s">
        <v>192</v>
      </c>
      <c r="B4" s="129">
        <v>86884303.599999994</v>
      </c>
      <c r="C4" s="129">
        <v>85320690</v>
      </c>
      <c r="D4" s="129">
        <v>101607686</v>
      </c>
      <c r="E4" s="129">
        <v>61266093</v>
      </c>
      <c r="F4" s="129">
        <v>97958650.379999995</v>
      </c>
      <c r="G4" s="356">
        <v>93424732</v>
      </c>
      <c r="H4" s="356">
        <v>83807412</v>
      </c>
      <c r="I4" s="356">
        <v>82523213</v>
      </c>
      <c r="J4" s="356">
        <v>80435603</v>
      </c>
      <c r="K4" s="356">
        <v>85708974</v>
      </c>
      <c r="L4" s="356">
        <v>83569188</v>
      </c>
      <c r="M4" s="356">
        <v>81287326</v>
      </c>
      <c r="N4" s="356">
        <v>83256599.400000006</v>
      </c>
      <c r="O4" s="356">
        <v>65379222</v>
      </c>
      <c r="P4" s="356">
        <v>75270809</v>
      </c>
      <c r="Q4" s="145"/>
      <c r="R4" s="307"/>
      <c r="S4" s="298"/>
    </row>
    <row r="5" spans="1:19" ht="15.5">
      <c r="A5" s="128" t="s">
        <v>193</v>
      </c>
      <c r="B5" s="129">
        <v>50870890</v>
      </c>
      <c r="C5" s="129">
        <v>73383217</v>
      </c>
      <c r="D5" s="129">
        <v>61857476</v>
      </c>
      <c r="E5" s="129">
        <v>78704753</v>
      </c>
      <c r="F5" s="129">
        <v>68248817.269999996</v>
      </c>
      <c r="G5" s="356">
        <v>60368059</v>
      </c>
      <c r="H5" s="356">
        <v>60237861</v>
      </c>
      <c r="I5" s="356">
        <v>64782417</v>
      </c>
      <c r="J5" s="356">
        <v>50632624</v>
      </c>
      <c r="K5" s="356">
        <v>55851117</v>
      </c>
      <c r="L5" s="356">
        <v>60979271</v>
      </c>
      <c r="M5" s="356">
        <v>55352817</v>
      </c>
      <c r="N5" s="356">
        <v>55867487.499990001</v>
      </c>
      <c r="O5" s="356">
        <v>68125708</v>
      </c>
      <c r="P5" s="356">
        <v>59062869</v>
      </c>
      <c r="Q5" s="145"/>
      <c r="R5" s="307"/>
      <c r="S5" s="298"/>
    </row>
    <row r="6" spans="1:19" ht="15.5">
      <c r="A6" s="128" t="s">
        <v>194</v>
      </c>
      <c r="B6" s="129">
        <v>17984028</v>
      </c>
      <c r="C6" s="129">
        <v>11143660</v>
      </c>
      <c r="D6" s="129">
        <v>7215356</v>
      </c>
      <c r="E6" s="129">
        <v>8285323</v>
      </c>
      <c r="F6" s="129">
        <v>5345068.57</v>
      </c>
      <c r="G6" s="356">
        <v>7233270</v>
      </c>
      <c r="H6" s="356">
        <v>4856792</v>
      </c>
      <c r="I6" s="356">
        <v>16628807</v>
      </c>
      <c r="J6" s="356">
        <v>4555333</v>
      </c>
      <c r="K6" s="356">
        <v>7422485</v>
      </c>
      <c r="L6" s="356">
        <v>14778698</v>
      </c>
      <c r="M6" s="356">
        <v>6224036</v>
      </c>
      <c r="N6" s="356">
        <v>5248937.4999900004</v>
      </c>
      <c r="O6" s="356">
        <v>4658365</v>
      </c>
      <c r="P6" s="356">
        <v>8393319</v>
      </c>
      <c r="Q6" s="145"/>
      <c r="R6" s="307"/>
      <c r="S6" s="298"/>
    </row>
    <row r="7" spans="1:19" ht="15.5">
      <c r="A7" s="128" t="s">
        <v>195</v>
      </c>
      <c r="B7" s="129">
        <v>3598371</v>
      </c>
      <c r="C7" s="129">
        <v>2367853</v>
      </c>
      <c r="D7" s="129">
        <v>589410</v>
      </c>
      <c r="E7" s="129">
        <v>989723</v>
      </c>
      <c r="F7" s="129">
        <v>938155.66</v>
      </c>
      <c r="G7" s="356">
        <v>1085664</v>
      </c>
      <c r="H7" s="356">
        <v>1031552</v>
      </c>
      <c r="I7" s="356">
        <v>962384</v>
      </c>
      <c r="J7" s="356">
        <v>1069114</v>
      </c>
      <c r="K7" s="356">
        <v>1249011</v>
      </c>
      <c r="L7" s="356">
        <v>1360003</v>
      </c>
      <c r="M7" s="356">
        <v>1263246</v>
      </c>
      <c r="N7" s="356">
        <v>1099980.3999999999</v>
      </c>
      <c r="O7" s="356">
        <v>1466959</v>
      </c>
      <c r="P7" s="356">
        <v>1271336</v>
      </c>
      <c r="Q7" s="145"/>
      <c r="R7" s="307"/>
      <c r="S7" s="298"/>
    </row>
    <row r="8" spans="1:19" ht="17.5">
      <c r="A8" s="128" t="s">
        <v>196</v>
      </c>
      <c r="B8" s="129">
        <v>1610361</v>
      </c>
      <c r="C8" s="129">
        <v>1983288</v>
      </c>
      <c r="D8" s="129">
        <v>2042752</v>
      </c>
      <c r="E8" s="129">
        <v>1859249</v>
      </c>
      <c r="F8" s="129">
        <v>1991757.54</v>
      </c>
      <c r="G8" s="356">
        <v>1849774</v>
      </c>
      <c r="H8" s="356">
        <v>2099864</v>
      </c>
      <c r="I8" s="356">
        <v>1886622</v>
      </c>
      <c r="J8" s="356">
        <v>1629195</v>
      </c>
      <c r="K8" s="356">
        <v>1843811</v>
      </c>
      <c r="L8" s="356">
        <v>1649333</v>
      </c>
      <c r="M8" s="356">
        <v>1850126</v>
      </c>
      <c r="N8" s="356">
        <v>1571088.4999899999</v>
      </c>
      <c r="O8" s="356">
        <v>2007703</v>
      </c>
      <c r="P8" s="356">
        <v>1093086</v>
      </c>
      <c r="Q8" s="145"/>
      <c r="R8" s="307"/>
      <c r="S8" s="298"/>
    </row>
    <row r="9" spans="1:19" ht="17.5">
      <c r="A9" s="128" t="s">
        <v>197</v>
      </c>
      <c r="B9" s="129">
        <v>622594</v>
      </c>
      <c r="C9" s="129">
        <v>883615</v>
      </c>
      <c r="D9" s="129">
        <v>524606</v>
      </c>
      <c r="E9" s="129">
        <v>494000</v>
      </c>
      <c r="F9" s="129">
        <v>763224.97</v>
      </c>
      <c r="G9" s="356">
        <v>642383</v>
      </c>
      <c r="H9" s="356">
        <v>758778</v>
      </c>
      <c r="I9" s="356">
        <v>766935</v>
      </c>
      <c r="J9" s="356">
        <v>853404</v>
      </c>
      <c r="K9" s="356">
        <v>708490</v>
      </c>
      <c r="L9" s="356">
        <v>803443</v>
      </c>
      <c r="M9" s="356">
        <v>766797</v>
      </c>
      <c r="N9" s="356">
        <v>798980.49999000004</v>
      </c>
      <c r="O9" s="356">
        <v>704393</v>
      </c>
      <c r="P9" s="356">
        <v>789977</v>
      </c>
      <c r="Q9" s="145"/>
      <c r="R9" s="307"/>
      <c r="S9" s="298"/>
    </row>
    <row r="10" spans="1:19" s="128" customFormat="1" ht="16" thickBot="1">
      <c r="A10" s="150" t="s">
        <v>66</v>
      </c>
      <c r="B10" s="151">
        <f t="shared" ref="B10:N10" si="0">SUM(B3:B9)</f>
        <v>282888431.19999999</v>
      </c>
      <c r="C10" s="151">
        <f t="shared" si="0"/>
        <v>290487236</v>
      </c>
      <c r="D10" s="151">
        <f t="shared" si="0"/>
        <v>269202479</v>
      </c>
      <c r="E10" s="151">
        <f t="shared" si="0"/>
        <v>237670899</v>
      </c>
      <c r="F10" s="151">
        <f t="shared" si="0"/>
        <v>265517906.18999997</v>
      </c>
      <c r="G10" s="357">
        <f t="shared" si="0"/>
        <v>253926323</v>
      </c>
      <c r="H10" s="357">
        <f t="shared" si="0"/>
        <v>240590612</v>
      </c>
      <c r="I10" s="357">
        <f t="shared" si="0"/>
        <v>259971945</v>
      </c>
      <c r="J10" s="357">
        <f t="shared" si="0"/>
        <v>233380988</v>
      </c>
      <c r="K10" s="357">
        <f t="shared" si="0"/>
        <v>248592781</v>
      </c>
      <c r="L10" s="357">
        <f t="shared" si="0"/>
        <v>257436742</v>
      </c>
      <c r="M10" s="357">
        <f t="shared" si="0"/>
        <v>231367944</v>
      </c>
      <c r="N10" s="357">
        <f t="shared" si="0"/>
        <v>239255763.19995996</v>
      </c>
      <c r="O10" s="357">
        <f>SUM(O3:O9)</f>
        <v>242415458</v>
      </c>
      <c r="P10" s="357">
        <f>SUM(P3:P9)</f>
        <v>264565686</v>
      </c>
      <c r="R10" s="157"/>
    </row>
    <row r="11" spans="1:19" ht="16" thickTop="1">
      <c r="A11" s="128"/>
      <c r="B11" s="131"/>
      <c r="C11" s="298"/>
      <c r="D11" s="298"/>
      <c r="E11" s="298"/>
      <c r="F11" s="298"/>
      <c r="G11" s="306"/>
      <c r="H11" s="306"/>
      <c r="I11" s="306"/>
      <c r="J11" s="306"/>
      <c r="K11" s="306"/>
      <c r="L11" s="306"/>
      <c r="M11" s="306"/>
      <c r="N11" s="306"/>
      <c r="O11" s="306"/>
      <c r="P11" s="306"/>
      <c r="Q11" s="298"/>
      <c r="R11" s="298"/>
      <c r="S11" s="298"/>
    </row>
    <row r="12" spans="1:19" ht="15.5">
      <c r="A12" s="132" t="s">
        <v>13</v>
      </c>
      <c r="B12" s="298"/>
      <c r="C12" s="298"/>
      <c r="D12" s="298"/>
      <c r="E12" s="298"/>
      <c r="F12" s="298"/>
      <c r="G12" s="306"/>
      <c r="H12" s="306"/>
      <c r="I12" s="306"/>
      <c r="J12" s="306"/>
      <c r="K12" s="306"/>
      <c r="L12" s="306"/>
      <c r="M12" s="306"/>
      <c r="N12" s="306"/>
      <c r="O12" s="306"/>
      <c r="P12" s="306"/>
      <c r="Q12" s="298"/>
      <c r="R12" s="298"/>
      <c r="S12" s="298"/>
    </row>
    <row r="13" spans="1:19" s="204" customFormat="1" ht="20.5" customHeight="1">
      <c r="A13" s="126" t="s">
        <v>198</v>
      </c>
      <c r="B13" s="126"/>
      <c r="C13" s="126"/>
      <c r="D13" s="300"/>
      <c r="E13" s="300"/>
      <c r="F13" s="300"/>
      <c r="G13" s="308"/>
      <c r="H13" s="308"/>
      <c r="I13" s="308"/>
      <c r="J13" s="308"/>
      <c r="K13" s="308"/>
      <c r="L13" s="308"/>
      <c r="M13" s="308"/>
      <c r="N13" s="308"/>
      <c r="O13" s="308"/>
      <c r="P13" s="308"/>
      <c r="Q13" s="309"/>
      <c r="R13" s="305"/>
      <c r="S13" s="305"/>
    </row>
    <row r="14" spans="1:19" s="204" customFormat="1" ht="20.5" customHeight="1">
      <c r="A14" s="126" t="s">
        <v>199</v>
      </c>
      <c r="B14" s="126"/>
      <c r="C14" s="126"/>
      <c r="D14" s="300"/>
      <c r="E14" s="300"/>
      <c r="F14" s="300"/>
      <c r="G14" s="308"/>
      <c r="H14" s="308"/>
      <c r="I14" s="308"/>
      <c r="J14" s="308"/>
      <c r="K14" s="308"/>
      <c r="L14" s="308"/>
      <c r="M14" s="308"/>
      <c r="N14" s="308"/>
      <c r="O14" s="308"/>
      <c r="P14" s="308"/>
      <c r="Q14" s="305"/>
      <c r="R14" s="305"/>
      <c r="S14" s="305"/>
    </row>
    <row r="15" spans="1:19" s="204" customFormat="1" ht="33.65" customHeight="1">
      <c r="A15" s="359" t="s">
        <v>62</v>
      </c>
      <c r="B15" s="359"/>
      <c r="C15" s="359"/>
      <c r="D15" s="359"/>
      <c r="E15" s="359"/>
      <c r="F15" s="359"/>
      <c r="G15" s="359"/>
      <c r="H15" s="359"/>
      <c r="I15" s="359"/>
      <c r="J15" s="359"/>
      <c r="K15" s="359"/>
      <c r="L15" s="359"/>
      <c r="M15" s="359"/>
      <c r="N15" s="359"/>
      <c r="O15" s="359"/>
      <c r="P15" s="359"/>
      <c r="Q15" s="305"/>
      <c r="R15" s="305"/>
      <c r="S15" s="305"/>
    </row>
    <row r="16" spans="1:19">
      <c r="A16" s="298"/>
      <c r="B16" s="298"/>
      <c r="C16" s="298"/>
      <c r="D16" s="298"/>
      <c r="E16" s="298"/>
      <c r="F16" s="71"/>
      <c r="G16" s="133"/>
      <c r="H16" s="306"/>
      <c r="I16" s="306"/>
      <c r="J16" s="306"/>
      <c r="K16" s="306"/>
      <c r="L16" s="306"/>
      <c r="M16" s="306"/>
      <c r="N16" s="306"/>
      <c r="O16" s="306"/>
      <c r="P16" s="306"/>
      <c r="Q16" s="298"/>
      <c r="R16" s="298"/>
      <c r="S16" s="298"/>
    </row>
    <row r="17" spans="6:9">
      <c r="F17" s="71"/>
      <c r="G17" s="133"/>
      <c r="H17" s="306"/>
      <c r="I17" s="306"/>
    </row>
    <row r="18" spans="6:9">
      <c r="F18" s="71"/>
      <c r="G18" s="133"/>
      <c r="H18" s="306"/>
      <c r="I18" s="306"/>
    </row>
    <row r="19" spans="6:9" ht="15.5">
      <c r="F19" s="71"/>
      <c r="G19" s="133"/>
      <c r="H19" s="128" t="s">
        <v>191</v>
      </c>
      <c r="I19" s="146">
        <v>118684289.54001603</v>
      </c>
    </row>
    <row r="20" spans="6:9" ht="15.5">
      <c r="F20" s="71"/>
      <c r="G20" s="134"/>
      <c r="H20" s="128" t="s">
        <v>192</v>
      </c>
      <c r="I20" s="146">
        <v>75270809.400019348</v>
      </c>
    </row>
    <row r="21" spans="6:9" ht="15.5">
      <c r="F21" s="71"/>
      <c r="G21" s="134"/>
      <c r="H21" s="128" t="s">
        <v>193</v>
      </c>
      <c r="I21" s="146">
        <v>59062868.649997585</v>
      </c>
    </row>
    <row r="22" spans="6:9" ht="15.5">
      <c r="F22" s="71"/>
      <c r="G22" s="134"/>
      <c r="H22" s="128" t="s">
        <v>194</v>
      </c>
      <c r="I22" s="146">
        <v>8393319.4499998242</v>
      </c>
    </row>
    <row r="23" spans="6:9" ht="15.5">
      <c r="F23" s="71"/>
      <c r="G23" s="134"/>
      <c r="H23" s="128" t="s">
        <v>195</v>
      </c>
      <c r="I23" s="146">
        <v>1271336.3599999999</v>
      </c>
    </row>
    <row r="24" spans="6:9" ht="15.5">
      <c r="F24" s="71"/>
      <c r="G24" s="134"/>
      <c r="H24" s="128" t="s">
        <v>200</v>
      </c>
      <c r="I24" s="146">
        <v>1093086.5199999965</v>
      </c>
    </row>
    <row r="25" spans="6:9" ht="15.5">
      <c r="F25" s="71"/>
      <c r="G25" s="134"/>
      <c r="H25" s="128" t="s">
        <v>201</v>
      </c>
      <c r="I25" s="146">
        <v>789978.04999999935</v>
      </c>
    </row>
    <row r="26" spans="6:9">
      <c r="F26" s="71"/>
      <c r="G26" s="134"/>
      <c r="H26" s="134"/>
      <c r="I26" s="306"/>
    </row>
    <row r="27" spans="6:9">
      <c r="F27" s="71"/>
      <c r="G27" s="134"/>
      <c r="H27" s="134"/>
      <c r="I27" s="306"/>
    </row>
    <row r="28" spans="6:9">
      <c r="F28" s="71"/>
      <c r="G28" s="134"/>
      <c r="H28" s="134"/>
      <c r="I28" s="306"/>
    </row>
    <row r="29" spans="6:9">
      <c r="F29" s="71"/>
      <c r="G29" s="134"/>
      <c r="H29" s="134"/>
      <c r="I29" s="306"/>
    </row>
    <row r="30" spans="6:9">
      <c r="F30" s="71"/>
      <c r="G30" s="134"/>
      <c r="H30" s="134"/>
      <c r="I30" s="306"/>
    </row>
  </sheetData>
  <sortState xmlns:xlrd2="http://schemas.microsoft.com/office/spreadsheetml/2017/richdata2" ref="A3:S9">
    <sortCondition descending="1" ref="P3:P9"/>
  </sortState>
  <mergeCells count="1">
    <mergeCell ref="A15:P15"/>
  </mergeCells>
  <pageMargins left="0.7" right="0.7" top="0.75" bottom="0.75" header="0.3" footer="0.3"/>
  <pageSetup scale="67" fitToHeight="0" orientation="landscape" r:id="rId1"/>
  <ignoredErrors>
    <ignoredError sqref="G10 H10:P10"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127"/>
  <sheetViews>
    <sheetView zoomScaleNormal="100" workbookViewId="0">
      <pane ySplit="1" topLeftCell="A69" activePane="bottomLeft" state="frozen"/>
      <selection pane="bottomLeft" activeCell="A76" sqref="A76:G76"/>
    </sheetView>
  </sheetViews>
  <sheetFormatPr defaultColWidth="9.1796875" defaultRowHeight="14.5"/>
  <cols>
    <col min="1" max="1" width="19.26953125" style="77" customWidth="1"/>
    <col min="2" max="2" width="51.7265625" style="78" customWidth="1"/>
    <col min="3" max="3" width="16.7265625" style="75" customWidth="1"/>
    <col min="4" max="7" width="15.7265625" style="76" customWidth="1"/>
    <col min="8" max="8" width="13.26953125" style="75" customWidth="1"/>
    <col min="9" max="9" width="47.7265625" style="75" bestFit="1" customWidth="1"/>
    <col min="10" max="10" width="13.7265625" style="75" bestFit="1" customWidth="1"/>
    <col min="11" max="13" width="10.81640625" style="75" bestFit="1" customWidth="1"/>
    <col min="14" max="16384" width="9.1796875" style="75"/>
  </cols>
  <sheetData>
    <row r="1" spans="1:10" ht="28.5" customHeight="1">
      <c r="A1" s="73" t="s">
        <v>202</v>
      </c>
      <c r="B1" s="74"/>
    </row>
    <row r="2" spans="1:10" s="328" customFormat="1" ht="21" customHeight="1">
      <c r="A2" s="326" t="s">
        <v>203</v>
      </c>
      <c r="B2" s="326" t="s">
        <v>204</v>
      </c>
      <c r="C2" s="315">
        <v>2021</v>
      </c>
      <c r="D2" s="315">
        <v>2022</v>
      </c>
      <c r="E2" s="315">
        <v>2023</v>
      </c>
      <c r="F2" s="315">
        <v>2024</v>
      </c>
      <c r="G2" s="327">
        <v>2025</v>
      </c>
    </row>
    <row r="3" spans="1:10">
      <c r="A3" s="77" t="s">
        <v>205</v>
      </c>
      <c r="B3" s="78" t="s">
        <v>206</v>
      </c>
      <c r="C3" s="76">
        <v>6918081.5200000014</v>
      </c>
      <c r="D3" s="76">
        <v>6381005.6400000006</v>
      </c>
      <c r="E3" s="76">
        <v>6993488.7999999998</v>
      </c>
      <c r="F3" s="76">
        <v>6234914.2400000002</v>
      </c>
      <c r="G3" s="76">
        <v>5999712</v>
      </c>
      <c r="I3" s="79"/>
      <c r="J3" s="80"/>
    </row>
    <row r="4" spans="1:10">
      <c r="B4" s="78" t="s">
        <v>207</v>
      </c>
      <c r="C4" s="76">
        <v>170487.1</v>
      </c>
      <c r="D4" s="76">
        <v>1589691.7400000002</v>
      </c>
      <c r="E4" s="76">
        <v>1457773.33</v>
      </c>
      <c r="F4" s="76">
        <v>1777572.29</v>
      </c>
      <c r="G4" s="76">
        <v>2401042</v>
      </c>
      <c r="I4" s="79"/>
      <c r="J4" s="80"/>
    </row>
    <row r="5" spans="1:10">
      <c r="B5" s="78" t="s">
        <v>208</v>
      </c>
      <c r="C5" s="76">
        <v>1013255.5699999998</v>
      </c>
      <c r="D5" s="76">
        <v>2483296.91</v>
      </c>
      <c r="E5" s="76">
        <v>2077247.89</v>
      </c>
      <c r="F5" s="76">
        <v>2498238.8200000003</v>
      </c>
      <c r="G5" s="76">
        <v>1901846</v>
      </c>
      <c r="I5" s="79"/>
      <c r="J5" s="80"/>
    </row>
    <row r="6" spans="1:10">
      <c r="B6" s="78" t="s">
        <v>209</v>
      </c>
      <c r="C6" s="76">
        <v>1972918.5199999996</v>
      </c>
      <c r="D6" s="76">
        <v>743772.30999999994</v>
      </c>
      <c r="E6" s="76">
        <v>548951.51</v>
      </c>
      <c r="F6" s="76">
        <v>859944.32000000007</v>
      </c>
      <c r="G6" s="76">
        <v>966755</v>
      </c>
      <c r="I6" s="79"/>
      <c r="J6" s="80"/>
    </row>
    <row r="7" spans="1:10">
      <c r="B7" s="78" t="s">
        <v>210</v>
      </c>
      <c r="C7" s="76">
        <v>126694.99</v>
      </c>
      <c r="D7" s="76">
        <v>809914.61</v>
      </c>
      <c r="E7" s="76">
        <v>1508675.17</v>
      </c>
      <c r="F7" s="76">
        <v>635970.11</v>
      </c>
      <c r="G7" s="76">
        <v>941531</v>
      </c>
      <c r="I7" s="79"/>
      <c r="J7" s="80"/>
    </row>
    <row r="8" spans="1:10">
      <c r="B8" s="78" t="s">
        <v>211</v>
      </c>
      <c r="C8" s="76">
        <v>661454.89000000013</v>
      </c>
      <c r="D8" s="76">
        <v>119282.6</v>
      </c>
      <c r="E8" s="76">
        <v>103478.86</v>
      </c>
      <c r="F8" s="76">
        <v>132279.1</v>
      </c>
      <c r="G8" s="76">
        <v>137838</v>
      </c>
      <c r="I8" s="79"/>
      <c r="J8" s="80"/>
    </row>
    <row r="9" spans="1:10">
      <c r="B9" s="78" t="s">
        <v>212</v>
      </c>
      <c r="C9" s="76">
        <v>2322393.5100000007</v>
      </c>
      <c r="D9" s="76">
        <v>8504.7999999999993</v>
      </c>
      <c r="E9" s="76">
        <v>187479.55</v>
      </c>
      <c r="F9" s="76">
        <v>-193039</v>
      </c>
      <c r="G9" s="76">
        <v>0</v>
      </c>
      <c r="J9" s="76"/>
    </row>
    <row r="10" spans="1:10" hidden="1">
      <c r="B10" s="78" t="s">
        <v>213</v>
      </c>
      <c r="C10" s="76">
        <v>10385.77</v>
      </c>
      <c r="D10" s="76">
        <v>6869.78</v>
      </c>
      <c r="E10" s="76">
        <v>583.57000000000016</v>
      </c>
      <c r="F10" s="76">
        <v>0</v>
      </c>
      <c r="G10" s="76">
        <v>0</v>
      </c>
    </row>
    <row r="11" spans="1:10">
      <c r="A11" s="376"/>
      <c r="B11" s="376"/>
      <c r="C11" s="81">
        <f t="shared" ref="C11:E11" si="0">SUM(C2:C10)</f>
        <v>13197692.870000001</v>
      </c>
      <c r="D11" s="81">
        <f t="shared" si="0"/>
        <v>12144360.390000001</v>
      </c>
      <c r="E11" s="81">
        <f t="shared" si="0"/>
        <v>12879701.68</v>
      </c>
      <c r="F11" s="81">
        <f>SUM(F3:F10)</f>
        <v>11945879.880000001</v>
      </c>
      <c r="G11" s="81">
        <f>SUM(G3:G10)</f>
        <v>12348724</v>
      </c>
    </row>
    <row r="12" spans="1:10">
      <c r="C12" s="76"/>
    </row>
    <row r="13" spans="1:10">
      <c r="A13" s="77" t="s">
        <v>214</v>
      </c>
      <c r="B13" s="78" t="s">
        <v>215</v>
      </c>
      <c r="C13" s="76">
        <f>12989476+2173554</f>
        <v>15163030</v>
      </c>
      <c r="D13" s="76">
        <f>13543102.33+8739910.99</f>
        <v>22283013.32</v>
      </c>
      <c r="E13" s="76">
        <f>14941328.87+10141031</f>
        <v>25082359.869999997</v>
      </c>
      <c r="F13" s="76">
        <f>14959730+4007679</f>
        <v>18967409</v>
      </c>
      <c r="G13" s="76">
        <v>20477004</v>
      </c>
      <c r="H13" s="82"/>
      <c r="J13" s="76"/>
    </row>
    <row r="14" spans="1:10">
      <c r="B14" s="78" t="s">
        <v>216</v>
      </c>
      <c r="C14" s="76">
        <v>31021</v>
      </c>
      <c r="D14" s="76">
        <v>30098.36</v>
      </c>
      <c r="E14" s="76">
        <v>-13951.689999999999</v>
      </c>
      <c r="F14" s="76">
        <v>20584.7</v>
      </c>
      <c r="G14" s="76">
        <v>-2292</v>
      </c>
      <c r="H14" s="82"/>
    </row>
    <row r="15" spans="1:10" hidden="1">
      <c r="B15" s="78" t="s">
        <v>217</v>
      </c>
      <c r="C15" s="76">
        <v>216</v>
      </c>
      <c r="D15" s="76">
        <v>-2960</v>
      </c>
      <c r="E15" s="76">
        <v>0</v>
      </c>
      <c r="F15" s="76">
        <v>0</v>
      </c>
    </row>
    <row r="16" spans="1:10">
      <c r="B16" s="83" t="s">
        <v>218</v>
      </c>
      <c r="C16" s="84">
        <f t="shared" ref="C16:E16" si="1">SUM(C13:C15)</f>
        <v>15194267</v>
      </c>
      <c r="D16" s="84">
        <f t="shared" si="1"/>
        <v>22310151.68</v>
      </c>
      <c r="E16" s="84">
        <f t="shared" si="1"/>
        <v>25068408.179999996</v>
      </c>
      <c r="F16" s="84">
        <f>SUM(F13:F15)</f>
        <v>18987993.699999999</v>
      </c>
      <c r="G16" s="84">
        <f>SUM(G13:G14)</f>
        <v>20474712</v>
      </c>
    </row>
    <row r="17" spans="1:10" ht="4.9000000000000004" customHeight="1">
      <c r="C17" s="76"/>
    </row>
    <row r="18" spans="1:10" ht="14.5" customHeight="1">
      <c r="B18" s="78" t="s">
        <v>219</v>
      </c>
      <c r="C18" s="76">
        <f>12697808+8533771.65</f>
        <v>21231579.649999999</v>
      </c>
      <c r="D18" s="76">
        <v>17106379.209999997</v>
      </c>
      <c r="E18" s="76">
        <f>13168525.5+571817</f>
        <v>13740342.5</v>
      </c>
      <c r="F18" s="76">
        <f>16910914.65+7865150</f>
        <v>24776064.649999999</v>
      </c>
      <c r="G18" s="76">
        <v>12770896</v>
      </c>
    </row>
    <row r="19" spans="1:10">
      <c r="B19" s="78" t="s">
        <v>220</v>
      </c>
      <c r="C19" s="76">
        <v>3309193</v>
      </c>
      <c r="D19" s="76">
        <v>3776966.3900000006</v>
      </c>
      <c r="E19" s="76">
        <v>3988677.7099999995</v>
      </c>
      <c r="F19" s="76">
        <v>5275837.66</v>
      </c>
      <c r="G19" s="76">
        <v>3992219</v>
      </c>
    </row>
    <row r="20" spans="1:10" hidden="1">
      <c r="B20" s="78" t="s">
        <v>221</v>
      </c>
      <c r="C20" s="76">
        <v>0</v>
      </c>
      <c r="D20" s="76">
        <v>0</v>
      </c>
      <c r="E20" s="76">
        <v>0</v>
      </c>
      <c r="F20" s="76">
        <v>0</v>
      </c>
    </row>
    <row r="21" spans="1:10">
      <c r="B21" s="83" t="s">
        <v>222</v>
      </c>
      <c r="C21" s="84">
        <f t="shared" ref="C21:E21" si="2">SUM(C18:C20)</f>
        <v>24540772.649999999</v>
      </c>
      <c r="D21" s="84">
        <f t="shared" si="2"/>
        <v>20883345.599999998</v>
      </c>
      <c r="E21" s="84">
        <f t="shared" si="2"/>
        <v>17729020.210000001</v>
      </c>
      <c r="F21" s="84">
        <f>SUM(F18:F20)</f>
        <v>30051902.309999999</v>
      </c>
      <c r="G21" s="84">
        <f>SUM(G18:G19)</f>
        <v>16763115</v>
      </c>
    </row>
    <row r="22" spans="1:10" ht="3" customHeight="1">
      <c r="C22" s="76"/>
    </row>
    <row r="23" spans="1:10" ht="13.9" customHeight="1">
      <c r="B23" s="78" t="s">
        <v>223</v>
      </c>
      <c r="C23" s="76">
        <v>12161212</v>
      </c>
      <c r="D23" s="76">
        <v>12669640.760000004</v>
      </c>
      <c r="E23" s="76">
        <v>12331525.75</v>
      </c>
      <c r="F23" s="76">
        <v>12755765.969999995</v>
      </c>
      <c r="G23" s="76">
        <v>13605656</v>
      </c>
    </row>
    <row r="24" spans="1:10" hidden="1">
      <c r="B24" s="78" t="s">
        <v>224</v>
      </c>
      <c r="C24" s="76">
        <v>0</v>
      </c>
      <c r="D24" s="76">
        <v>0</v>
      </c>
      <c r="E24" s="76">
        <v>0</v>
      </c>
      <c r="F24" s="76">
        <v>0</v>
      </c>
    </row>
    <row r="25" spans="1:10">
      <c r="B25" s="83" t="s">
        <v>225</v>
      </c>
      <c r="C25" s="84">
        <f t="shared" ref="C25:F25" si="3">SUM(C23:C24)</f>
        <v>12161212</v>
      </c>
      <c r="D25" s="84">
        <f t="shared" si="3"/>
        <v>12669640.760000004</v>
      </c>
      <c r="E25" s="84">
        <f t="shared" si="3"/>
        <v>12331525.75</v>
      </c>
      <c r="F25" s="84">
        <f t="shared" si="3"/>
        <v>12755765.969999995</v>
      </c>
      <c r="G25" s="84">
        <f>SUM(G23)</f>
        <v>13605656</v>
      </c>
    </row>
    <row r="26" spans="1:10" ht="3.65" customHeight="1">
      <c r="C26" s="76"/>
    </row>
    <row r="27" spans="1:10" ht="15" customHeight="1">
      <c r="B27" s="78" t="s">
        <v>226</v>
      </c>
      <c r="C27" s="76">
        <v>2402503</v>
      </c>
      <c r="D27" s="76">
        <v>3150954.07</v>
      </c>
      <c r="E27" s="76">
        <v>2740096.79</v>
      </c>
      <c r="F27" s="76">
        <v>3817583.21</v>
      </c>
      <c r="G27" s="76">
        <v>3852870</v>
      </c>
    </row>
    <row r="28" spans="1:10">
      <c r="B28" s="78" t="s">
        <v>227</v>
      </c>
      <c r="C28" s="76">
        <v>0</v>
      </c>
      <c r="D28" s="76">
        <v>11557</v>
      </c>
      <c r="E28" s="76">
        <v>1127</v>
      </c>
      <c r="F28" s="76">
        <v>6619</v>
      </c>
      <c r="G28" s="76">
        <v>4023</v>
      </c>
    </row>
    <row r="29" spans="1:10">
      <c r="B29" s="83" t="s">
        <v>228</v>
      </c>
      <c r="C29" s="84">
        <f t="shared" ref="C29" si="4">SUM(C27:C27)</f>
        <v>2402503</v>
      </c>
      <c r="D29" s="84">
        <f>SUM(D27:D28)</f>
        <v>3162511.07</v>
      </c>
      <c r="E29" s="84">
        <f>SUM(E27:E28)</f>
        <v>2741223.79</v>
      </c>
      <c r="F29" s="84">
        <f>SUM(F27:F28)</f>
        <v>3824202.21</v>
      </c>
      <c r="G29" s="84">
        <f>SUM(G27:G28)</f>
        <v>3856893</v>
      </c>
    </row>
    <row r="30" spans="1:10">
      <c r="A30" s="377" t="s">
        <v>229</v>
      </c>
      <c r="B30" s="377"/>
      <c r="C30" s="81">
        <f t="shared" ref="C30:E30" si="5">SUM(C29,C25,C21,C16)</f>
        <v>54298754.649999999</v>
      </c>
      <c r="D30" s="81">
        <f t="shared" si="5"/>
        <v>59025649.109999999</v>
      </c>
      <c r="E30" s="81">
        <f t="shared" si="5"/>
        <v>57870177.929999992</v>
      </c>
      <c r="F30" s="81">
        <f>SUM(F16,F21,F25,F29)</f>
        <v>65619864.18999999</v>
      </c>
      <c r="G30" s="81">
        <f>SUM(G16,G21,G25,G29)</f>
        <v>54700376</v>
      </c>
    </row>
    <row r="31" spans="1:10" ht="18" customHeight="1">
      <c r="B31" s="77"/>
      <c r="C31" s="76"/>
    </row>
    <row r="32" spans="1:10">
      <c r="A32" s="77" t="s">
        <v>230</v>
      </c>
      <c r="B32" s="78" t="s">
        <v>231</v>
      </c>
      <c r="C32" s="76">
        <f>25502528.09+1200</f>
        <v>25503728.09</v>
      </c>
      <c r="D32" s="76">
        <f>21137744.77+1200</f>
        <v>21138944.77</v>
      </c>
      <c r="E32" s="76">
        <f>28908157.3+7400</f>
        <v>28915557.300000001</v>
      </c>
      <c r="F32" s="76">
        <f>31764844+1200</f>
        <v>31766044</v>
      </c>
      <c r="G32" s="76">
        <v>28061813</v>
      </c>
      <c r="H32" s="82"/>
      <c r="I32" s="76"/>
      <c r="J32" s="76"/>
    </row>
    <row r="33" spans="2:10">
      <c r="B33" s="78" t="s">
        <v>232</v>
      </c>
      <c r="C33" s="76">
        <f>13837756.3+212724</f>
        <v>14050480.300000001</v>
      </c>
      <c r="D33" s="76">
        <f>17626085.6+1047589.7</f>
        <v>18673675.300000001</v>
      </c>
      <c r="E33" s="76">
        <f>18630295</f>
        <v>18630295</v>
      </c>
      <c r="F33" s="76">
        <v>18160407.239999995</v>
      </c>
      <c r="G33" s="76">
        <v>27095423</v>
      </c>
      <c r="H33" s="76"/>
      <c r="I33" s="76"/>
    </row>
    <row r="34" spans="2:10">
      <c r="B34" s="78" t="s">
        <v>233</v>
      </c>
      <c r="C34" s="76">
        <v>19209106.000000004</v>
      </c>
      <c r="D34" s="76">
        <f>12616276.02+259168.9</f>
        <v>12875444.92</v>
      </c>
      <c r="E34" s="76">
        <f>17189632.22+40000</f>
        <v>17229632.219999999</v>
      </c>
      <c r="F34" s="76">
        <f>18444292+141647</f>
        <v>18585939</v>
      </c>
      <c r="G34" s="76">
        <v>20080540</v>
      </c>
      <c r="H34" s="82"/>
      <c r="I34" s="76"/>
      <c r="J34" s="76"/>
    </row>
    <row r="35" spans="2:10">
      <c r="B35" s="78" t="s">
        <v>234</v>
      </c>
      <c r="C35" s="76">
        <f>15683579.81+5000</f>
        <v>15688579.810000001</v>
      </c>
      <c r="D35" s="76">
        <f>13939466.42+5000</f>
        <v>13944466.42</v>
      </c>
      <c r="E35" s="76">
        <f>15140577.12+5000</f>
        <v>15145577.119999999</v>
      </c>
      <c r="F35" s="76">
        <f>16495802+5000</f>
        <v>16500802</v>
      </c>
      <c r="G35" s="76">
        <v>16797320</v>
      </c>
      <c r="H35" s="76"/>
      <c r="I35" s="82"/>
      <c r="J35" s="76"/>
    </row>
    <row r="36" spans="2:10">
      <c r="B36" s="78" t="s">
        <v>235</v>
      </c>
      <c r="C36" s="76">
        <v>9936263.2300000004</v>
      </c>
      <c r="D36" s="76">
        <v>12129345.389999999</v>
      </c>
      <c r="E36" s="76">
        <v>11495494.550000001</v>
      </c>
      <c r="F36" s="76">
        <v>10096040.66</v>
      </c>
      <c r="G36" s="76">
        <v>13256229</v>
      </c>
      <c r="H36" s="76"/>
      <c r="I36" s="82"/>
    </row>
    <row r="37" spans="2:10">
      <c r="B37" s="78" t="s">
        <v>236</v>
      </c>
      <c r="C37" s="76">
        <v>4535506.05</v>
      </c>
      <c r="D37" s="76">
        <v>3517374.5999999996</v>
      </c>
      <c r="E37" s="76">
        <v>5383118.5700000003</v>
      </c>
      <c r="F37" s="76">
        <v>5000808.1199999992</v>
      </c>
      <c r="G37" s="76">
        <v>9748728</v>
      </c>
      <c r="H37" s="76"/>
      <c r="I37" s="76"/>
    </row>
    <row r="38" spans="2:10">
      <c r="B38" s="78" t="s">
        <v>237</v>
      </c>
      <c r="C38" s="76">
        <v>9239916</v>
      </c>
      <c r="D38" s="76">
        <v>9069763.589999998</v>
      </c>
      <c r="E38" s="76">
        <v>8251074.169999999</v>
      </c>
      <c r="F38" s="76">
        <v>9881830.0399999991</v>
      </c>
      <c r="G38" s="76">
        <v>9568444</v>
      </c>
      <c r="H38" s="76"/>
      <c r="I38" s="76"/>
    </row>
    <row r="39" spans="2:10">
      <c r="B39" s="78" t="s">
        <v>238</v>
      </c>
      <c r="C39" s="76">
        <f>6178473.48+227790</f>
        <v>6406263.4800000004</v>
      </c>
      <c r="D39" s="76">
        <v>8582223.7600000016</v>
      </c>
      <c r="E39" s="76">
        <v>2340261.67</v>
      </c>
      <c r="F39" s="76">
        <v>3766583.15</v>
      </c>
      <c r="G39" s="76">
        <v>8324459</v>
      </c>
      <c r="H39" s="76"/>
      <c r="I39" s="76"/>
    </row>
    <row r="40" spans="2:10">
      <c r="B40" s="78" t="s">
        <v>239</v>
      </c>
      <c r="C40" s="76">
        <v>2810591</v>
      </c>
      <c r="D40" s="76">
        <v>2658780.5100000002</v>
      </c>
      <c r="E40" s="76">
        <v>4375754.7600000007</v>
      </c>
      <c r="F40" s="76">
        <v>4604954.2799999993</v>
      </c>
      <c r="G40" s="76">
        <v>5708692</v>
      </c>
      <c r="H40" s="76"/>
      <c r="I40" s="76"/>
    </row>
    <row r="41" spans="2:10">
      <c r="B41" s="78" t="s">
        <v>240</v>
      </c>
      <c r="C41" s="76">
        <v>6080797.4800000004</v>
      </c>
      <c r="D41" s="76">
        <v>3788609.7600000002</v>
      </c>
      <c r="E41" s="76">
        <v>4011360.4200000004</v>
      </c>
      <c r="F41" s="76">
        <v>4919391.97</v>
      </c>
      <c r="G41" s="76">
        <v>5005655</v>
      </c>
      <c r="I41" s="76"/>
    </row>
    <row r="42" spans="2:10">
      <c r="B42" s="78" t="s">
        <v>241</v>
      </c>
      <c r="C42" s="76">
        <f>3834949.34+670</f>
        <v>3835619.34</v>
      </c>
      <c r="D42" s="76">
        <v>4123755.6599999997</v>
      </c>
      <c r="E42" s="76">
        <v>4028672.12</v>
      </c>
      <c r="F42" s="76">
        <v>4047721.9400000004</v>
      </c>
      <c r="G42" s="76">
        <v>4442099</v>
      </c>
      <c r="H42" s="76"/>
      <c r="I42" s="76"/>
    </row>
    <row r="43" spans="2:10">
      <c r="B43" s="78" t="s">
        <v>242</v>
      </c>
      <c r="C43" s="76">
        <f>1223514.23+10320000</f>
        <v>11543514.23</v>
      </c>
      <c r="D43" s="76">
        <f>632150.39+1708392.25</f>
        <v>2340542.64</v>
      </c>
      <c r="E43" s="76">
        <f>681592.82+1054313</f>
        <v>1735905.8199999998</v>
      </c>
      <c r="F43" s="76">
        <f>664730+1207846</f>
        <v>1872576</v>
      </c>
      <c r="G43" s="76">
        <v>4000400</v>
      </c>
      <c r="H43" s="76"/>
      <c r="I43" s="76"/>
    </row>
    <row r="44" spans="2:10">
      <c r="B44" s="78" t="s">
        <v>243</v>
      </c>
      <c r="C44" s="76">
        <v>1083954.03</v>
      </c>
      <c r="D44" s="76">
        <v>1114337.6499999999</v>
      </c>
      <c r="E44" s="76">
        <v>1113586.72</v>
      </c>
      <c r="F44" s="76">
        <v>1094314.5299999998</v>
      </c>
      <c r="G44" s="76">
        <v>1145009</v>
      </c>
      <c r="H44" s="76"/>
      <c r="I44" s="76"/>
    </row>
    <row r="45" spans="2:10">
      <c r="B45" s="78" t="s">
        <v>244</v>
      </c>
      <c r="C45" s="76">
        <v>779002</v>
      </c>
      <c r="D45" s="76">
        <v>764291.99</v>
      </c>
      <c r="E45" s="76">
        <v>739866.04999999993</v>
      </c>
      <c r="F45" s="76">
        <v>590342</v>
      </c>
      <c r="G45" s="76">
        <v>879554</v>
      </c>
      <c r="H45" s="82"/>
      <c r="I45" s="76"/>
      <c r="J45" s="76"/>
    </row>
    <row r="46" spans="2:10">
      <c r="B46" s="78" t="s">
        <v>245</v>
      </c>
      <c r="C46" s="76">
        <v>512415.86</v>
      </c>
      <c r="D46" s="76">
        <v>511970.56</v>
      </c>
      <c r="E46" s="76">
        <v>507229.43999999994</v>
      </c>
      <c r="F46" s="76">
        <v>524346.05999999994</v>
      </c>
      <c r="G46" s="76">
        <v>535095</v>
      </c>
      <c r="H46" s="76"/>
      <c r="I46" s="76"/>
    </row>
    <row r="47" spans="2:10">
      <c r="B47" s="78" t="s">
        <v>246</v>
      </c>
      <c r="C47" s="76">
        <v>144914.25</v>
      </c>
      <c r="D47" s="76">
        <v>285501.52</v>
      </c>
      <c r="E47" s="76">
        <v>205884.56</v>
      </c>
      <c r="F47" s="76">
        <v>221550.83999999997</v>
      </c>
      <c r="G47" s="76">
        <v>474691</v>
      </c>
      <c r="H47" s="76"/>
      <c r="I47" s="76"/>
    </row>
    <row r="48" spans="2:10">
      <c r="B48" s="78" t="s">
        <v>247</v>
      </c>
      <c r="C48" s="76">
        <v>390031.47</v>
      </c>
      <c r="D48" s="76">
        <v>380818.04000000004</v>
      </c>
      <c r="E48" s="76">
        <v>364359.97</v>
      </c>
      <c r="F48" s="76">
        <v>406232.08999999997</v>
      </c>
      <c r="G48" s="76">
        <v>338237</v>
      </c>
      <c r="H48" s="76"/>
      <c r="I48" s="76"/>
    </row>
    <row r="49" spans="1:13">
      <c r="B49" s="78" t="s">
        <v>248</v>
      </c>
      <c r="C49" s="76">
        <v>182518.16999999998</v>
      </c>
      <c r="D49" s="76">
        <v>133948.61000000002</v>
      </c>
      <c r="E49" s="76">
        <v>213605.58000000002</v>
      </c>
      <c r="F49" s="76">
        <v>169088.22</v>
      </c>
      <c r="G49" s="76">
        <v>157902</v>
      </c>
      <c r="H49" s="76"/>
      <c r="I49" s="76"/>
    </row>
    <row r="50" spans="1:13" ht="16.5" customHeight="1">
      <c r="B50" s="78" t="s">
        <v>249</v>
      </c>
      <c r="C50" s="76">
        <v>113767</v>
      </c>
      <c r="D50" s="76">
        <v>124200.73999999999</v>
      </c>
      <c r="E50" s="76">
        <v>130874.20999999999</v>
      </c>
      <c r="F50" s="76">
        <v>114385.88</v>
      </c>
      <c r="G50" s="76">
        <v>65744</v>
      </c>
      <c r="H50" s="76"/>
      <c r="I50" s="76"/>
    </row>
    <row r="51" spans="1:13" ht="16.5" hidden="1" customHeight="1">
      <c r="B51" s="78" t="s">
        <v>250</v>
      </c>
      <c r="C51" s="76">
        <v>0</v>
      </c>
      <c r="D51" s="76">
        <v>0</v>
      </c>
      <c r="E51" s="76">
        <v>0</v>
      </c>
      <c r="F51" s="76">
        <v>0</v>
      </c>
      <c r="G51" s="76">
        <v>0</v>
      </c>
      <c r="H51" s="76"/>
    </row>
    <row r="52" spans="1:13">
      <c r="A52" s="377" t="s">
        <v>251</v>
      </c>
      <c r="B52" s="377"/>
      <c r="C52" s="81">
        <f t="shared" ref="C52:G52" si="6">SUM(C32:C51)</f>
        <v>132046967.79000002</v>
      </c>
      <c r="D52" s="81">
        <f t="shared" si="6"/>
        <v>116157996.43000001</v>
      </c>
      <c r="E52" s="81">
        <f t="shared" si="6"/>
        <v>124818110.24999999</v>
      </c>
      <c r="F52" s="81">
        <f t="shared" si="6"/>
        <v>132323358.02000001</v>
      </c>
      <c r="G52" s="81">
        <f t="shared" si="6"/>
        <v>155686034</v>
      </c>
      <c r="H52" s="76"/>
    </row>
    <row r="53" spans="1:13">
      <c r="B53" s="85"/>
      <c r="C53" s="76"/>
      <c r="H53" s="76"/>
    </row>
    <row r="54" spans="1:13" ht="29">
      <c r="A54" s="86" t="s">
        <v>252</v>
      </c>
      <c r="B54" s="174" t="s">
        <v>253</v>
      </c>
      <c r="C54" s="175">
        <v>14429786</v>
      </c>
      <c r="D54" s="175">
        <v>14359761</v>
      </c>
      <c r="E54" s="176">
        <v>15942315.069999997</v>
      </c>
      <c r="F54" s="176">
        <v>14601052.760000004</v>
      </c>
      <c r="G54" s="176">
        <v>17064068</v>
      </c>
    </row>
    <row r="55" spans="1:13">
      <c r="C55" s="76"/>
    </row>
    <row r="56" spans="1:13">
      <c r="A56" s="201" t="s">
        <v>254</v>
      </c>
      <c r="B56" s="87" t="s">
        <v>254</v>
      </c>
      <c r="C56" s="81">
        <v>2985133</v>
      </c>
      <c r="D56" s="81">
        <v>2801280</v>
      </c>
      <c r="E56" s="88">
        <v>2734316.96</v>
      </c>
      <c r="F56" s="88">
        <v>2629309.9099999997</v>
      </c>
      <c r="G56" s="88">
        <v>2645176</v>
      </c>
    </row>
    <row r="57" spans="1:13">
      <c r="C57" s="76"/>
    </row>
    <row r="58" spans="1:13" ht="16.5">
      <c r="A58" s="77" t="s">
        <v>255</v>
      </c>
      <c r="B58" s="78" t="s">
        <v>256</v>
      </c>
      <c r="C58" s="76">
        <v>43054802.380000003</v>
      </c>
      <c r="D58" s="76">
        <v>25955220.489999998</v>
      </c>
      <c r="E58" s="76">
        <v>25630215.43</v>
      </c>
      <c r="F58" s="76">
        <v>31935059.670000002</v>
      </c>
      <c r="I58" s="76"/>
      <c r="J58" s="76"/>
      <c r="K58" s="76"/>
      <c r="L58" s="76"/>
      <c r="M58" s="76"/>
    </row>
    <row r="59" spans="1:13">
      <c r="B59" s="76" t="s">
        <v>257</v>
      </c>
      <c r="G59" s="76">
        <v>4216093</v>
      </c>
      <c r="I59" s="76"/>
      <c r="J59" s="146"/>
      <c r="K59" s="76"/>
      <c r="L59" s="76"/>
      <c r="M59" s="76"/>
    </row>
    <row r="60" spans="1:13">
      <c r="B60" s="76" t="s">
        <v>258</v>
      </c>
      <c r="G60" s="76">
        <v>11541805</v>
      </c>
      <c r="I60" s="76"/>
      <c r="J60" s="146"/>
      <c r="K60" s="76"/>
      <c r="L60" s="76"/>
      <c r="M60" s="76"/>
    </row>
    <row r="61" spans="1:13" ht="16.5">
      <c r="B61" s="78" t="s">
        <v>259</v>
      </c>
      <c r="C61" s="76">
        <v>5186211</v>
      </c>
      <c r="D61" s="76">
        <v>3731561.4099999997</v>
      </c>
      <c r="E61" s="76">
        <v>3273816.9799999995</v>
      </c>
      <c r="F61" s="76">
        <v>4587072.1499999994</v>
      </c>
      <c r="G61" s="76">
        <v>7341370</v>
      </c>
      <c r="I61" s="78"/>
      <c r="J61" s="146"/>
      <c r="K61" s="76"/>
      <c r="L61" s="76"/>
      <c r="M61" s="76"/>
    </row>
    <row r="62" spans="1:13">
      <c r="B62" s="76" t="s">
        <v>260</v>
      </c>
      <c r="G62" s="76">
        <v>19473568</v>
      </c>
      <c r="I62" s="76"/>
      <c r="J62" s="146"/>
      <c r="K62" s="76"/>
      <c r="L62" s="76"/>
      <c r="M62" s="76"/>
    </row>
    <row r="63" spans="1:13">
      <c r="B63" s="76" t="s">
        <v>261</v>
      </c>
      <c r="G63" s="76">
        <v>4707486</v>
      </c>
      <c r="I63" s="76"/>
      <c r="J63" s="146"/>
      <c r="K63" s="76"/>
      <c r="L63" s="76"/>
      <c r="M63" s="76"/>
    </row>
    <row r="64" spans="1:13" ht="16.5">
      <c r="B64" s="78" t="s">
        <v>262</v>
      </c>
      <c r="C64" s="76">
        <v>2866184</v>
      </c>
      <c r="D64" s="76">
        <v>1631100.0599999998</v>
      </c>
      <c r="E64" s="76">
        <v>1809759.43</v>
      </c>
      <c r="F64" s="76">
        <v>2420165.6599999997</v>
      </c>
      <c r="G64" s="76">
        <v>1216367</v>
      </c>
      <c r="I64" s="78"/>
      <c r="J64" s="146"/>
      <c r="K64" s="76"/>
      <c r="L64" s="76"/>
      <c r="M64" s="76"/>
    </row>
    <row r="65" spans="1:10" ht="16.5">
      <c r="B65" s="76" t="s">
        <v>263</v>
      </c>
      <c r="G65" s="76">
        <v>409036</v>
      </c>
      <c r="H65" s="76"/>
      <c r="I65" s="76"/>
      <c r="J65" s="146"/>
    </row>
    <row r="66" spans="1:10">
      <c r="B66" s="78" t="s">
        <v>264</v>
      </c>
      <c r="C66" s="76">
        <v>-1390104</v>
      </c>
      <c r="D66" s="76">
        <v>-1254769.49</v>
      </c>
      <c r="E66" s="76">
        <v>-459983.67</v>
      </c>
      <c r="F66" s="76">
        <v>-1319031.43</v>
      </c>
      <c r="G66" s="76">
        <v>-750747</v>
      </c>
      <c r="I66" s="78"/>
      <c r="J66" s="146"/>
    </row>
    <row r="67" spans="1:10">
      <c r="A67" s="377" t="s">
        <v>265</v>
      </c>
      <c r="B67" s="377"/>
      <c r="C67" s="81">
        <f>SUM(C58:C66)</f>
        <v>49717093.380000003</v>
      </c>
      <c r="D67" s="81">
        <f>SUM(D58:D66)</f>
        <v>30063112.469999999</v>
      </c>
      <c r="E67" s="81">
        <f>SUM(E58:E66)</f>
        <v>30253808.169999998</v>
      </c>
      <c r="F67" s="81">
        <f>SUM(F58:F66)</f>
        <v>37623266.049999997</v>
      </c>
      <c r="G67" s="81">
        <f>SUM(G58:G66)</f>
        <v>48154978</v>
      </c>
      <c r="J67" s="146"/>
    </row>
    <row r="68" spans="1:10" ht="6.65" customHeight="1">
      <c r="B68" s="77"/>
      <c r="C68" s="84"/>
    </row>
    <row r="69" spans="1:10" s="154" customFormat="1" ht="14.5" customHeight="1" thickBot="1">
      <c r="A69" s="152" t="s">
        <v>66</v>
      </c>
      <c r="B69" s="153"/>
      <c r="C69" s="153">
        <f>SUM(C67,C56,C54,C52,C30,C11)</f>
        <v>266675427.69000003</v>
      </c>
      <c r="D69" s="153">
        <f>SUM(D67,D56,D54,D52,D30,D11)</f>
        <v>234552159.39999998</v>
      </c>
      <c r="E69" s="153">
        <f>SUM(E67,E56,E54,E52,E30,E11)</f>
        <v>244498430.06</v>
      </c>
      <c r="F69" s="153">
        <f>SUM(F67,F56,F54,F52,F30,F11)</f>
        <v>264742730.81</v>
      </c>
      <c r="G69" s="153">
        <f>SUM(G67,G56,G54,G52,G30,G11)</f>
        <v>290599356</v>
      </c>
    </row>
    <row r="70" spans="1:10" ht="15.75" customHeight="1" thickTop="1">
      <c r="C70" s="89"/>
      <c r="D70" s="89"/>
      <c r="E70" s="89"/>
      <c r="F70" s="89"/>
      <c r="G70" s="89"/>
    </row>
    <row r="71" spans="1:10">
      <c r="A71" s="77" t="s">
        <v>13</v>
      </c>
      <c r="C71" s="76"/>
    </row>
    <row r="72" spans="1:10" s="205" customFormat="1" ht="23.15" customHeight="1">
      <c r="A72" s="378" t="s">
        <v>266</v>
      </c>
      <c r="B72" s="378"/>
      <c r="C72" s="378"/>
      <c r="D72" s="378"/>
      <c r="E72" s="378"/>
      <c r="F72" s="378"/>
      <c r="G72" s="378"/>
    </row>
    <row r="73" spans="1:10" s="205" customFormat="1" ht="23.15" customHeight="1">
      <c r="A73" s="375" t="s">
        <v>267</v>
      </c>
      <c r="B73" s="375"/>
      <c r="C73" s="375"/>
      <c r="D73" s="375"/>
      <c r="E73" s="375"/>
      <c r="F73" s="375"/>
      <c r="G73" s="375"/>
    </row>
    <row r="74" spans="1:10" s="205" customFormat="1" ht="37.5" customHeight="1">
      <c r="A74" s="375" t="s">
        <v>268</v>
      </c>
      <c r="B74" s="375"/>
      <c r="C74" s="375"/>
      <c r="D74" s="375"/>
      <c r="E74" s="375"/>
      <c r="F74" s="375"/>
      <c r="G74" s="375"/>
    </row>
    <row r="75" spans="1:10" s="205" customFormat="1" ht="35.25" customHeight="1">
      <c r="A75" s="375" t="s">
        <v>422</v>
      </c>
      <c r="B75" s="375"/>
      <c r="C75" s="375"/>
      <c r="D75" s="375"/>
      <c r="E75" s="375"/>
      <c r="F75" s="375"/>
      <c r="G75" s="375"/>
    </row>
    <row r="76" spans="1:10" s="205" customFormat="1" ht="35.5" customHeight="1">
      <c r="A76" s="375" t="s">
        <v>269</v>
      </c>
      <c r="B76" s="375"/>
      <c r="C76" s="375"/>
      <c r="D76" s="375"/>
      <c r="E76" s="375"/>
      <c r="F76" s="375"/>
      <c r="G76" s="375"/>
    </row>
    <row r="77" spans="1:10" ht="11.5" customHeight="1"/>
    <row r="79" spans="1:10">
      <c r="A79" s="78" t="s">
        <v>270</v>
      </c>
      <c r="B79" s="78" t="s">
        <v>271</v>
      </c>
      <c r="C79" s="76">
        <v>5999712</v>
      </c>
    </row>
    <row r="80" spans="1:10">
      <c r="A80" s="78" t="s">
        <v>270</v>
      </c>
      <c r="B80" s="78" t="s">
        <v>272</v>
      </c>
      <c r="C80" s="76">
        <v>2401042</v>
      </c>
    </row>
    <row r="81" spans="1:6">
      <c r="A81" s="78" t="s">
        <v>270</v>
      </c>
      <c r="B81" s="78" t="s">
        <v>273</v>
      </c>
      <c r="C81" s="76">
        <v>1901846</v>
      </c>
      <c r="F81" s="163"/>
    </row>
    <row r="82" spans="1:6">
      <c r="A82" s="78" t="s">
        <v>270</v>
      </c>
      <c r="B82" s="78" t="s">
        <v>274</v>
      </c>
      <c r="C82" s="76">
        <v>966755</v>
      </c>
      <c r="F82" s="163"/>
    </row>
    <row r="83" spans="1:6" ht="29">
      <c r="A83" s="78" t="s">
        <v>270</v>
      </c>
      <c r="B83" s="78" t="s">
        <v>275</v>
      </c>
      <c r="C83" s="76">
        <v>941531</v>
      </c>
      <c r="F83" s="163"/>
    </row>
    <row r="84" spans="1:6">
      <c r="A84" s="78" t="s">
        <v>270</v>
      </c>
      <c r="B84" s="78" t="s">
        <v>276</v>
      </c>
      <c r="C84" s="76">
        <v>137838</v>
      </c>
      <c r="F84" s="163"/>
    </row>
    <row r="85" spans="1:6">
      <c r="A85" s="78" t="s">
        <v>277</v>
      </c>
      <c r="B85" s="78" t="s">
        <v>278</v>
      </c>
      <c r="C85" s="76">
        <f>G16</f>
        <v>20474712</v>
      </c>
      <c r="F85" s="163"/>
    </row>
    <row r="86" spans="1:6">
      <c r="A86" s="78" t="s">
        <v>277</v>
      </c>
      <c r="B86" s="78" t="s">
        <v>279</v>
      </c>
      <c r="C86" s="76">
        <f>G25</f>
        <v>13605656</v>
      </c>
      <c r="F86" s="163"/>
    </row>
    <row r="87" spans="1:6">
      <c r="A87" s="78" t="s">
        <v>277</v>
      </c>
      <c r="B87" s="78" t="s">
        <v>280</v>
      </c>
      <c r="C87" s="76">
        <f>G21</f>
        <v>16763115</v>
      </c>
    </row>
    <row r="88" spans="1:6">
      <c r="A88" s="78" t="s">
        <v>277</v>
      </c>
      <c r="B88" s="78" t="s">
        <v>281</v>
      </c>
      <c r="C88" s="76">
        <f>G29</f>
        <v>3856893</v>
      </c>
    </row>
    <row r="89" spans="1:6">
      <c r="A89" s="78" t="s">
        <v>282</v>
      </c>
      <c r="B89" s="78" t="s">
        <v>283</v>
      </c>
      <c r="C89" s="76">
        <f t="shared" ref="C89:C107" si="7">G32</f>
        <v>28061813</v>
      </c>
    </row>
    <row r="90" spans="1:6">
      <c r="A90" s="78" t="s">
        <v>282</v>
      </c>
      <c r="B90" s="78" t="s">
        <v>284</v>
      </c>
      <c r="C90" s="76">
        <f t="shared" si="7"/>
        <v>27095423</v>
      </c>
    </row>
    <row r="91" spans="1:6">
      <c r="A91" s="78" t="s">
        <v>282</v>
      </c>
      <c r="B91" s="78" t="s">
        <v>285</v>
      </c>
      <c r="C91" s="76">
        <f t="shared" si="7"/>
        <v>20080540</v>
      </c>
    </row>
    <row r="92" spans="1:6">
      <c r="A92" s="78" t="s">
        <v>282</v>
      </c>
      <c r="B92" s="78" t="s">
        <v>286</v>
      </c>
      <c r="C92" s="76">
        <f t="shared" si="7"/>
        <v>16797320</v>
      </c>
    </row>
    <row r="93" spans="1:6">
      <c r="A93" s="78" t="s">
        <v>282</v>
      </c>
      <c r="B93" s="78" t="s">
        <v>287</v>
      </c>
      <c r="C93" s="76">
        <f t="shared" si="7"/>
        <v>13256229</v>
      </c>
    </row>
    <row r="94" spans="1:6">
      <c r="A94" s="78" t="s">
        <v>282</v>
      </c>
      <c r="B94" s="78" t="s">
        <v>288</v>
      </c>
      <c r="C94" s="76">
        <f t="shared" si="7"/>
        <v>9748728</v>
      </c>
    </row>
    <row r="95" spans="1:6" ht="15" customHeight="1">
      <c r="A95" s="78" t="s">
        <v>282</v>
      </c>
      <c r="B95" s="78" t="s">
        <v>289</v>
      </c>
      <c r="C95" s="76">
        <f t="shared" si="7"/>
        <v>9568444</v>
      </c>
    </row>
    <row r="96" spans="1:6">
      <c r="A96" s="78" t="s">
        <v>282</v>
      </c>
      <c r="B96" s="78" t="s">
        <v>290</v>
      </c>
      <c r="C96" s="76">
        <f t="shared" si="7"/>
        <v>8324459</v>
      </c>
    </row>
    <row r="97" spans="1:3">
      <c r="A97" s="78" t="s">
        <v>282</v>
      </c>
      <c r="B97" s="78" t="s">
        <v>291</v>
      </c>
      <c r="C97" s="76">
        <f t="shared" si="7"/>
        <v>5708692</v>
      </c>
    </row>
    <row r="98" spans="1:3">
      <c r="A98" s="78" t="s">
        <v>282</v>
      </c>
      <c r="B98" s="78" t="s">
        <v>292</v>
      </c>
      <c r="C98" s="76">
        <f t="shared" si="7"/>
        <v>5005655</v>
      </c>
    </row>
    <row r="99" spans="1:3">
      <c r="A99" s="78" t="s">
        <v>282</v>
      </c>
      <c r="B99" s="78" t="s">
        <v>293</v>
      </c>
      <c r="C99" s="76">
        <f t="shared" si="7"/>
        <v>4442099</v>
      </c>
    </row>
    <row r="100" spans="1:3" ht="13.5" customHeight="1">
      <c r="A100" s="78" t="s">
        <v>282</v>
      </c>
      <c r="B100" s="78" t="s">
        <v>294</v>
      </c>
      <c r="C100" s="76">
        <f t="shared" si="7"/>
        <v>4000400</v>
      </c>
    </row>
    <row r="101" spans="1:3">
      <c r="A101" s="78" t="s">
        <v>282</v>
      </c>
      <c r="B101" s="78" t="s">
        <v>295</v>
      </c>
      <c r="C101" s="76">
        <f t="shared" si="7"/>
        <v>1145009</v>
      </c>
    </row>
    <row r="102" spans="1:3" ht="14.5" customHeight="1">
      <c r="A102" s="78" t="s">
        <v>282</v>
      </c>
      <c r="B102" s="78" t="s">
        <v>296</v>
      </c>
      <c r="C102" s="76">
        <f t="shared" si="7"/>
        <v>879554</v>
      </c>
    </row>
    <row r="103" spans="1:3">
      <c r="A103" s="78" t="s">
        <v>282</v>
      </c>
      <c r="B103" s="78" t="s">
        <v>297</v>
      </c>
      <c r="C103" s="76">
        <f t="shared" si="7"/>
        <v>535095</v>
      </c>
    </row>
    <row r="104" spans="1:3">
      <c r="A104" s="78" t="s">
        <v>282</v>
      </c>
      <c r="B104" s="78" t="s">
        <v>298</v>
      </c>
      <c r="C104" s="76">
        <f t="shared" si="7"/>
        <v>474691</v>
      </c>
    </row>
    <row r="105" spans="1:3">
      <c r="A105" s="78" t="s">
        <v>282</v>
      </c>
      <c r="B105" s="78" t="s">
        <v>299</v>
      </c>
      <c r="C105" s="76">
        <f t="shared" si="7"/>
        <v>338237</v>
      </c>
    </row>
    <row r="106" spans="1:3" ht="14.5" customHeight="1">
      <c r="A106" s="78" t="s">
        <v>282</v>
      </c>
      <c r="B106" s="78" t="s">
        <v>300</v>
      </c>
      <c r="C106" s="76">
        <f t="shared" si="7"/>
        <v>157902</v>
      </c>
    </row>
    <row r="107" spans="1:3">
      <c r="A107" s="78" t="s">
        <v>282</v>
      </c>
      <c r="B107" s="78" t="s">
        <v>301</v>
      </c>
      <c r="C107" s="76">
        <f t="shared" si="7"/>
        <v>65744</v>
      </c>
    </row>
    <row r="108" spans="1:3" ht="29">
      <c r="A108" s="78" t="s">
        <v>252</v>
      </c>
      <c r="B108" s="78" t="s">
        <v>302</v>
      </c>
      <c r="C108" s="76">
        <f>G54</f>
        <v>17064068</v>
      </c>
    </row>
    <row r="109" spans="1:3">
      <c r="A109" s="78" t="s">
        <v>254</v>
      </c>
      <c r="B109" s="78" t="s">
        <v>254</v>
      </c>
      <c r="C109" s="76">
        <f>G56</f>
        <v>2645176</v>
      </c>
    </row>
    <row r="110" spans="1:3">
      <c r="A110" s="78" t="s">
        <v>255</v>
      </c>
      <c r="B110" s="78" t="s">
        <v>303</v>
      </c>
      <c r="C110" s="76">
        <f>G62</f>
        <v>19473568</v>
      </c>
    </row>
    <row r="111" spans="1:3">
      <c r="A111" s="78" t="s">
        <v>255</v>
      </c>
      <c r="B111" s="78" t="s">
        <v>304</v>
      </c>
      <c r="C111" s="76">
        <f>G60</f>
        <v>11541805</v>
      </c>
    </row>
    <row r="112" spans="1:3">
      <c r="A112" s="78" t="s">
        <v>255</v>
      </c>
      <c r="B112" s="75" t="s">
        <v>305</v>
      </c>
      <c r="C112" s="76">
        <f>G61</f>
        <v>7341370</v>
      </c>
    </row>
    <row r="113" spans="1:9">
      <c r="A113" s="78" t="s">
        <v>255</v>
      </c>
      <c r="B113" s="76" t="s">
        <v>306</v>
      </c>
      <c r="C113" s="76">
        <f>G63</f>
        <v>4707486</v>
      </c>
    </row>
    <row r="114" spans="1:9">
      <c r="A114" s="78" t="s">
        <v>255</v>
      </c>
      <c r="B114" s="76" t="s">
        <v>307</v>
      </c>
      <c r="C114" s="76">
        <f>G59</f>
        <v>4216093</v>
      </c>
    </row>
    <row r="115" spans="1:9">
      <c r="A115" s="78" t="s">
        <v>255</v>
      </c>
      <c r="B115" s="78" t="s">
        <v>308</v>
      </c>
      <c r="C115" s="76">
        <f>G64</f>
        <v>1216367</v>
      </c>
    </row>
    <row r="116" spans="1:9">
      <c r="A116" s="78" t="s">
        <v>255</v>
      </c>
      <c r="B116" s="76" t="s">
        <v>309</v>
      </c>
      <c r="C116" s="76">
        <f>G65</f>
        <v>409036</v>
      </c>
    </row>
    <row r="117" spans="1:9">
      <c r="C117" s="76"/>
    </row>
    <row r="118" spans="1:9">
      <c r="C118" s="76"/>
    </row>
    <row r="119" spans="1:9">
      <c r="E119" s="75"/>
      <c r="H119" s="76"/>
      <c r="I119" s="76"/>
    </row>
    <row r="120" spans="1:9">
      <c r="C120" s="76"/>
      <c r="E120" s="75"/>
      <c r="H120" s="76"/>
      <c r="I120" s="76"/>
    </row>
    <row r="121" spans="1:9">
      <c r="C121" s="76"/>
      <c r="D121" s="78"/>
      <c r="H121" s="76"/>
      <c r="I121" s="76"/>
    </row>
    <row r="122" spans="1:9">
      <c r="E122" s="75"/>
      <c r="H122" s="76"/>
      <c r="I122" s="76"/>
    </row>
    <row r="123" spans="1:9">
      <c r="E123" s="75"/>
      <c r="H123" s="76"/>
      <c r="I123" s="76"/>
    </row>
    <row r="124" spans="1:9">
      <c r="D124" s="78"/>
      <c r="H124" s="76"/>
      <c r="I124" s="76"/>
    </row>
    <row r="125" spans="1:9">
      <c r="E125" s="75"/>
      <c r="H125" s="76"/>
      <c r="I125" s="76"/>
    </row>
    <row r="126" spans="1:9">
      <c r="E126" s="75"/>
      <c r="H126" s="76"/>
      <c r="I126" s="76"/>
    </row>
    <row r="127" spans="1:9">
      <c r="D127" s="78"/>
      <c r="H127" s="76"/>
      <c r="I127" s="76"/>
    </row>
  </sheetData>
  <sortState xmlns:xlrd2="http://schemas.microsoft.com/office/spreadsheetml/2017/richdata2" ref="D119:I127">
    <sortCondition descending="1" ref="I119:I127"/>
  </sortState>
  <mergeCells count="9">
    <mergeCell ref="A75:G75"/>
    <mergeCell ref="A76:G76"/>
    <mergeCell ref="A73:G73"/>
    <mergeCell ref="A74:G74"/>
    <mergeCell ref="A11:B11"/>
    <mergeCell ref="A30:B30"/>
    <mergeCell ref="A52:B52"/>
    <mergeCell ref="A67:B67"/>
    <mergeCell ref="A72:G72"/>
  </mergeCells>
  <pageMargins left="0.25" right="0.25" top="0.75" bottom="0.75" header="0.3" footer="0.3"/>
  <pageSetup scale="47" fitToHeight="0" orientation="landscape" r:id="rId1"/>
  <headerFooter alignWithMargins="0"/>
  <ignoredErrors>
    <ignoredError sqref="F11:G1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45"/>
  <sheetViews>
    <sheetView topLeftCell="A7" zoomScaleNormal="100" workbookViewId="0">
      <selection activeCell="C16" sqref="C16"/>
    </sheetView>
  </sheetViews>
  <sheetFormatPr defaultColWidth="26.1796875" defaultRowHeight="13"/>
  <cols>
    <col min="1" max="1" width="26.1796875" style="64"/>
    <col min="2" max="2" width="10.54296875" style="64" bestFit="1" customWidth="1"/>
    <col min="3" max="3" width="62.1796875" style="134" customWidth="1"/>
    <col min="4" max="4" width="18.54296875" style="64" customWidth="1"/>
    <col min="5" max="16384" width="26.1796875" style="64"/>
  </cols>
  <sheetData>
    <row r="1" spans="1:4" ht="26.15" customHeight="1">
      <c r="A1" s="291" t="s">
        <v>310</v>
      </c>
    </row>
    <row r="2" spans="1:4" s="329" customFormat="1" ht="21" customHeight="1">
      <c r="A2" s="318" t="s">
        <v>204</v>
      </c>
      <c r="B2" s="317" t="s">
        <v>311</v>
      </c>
      <c r="C2" s="317" t="s">
        <v>312</v>
      </c>
      <c r="D2" s="317" t="s">
        <v>313</v>
      </c>
    </row>
    <row r="3" spans="1:4" s="156" customFormat="1" ht="52.5" customHeight="1">
      <c r="A3" s="341" t="s">
        <v>314</v>
      </c>
      <c r="B3" s="342">
        <v>1041</v>
      </c>
      <c r="C3" s="343" t="s">
        <v>315</v>
      </c>
      <c r="D3" s="344">
        <v>4266383</v>
      </c>
    </row>
    <row r="4" spans="1:4" s="156" customFormat="1" ht="58">
      <c r="A4" s="341" t="s">
        <v>316</v>
      </c>
      <c r="B4" s="342">
        <v>684</v>
      </c>
      <c r="C4" s="343" t="s">
        <v>317</v>
      </c>
      <c r="D4" s="344">
        <v>4232557</v>
      </c>
    </row>
    <row r="5" spans="1:4" s="156" customFormat="1" ht="29">
      <c r="A5" s="341" t="s">
        <v>318</v>
      </c>
      <c r="B5" s="342">
        <v>152</v>
      </c>
      <c r="C5" s="343" t="s">
        <v>319</v>
      </c>
      <c r="D5" s="345">
        <v>3226029</v>
      </c>
    </row>
    <row r="6" spans="1:4" s="156" customFormat="1" ht="29">
      <c r="A6" s="341" t="s">
        <v>320</v>
      </c>
      <c r="B6" s="342">
        <v>72</v>
      </c>
      <c r="C6" s="346" t="s">
        <v>321</v>
      </c>
      <c r="D6" s="344">
        <v>123907</v>
      </c>
    </row>
    <row r="7" spans="1:4" s="156" customFormat="1" ht="17" thickBot="1">
      <c r="A7" s="347" t="s">
        <v>322</v>
      </c>
      <c r="B7" s="348">
        <f>SUM(B3:B6)</f>
        <v>1949</v>
      </c>
      <c r="C7" s="349"/>
      <c r="D7" s="350">
        <f>SUM(D3:D6)</f>
        <v>11848876</v>
      </c>
    </row>
    <row r="8" spans="1:4" s="154" customFormat="1" ht="16" thickTop="1">
      <c r="A8" s="64"/>
      <c r="B8" s="64"/>
      <c r="C8" s="134"/>
      <c r="D8" s="64"/>
    </row>
    <row r="9" spans="1:4" ht="14.5">
      <c r="A9" s="69" t="s">
        <v>323</v>
      </c>
    </row>
    <row r="10" spans="1:4" ht="35.5" customHeight="1">
      <c r="A10" s="379" t="s">
        <v>324</v>
      </c>
      <c r="B10" s="379"/>
      <c r="C10" s="379"/>
      <c r="D10" s="379"/>
    </row>
    <row r="11" spans="1:4" ht="49" customHeight="1">
      <c r="A11" s="379" t="s">
        <v>89</v>
      </c>
      <c r="B11" s="379"/>
      <c r="C11" s="379"/>
      <c r="D11" s="379"/>
    </row>
    <row r="12" spans="1:4" ht="34.5" customHeight="1">
      <c r="A12" s="379" t="s">
        <v>325</v>
      </c>
      <c r="B12" s="379"/>
      <c r="C12" s="379"/>
      <c r="D12" s="379"/>
    </row>
    <row r="14" spans="1:4" ht="14.5">
      <c r="A14" s="69"/>
    </row>
    <row r="15" spans="1:4" ht="29">
      <c r="A15" s="155" t="s">
        <v>316</v>
      </c>
      <c r="B15" s="20">
        <f>D4</f>
        <v>4232557</v>
      </c>
    </row>
    <row r="16" spans="1:4" ht="29">
      <c r="A16" s="155" t="s">
        <v>314</v>
      </c>
      <c r="B16" s="20">
        <f>D3</f>
        <v>4266383</v>
      </c>
    </row>
    <row r="17" spans="1:2" ht="29">
      <c r="A17" s="155" t="s">
        <v>318</v>
      </c>
      <c r="B17" s="20">
        <f>D5</f>
        <v>3226029</v>
      </c>
    </row>
    <row r="18" spans="1:2" ht="29">
      <c r="A18" s="193" t="s">
        <v>320</v>
      </c>
      <c r="B18" s="194">
        <v>123907</v>
      </c>
    </row>
    <row r="19" spans="1:2" ht="14.5">
      <c r="A19" s="71"/>
      <c r="B19" s="68"/>
    </row>
    <row r="20" spans="1:2">
      <c r="A20" s="71"/>
    </row>
    <row r="21" spans="1:2" ht="14.5">
      <c r="A21" s="67"/>
      <c r="B21" s="68"/>
    </row>
    <row r="22" spans="1:2" ht="14.5">
      <c r="A22" s="67"/>
      <c r="B22" s="68"/>
    </row>
    <row r="23" spans="1:2" ht="14.5">
      <c r="A23" s="67"/>
      <c r="B23" s="68"/>
    </row>
    <row r="24" spans="1:2" ht="14.5">
      <c r="A24" s="69"/>
      <c r="B24" s="68"/>
    </row>
    <row r="25" spans="1:2" ht="14.5">
      <c r="A25" s="67"/>
      <c r="B25" s="68"/>
    </row>
    <row r="26" spans="1:2" ht="14.5">
      <c r="B26" s="68"/>
    </row>
    <row r="27" spans="1:2" ht="14.5">
      <c r="A27" s="72"/>
      <c r="B27" s="68"/>
    </row>
    <row r="28" spans="1:2" ht="14.5">
      <c r="A28" s="67"/>
      <c r="B28" s="68"/>
    </row>
    <row r="29" spans="1:2" ht="14.5">
      <c r="A29" s="67"/>
      <c r="B29" s="68"/>
    </row>
    <row r="30" spans="1:2" ht="14.5">
      <c r="A30" s="67"/>
      <c r="B30" s="68"/>
    </row>
    <row r="31" spans="1:2" ht="14.5">
      <c r="A31" s="67"/>
      <c r="B31" s="68"/>
    </row>
    <row r="32" spans="1:2" ht="14.5">
      <c r="A32" s="70"/>
      <c r="B32" s="68"/>
    </row>
    <row r="34" spans="1:2" ht="14.5">
      <c r="B34" s="68"/>
    </row>
    <row r="35" spans="1:2" ht="14.5">
      <c r="A35" s="67"/>
    </row>
    <row r="36" spans="1:2" ht="14.5">
      <c r="A36" s="67"/>
    </row>
    <row r="37" spans="1:2" ht="14.5">
      <c r="A37" s="67"/>
    </row>
    <row r="38" spans="1:2" ht="14.5">
      <c r="A38" s="67"/>
    </row>
    <row r="39" spans="1:2" ht="14.5">
      <c r="A39" s="67"/>
    </row>
    <row r="40" spans="1:2" ht="14.5">
      <c r="A40" s="67"/>
    </row>
    <row r="41" spans="1:2" ht="14.5">
      <c r="A41" s="67"/>
    </row>
    <row r="42" spans="1:2" ht="14.5">
      <c r="A42" s="67"/>
    </row>
    <row r="43" spans="1:2" ht="14.5">
      <c r="A43" s="67"/>
    </row>
    <row r="44" spans="1:2" ht="14.5">
      <c r="A44" s="67"/>
    </row>
    <row r="45" spans="1:2" ht="14.5">
      <c r="A45" s="67"/>
    </row>
  </sheetData>
  <sortState xmlns:xlrd2="http://schemas.microsoft.com/office/spreadsheetml/2017/richdata2" ref="A16:B19">
    <sortCondition descending="1" ref="B16:B19"/>
  </sortState>
  <mergeCells count="3">
    <mergeCell ref="A10:D10"/>
    <mergeCell ref="A11:D11"/>
    <mergeCell ref="A12:D12"/>
  </mergeCells>
  <pageMargins left="0.7" right="0.7" top="0.75" bottom="0.75" header="0.3" footer="0.3"/>
  <pageSetup scale="63"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67FB-8AD8-4D73-A370-8A099A8EF817}">
  <sheetPr>
    <tabColor rgb="FF00B050"/>
    <pageSetUpPr fitToPage="1"/>
  </sheetPr>
  <dimension ref="A1:IW92"/>
  <sheetViews>
    <sheetView zoomScaleNormal="100" workbookViewId="0">
      <pane xSplit="1" ySplit="2" topLeftCell="AK27" activePane="bottomRight" state="frozen"/>
      <selection pane="topRight" activeCell="B1" sqref="B1"/>
      <selection pane="bottomLeft" activeCell="A3" sqref="A3"/>
      <selection pane="bottomRight" activeCell="A35" sqref="A35:AU35"/>
    </sheetView>
  </sheetViews>
  <sheetFormatPr defaultColWidth="8.81640625" defaultRowHeight="18.649999999999999" customHeight="1"/>
  <cols>
    <col min="1" max="1" width="90.453125" style="209" customWidth="1"/>
    <col min="2" max="22" width="11.54296875" style="209" hidden="1" customWidth="1"/>
    <col min="23" max="23" width="13.54296875" style="209" hidden="1" customWidth="1"/>
    <col min="24" max="24" width="11.54296875" style="209" hidden="1" customWidth="1"/>
    <col min="25" max="25" width="12.1796875" style="209" hidden="1" customWidth="1"/>
    <col min="26" max="28" width="11.54296875" style="209" hidden="1" customWidth="1"/>
    <col min="29" max="29" width="12.453125" style="207" hidden="1" customWidth="1"/>
    <col min="30" max="30" width="13.453125" style="208" hidden="1" customWidth="1"/>
    <col min="31" max="31" width="16.54296875" style="209" hidden="1" customWidth="1"/>
    <col min="32" max="32" width="17.453125" style="209" hidden="1" customWidth="1"/>
    <col min="33" max="36" width="14.54296875" style="209" hidden="1" customWidth="1"/>
    <col min="37" max="47" width="8.81640625" style="209" customWidth="1"/>
    <col min="48" max="48" width="10.453125" style="209" customWidth="1"/>
    <col min="49" max="260" width="8.81640625" style="209"/>
    <col min="261" max="261" width="90.453125" style="209" customWidth="1"/>
    <col min="262" max="282" width="11.54296875" style="209" customWidth="1"/>
    <col min="283" max="283" width="13.54296875" style="209" customWidth="1"/>
    <col min="284" max="284" width="11.54296875" style="209" customWidth="1"/>
    <col min="285" max="285" width="12.1796875" style="209" customWidth="1"/>
    <col min="286" max="288" width="11.54296875" style="209" customWidth="1"/>
    <col min="289" max="289" width="12.453125" style="209" customWidth="1"/>
    <col min="290" max="290" width="13.453125" style="209" customWidth="1"/>
    <col min="291" max="291" width="16.54296875" style="209" customWidth="1"/>
    <col min="292" max="292" width="17.453125" style="209" customWidth="1"/>
    <col min="293" max="296" width="14.54296875" style="209" customWidth="1"/>
    <col min="297" max="297" width="20" style="209" bestFit="1" customWidth="1"/>
    <col min="298" max="298" width="20.81640625" style="209" customWidth="1"/>
    <col min="299" max="299" width="99" style="209" bestFit="1" customWidth="1"/>
    <col min="300" max="300" width="25.81640625" style="209" bestFit="1" customWidth="1"/>
    <col min="301" max="516" width="8.81640625" style="209"/>
    <col min="517" max="517" width="90.453125" style="209" customWidth="1"/>
    <col min="518" max="538" width="11.54296875" style="209" customWidth="1"/>
    <col min="539" max="539" width="13.54296875" style="209" customWidth="1"/>
    <col min="540" max="540" width="11.54296875" style="209" customWidth="1"/>
    <col min="541" max="541" width="12.1796875" style="209" customWidth="1"/>
    <col min="542" max="544" width="11.54296875" style="209" customWidth="1"/>
    <col min="545" max="545" width="12.453125" style="209" customWidth="1"/>
    <col min="546" max="546" width="13.453125" style="209" customWidth="1"/>
    <col min="547" max="547" width="16.54296875" style="209" customWidth="1"/>
    <col min="548" max="548" width="17.453125" style="209" customWidth="1"/>
    <col min="549" max="552" width="14.54296875" style="209" customWidth="1"/>
    <col min="553" max="553" width="20" style="209" bestFit="1" customWidth="1"/>
    <col min="554" max="554" width="20.81640625" style="209" customWidth="1"/>
    <col min="555" max="555" width="99" style="209" bestFit="1" customWidth="1"/>
    <col min="556" max="556" width="25.81640625" style="209" bestFit="1" customWidth="1"/>
    <col min="557" max="772" width="8.81640625" style="209"/>
    <col min="773" max="773" width="90.453125" style="209" customWidth="1"/>
    <col min="774" max="794" width="11.54296875" style="209" customWidth="1"/>
    <col min="795" max="795" width="13.54296875" style="209" customWidth="1"/>
    <col min="796" max="796" width="11.54296875" style="209" customWidth="1"/>
    <col min="797" max="797" width="12.1796875" style="209" customWidth="1"/>
    <col min="798" max="800" width="11.54296875" style="209" customWidth="1"/>
    <col min="801" max="801" width="12.453125" style="209" customWidth="1"/>
    <col min="802" max="802" width="13.453125" style="209" customWidth="1"/>
    <col min="803" max="803" width="16.54296875" style="209" customWidth="1"/>
    <col min="804" max="804" width="17.453125" style="209" customWidth="1"/>
    <col min="805" max="808" width="14.54296875" style="209" customWidth="1"/>
    <col min="809" max="809" width="20" style="209" bestFit="1" customWidth="1"/>
    <col min="810" max="810" width="20.81640625" style="209" customWidth="1"/>
    <col min="811" max="811" width="99" style="209" bestFit="1" customWidth="1"/>
    <col min="812" max="812" width="25.81640625" style="209" bestFit="1" customWidth="1"/>
    <col min="813" max="1028" width="8.81640625" style="209"/>
    <col min="1029" max="1029" width="90.453125" style="209" customWidth="1"/>
    <col min="1030" max="1050" width="11.54296875" style="209" customWidth="1"/>
    <col min="1051" max="1051" width="13.54296875" style="209" customWidth="1"/>
    <col min="1052" max="1052" width="11.54296875" style="209" customWidth="1"/>
    <col min="1053" max="1053" width="12.1796875" style="209" customWidth="1"/>
    <col min="1054" max="1056" width="11.54296875" style="209" customWidth="1"/>
    <col min="1057" max="1057" width="12.453125" style="209" customWidth="1"/>
    <col min="1058" max="1058" width="13.453125" style="209" customWidth="1"/>
    <col min="1059" max="1059" width="16.54296875" style="209" customWidth="1"/>
    <col min="1060" max="1060" width="17.453125" style="209" customWidth="1"/>
    <col min="1061" max="1064" width="14.54296875" style="209" customWidth="1"/>
    <col min="1065" max="1065" width="20" style="209" bestFit="1" customWidth="1"/>
    <col min="1066" max="1066" width="20.81640625" style="209" customWidth="1"/>
    <col min="1067" max="1067" width="99" style="209" bestFit="1" customWidth="1"/>
    <col min="1068" max="1068" width="25.81640625" style="209" bestFit="1" customWidth="1"/>
    <col min="1069" max="1284" width="8.81640625" style="209"/>
    <col min="1285" max="1285" width="90.453125" style="209" customWidth="1"/>
    <col min="1286" max="1306" width="11.54296875" style="209" customWidth="1"/>
    <col min="1307" max="1307" width="13.54296875" style="209" customWidth="1"/>
    <col min="1308" max="1308" width="11.54296875" style="209" customWidth="1"/>
    <col min="1309" max="1309" width="12.1796875" style="209" customWidth="1"/>
    <col min="1310" max="1312" width="11.54296875" style="209" customWidth="1"/>
    <col min="1313" max="1313" width="12.453125" style="209" customWidth="1"/>
    <col min="1314" max="1314" width="13.453125" style="209" customWidth="1"/>
    <col min="1315" max="1315" width="16.54296875" style="209" customWidth="1"/>
    <col min="1316" max="1316" width="17.453125" style="209" customWidth="1"/>
    <col min="1317" max="1320" width="14.54296875" style="209" customWidth="1"/>
    <col min="1321" max="1321" width="20" style="209" bestFit="1" customWidth="1"/>
    <col min="1322" max="1322" width="20.81640625" style="209" customWidth="1"/>
    <col min="1323" max="1323" width="99" style="209" bestFit="1" customWidth="1"/>
    <col min="1324" max="1324" width="25.81640625" style="209" bestFit="1" customWidth="1"/>
    <col min="1325" max="1540" width="8.81640625" style="209"/>
    <col min="1541" max="1541" width="90.453125" style="209" customWidth="1"/>
    <col min="1542" max="1562" width="11.54296875" style="209" customWidth="1"/>
    <col min="1563" max="1563" width="13.54296875" style="209" customWidth="1"/>
    <col min="1564" max="1564" width="11.54296875" style="209" customWidth="1"/>
    <col min="1565" max="1565" width="12.1796875" style="209" customWidth="1"/>
    <col min="1566" max="1568" width="11.54296875" style="209" customWidth="1"/>
    <col min="1569" max="1569" width="12.453125" style="209" customWidth="1"/>
    <col min="1570" max="1570" width="13.453125" style="209" customWidth="1"/>
    <col min="1571" max="1571" width="16.54296875" style="209" customWidth="1"/>
    <col min="1572" max="1572" width="17.453125" style="209" customWidth="1"/>
    <col min="1573" max="1576" width="14.54296875" style="209" customWidth="1"/>
    <col min="1577" max="1577" width="20" style="209" bestFit="1" customWidth="1"/>
    <col min="1578" max="1578" width="20.81640625" style="209" customWidth="1"/>
    <col min="1579" max="1579" width="99" style="209" bestFit="1" customWidth="1"/>
    <col min="1580" max="1580" width="25.81640625" style="209" bestFit="1" customWidth="1"/>
    <col min="1581" max="1796" width="8.81640625" style="209"/>
    <col min="1797" max="1797" width="90.453125" style="209" customWidth="1"/>
    <col min="1798" max="1818" width="11.54296875" style="209" customWidth="1"/>
    <col min="1819" max="1819" width="13.54296875" style="209" customWidth="1"/>
    <col min="1820" max="1820" width="11.54296875" style="209" customWidth="1"/>
    <col min="1821" max="1821" width="12.1796875" style="209" customWidth="1"/>
    <col min="1822" max="1824" width="11.54296875" style="209" customWidth="1"/>
    <col min="1825" max="1825" width="12.453125" style="209" customWidth="1"/>
    <col min="1826" max="1826" width="13.453125" style="209" customWidth="1"/>
    <col min="1827" max="1827" width="16.54296875" style="209" customWidth="1"/>
    <col min="1828" max="1828" width="17.453125" style="209" customWidth="1"/>
    <col min="1829" max="1832" width="14.54296875" style="209" customWidth="1"/>
    <col min="1833" max="1833" width="20" style="209" bestFit="1" customWidth="1"/>
    <col min="1834" max="1834" width="20.81640625" style="209" customWidth="1"/>
    <col min="1835" max="1835" width="99" style="209" bestFit="1" customWidth="1"/>
    <col min="1836" max="1836" width="25.81640625" style="209" bestFit="1" customWidth="1"/>
    <col min="1837" max="2052" width="8.81640625" style="209"/>
    <col min="2053" max="2053" width="90.453125" style="209" customWidth="1"/>
    <col min="2054" max="2074" width="11.54296875" style="209" customWidth="1"/>
    <col min="2075" max="2075" width="13.54296875" style="209" customWidth="1"/>
    <col min="2076" max="2076" width="11.54296875" style="209" customWidth="1"/>
    <col min="2077" max="2077" width="12.1796875" style="209" customWidth="1"/>
    <col min="2078" max="2080" width="11.54296875" style="209" customWidth="1"/>
    <col min="2081" max="2081" width="12.453125" style="209" customWidth="1"/>
    <col min="2082" max="2082" width="13.453125" style="209" customWidth="1"/>
    <col min="2083" max="2083" width="16.54296875" style="209" customWidth="1"/>
    <col min="2084" max="2084" width="17.453125" style="209" customWidth="1"/>
    <col min="2085" max="2088" width="14.54296875" style="209" customWidth="1"/>
    <col min="2089" max="2089" width="20" style="209" bestFit="1" customWidth="1"/>
    <col min="2090" max="2090" width="20.81640625" style="209" customWidth="1"/>
    <col min="2091" max="2091" width="99" style="209" bestFit="1" customWidth="1"/>
    <col min="2092" max="2092" width="25.81640625" style="209" bestFit="1" customWidth="1"/>
    <col min="2093" max="2308" width="8.81640625" style="209"/>
    <col min="2309" max="2309" width="90.453125" style="209" customWidth="1"/>
    <col min="2310" max="2330" width="11.54296875" style="209" customWidth="1"/>
    <col min="2331" max="2331" width="13.54296875" style="209" customWidth="1"/>
    <col min="2332" max="2332" width="11.54296875" style="209" customWidth="1"/>
    <col min="2333" max="2333" width="12.1796875" style="209" customWidth="1"/>
    <col min="2334" max="2336" width="11.54296875" style="209" customWidth="1"/>
    <col min="2337" max="2337" width="12.453125" style="209" customWidth="1"/>
    <col min="2338" max="2338" width="13.453125" style="209" customWidth="1"/>
    <col min="2339" max="2339" width="16.54296875" style="209" customWidth="1"/>
    <col min="2340" max="2340" width="17.453125" style="209" customWidth="1"/>
    <col min="2341" max="2344" width="14.54296875" style="209" customWidth="1"/>
    <col min="2345" max="2345" width="20" style="209" bestFit="1" customWidth="1"/>
    <col min="2346" max="2346" width="20.81640625" style="209" customWidth="1"/>
    <col min="2347" max="2347" width="99" style="209" bestFit="1" customWidth="1"/>
    <col min="2348" max="2348" width="25.81640625" style="209" bestFit="1" customWidth="1"/>
    <col min="2349" max="2564" width="8.81640625" style="209"/>
    <col min="2565" max="2565" width="90.453125" style="209" customWidth="1"/>
    <col min="2566" max="2586" width="11.54296875" style="209" customWidth="1"/>
    <col min="2587" max="2587" width="13.54296875" style="209" customWidth="1"/>
    <col min="2588" max="2588" width="11.54296875" style="209" customWidth="1"/>
    <col min="2589" max="2589" width="12.1796875" style="209" customWidth="1"/>
    <col min="2590" max="2592" width="11.54296875" style="209" customWidth="1"/>
    <col min="2593" max="2593" width="12.453125" style="209" customWidth="1"/>
    <col min="2594" max="2594" width="13.453125" style="209" customWidth="1"/>
    <col min="2595" max="2595" width="16.54296875" style="209" customWidth="1"/>
    <col min="2596" max="2596" width="17.453125" style="209" customWidth="1"/>
    <col min="2597" max="2600" width="14.54296875" style="209" customWidth="1"/>
    <col min="2601" max="2601" width="20" style="209" bestFit="1" customWidth="1"/>
    <col min="2602" max="2602" width="20.81640625" style="209" customWidth="1"/>
    <col min="2603" max="2603" width="99" style="209" bestFit="1" customWidth="1"/>
    <col min="2604" max="2604" width="25.81640625" style="209" bestFit="1" customWidth="1"/>
    <col min="2605" max="2820" width="8.81640625" style="209"/>
    <col min="2821" max="2821" width="90.453125" style="209" customWidth="1"/>
    <col min="2822" max="2842" width="11.54296875" style="209" customWidth="1"/>
    <col min="2843" max="2843" width="13.54296875" style="209" customWidth="1"/>
    <col min="2844" max="2844" width="11.54296875" style="209" customWidth="1"/>
    <col min="2845" max="2845" width="12.1796875" style="209" customWidth="1"/>
    <col min="2846" max="2848" width="11.54296875" style="209" customWidth="1"/>
    <col min="2849" max="2849" width="12.453125" style="209" customWidth="1"/>
    <col min="2850" max="2850" width="13.453125" style="209" customWidth="1"/>
    <col min="2851" max="2851" width="16.54296875" style="209" customWidth="1"/>
    <col min="2852" max="2852" width="17.453125" style="209" customWidth="1"/>
    <col min="2853" max="2856" width="14.54296875" style="209" customWidth="1"/>
    <col min="2857" max="2857" width="20" style="209" bestFit="1" customWidth="1"/>
    <col min="2858" max="2858" width="20.81640625" style="209" customWidth="1"/>
    <col min="2859" max="2859" width="99" style="209" bestFit="1" customWidth="1"/>
    <col min="2860" max="2860" width="25.81640625" style="209" bestFit="1" customWidth="1"/>
    <col min="2861" max="3076" width="8.81640625" style="209"/>
    <col min="3077" max="3077" width="90.453125" style="209" customWidth="1"/>
    <col min="3078" max="3098" width="11.54296875" style="209" customWidth="1"/>
    <col min="3099" max="3099" width="13.54296875" style="209" customWidth="1"/>
    <col min="3100" max="3100" width="11.54296875" style="209" customWidth="1"/>
    <col min="3101" max="3101" width="12.1796875" style="209" customWidth="1"/>
    <col min="3102" max="3104" width="11.54296875" style="209" customWidth="1"/>
    <col min="3105" max="3105" width="12.453125" style="209" customWidth="1"/>
    <col min="3106" max="3106" width="13.453125" style="209" customWidth="1"/>
    <col min="3107" max="3107" width="16.54296875" style="209" customWidth="1"/>
    <col min="3108" max="3108" width="17.453125" style="209" customWidth="1"/>
    <col min="3109" max="3112" width="14.54296875" style="209" customWidth="1"/>
    <col min="3113" max="3113" width="20" style="209" bestFit="1" customWidth="1"/>
    <col min="3114" max="3114" width="20.81640625" style="209" customWidth="1"/>
    <col min="3115" max="3115" width="99" style="209" bestFit="1" customWidth="1"/>
    <col min="3116" max="3116" width="25.81640625" style="209" bestFit="1" customWidth="1"/>
    <col min="3117" max="3332" width="8.81640625" style="209"/>
    <col min="3333" max="3333" width="90.453125" style="209" customWidth="1"/>
    <col min="3334" max="3354" width="11.54296875" style="209" customWidth="1"/>
    <col min="3355" max="3355" width="13.54296875" style="209" customWidth="1"/>
    <col min="3356" max="3356" width="11.54296875" style="209" customWidth="1"/>
    <col min="3357" max="3357" width="12.1796875" style="209" customWidth="1"/>
    <col min="3358" max="3360" width="11.54296875" style="209" customWidth="1"/>
    <col min="3361" max="3361" width="12.453125" style="209" customWidth="1"/>
    <col min="3362" max="3362" width="13.453125" style="209" customWidth="1"/>
    <col min="3363" max="3363" width="16.54296875" style="209" customWidth="1"/>
    <col min="3364" max="3364" width="17.453125" style="209" customWidth="1"/>
    <col min="3365" max="3368" width="14.54296875" style="209" customWidth="1"/>
    <col min="3369" max="3369" width="20" style="209" bestFit="1" customWidth="1"/>
    <col min="3370" max="3370" width="20.81640625" style="209" customWidth="1"/>
    <col min="3371" max="3371" width="99" style="209" bestFit="1" customWidth="1"/>
    <col min="3372" max="3372" width="25.81640625" style="209" bestFit="1" customWidth="1"/>
    <col min="3373" max="3588" width="8.81640625" style="209"/>
    <col min="3589" max="3589" width="90.453125" style="209" customWidth="1"/>
    <col min="3590" max="3610" width="11.54296875" style="209" customWidth="1"/>
    <col min="3611" max="3611" width="13.54296875" style="209" customWidth="1"/>
    <col min="3612" max="3612" width="11.54296875" style="209" customWidth="1"/>
    <col min="3613" max="3613" width="12.1796875" style="209" customWidth="1"/>
    <col min="3614" max="3616" width="11.54296875" style="209" customWidth="1"/>
    <col min="3617" max="3617" width="12.453125" style="209" customWidth="1"/>
    <col min="3618" max="3618" width="13.453125" style="209" customWidth="1"/>
    <col min="3619" max="3619" width="16.54296875" style="209" customWidth="1"/>
    <col min="3620" max="3620" width="17.453125" style="209" customWidth="1"/>
    <col min="3621" max="3624" width="14.54296875" style="209" customWidth="1"/>
    <col min="3625" max="3625" width="20" style="209" bestFit="1" customWidth="1"/>
    <col min="3626" max="3626" width="20.81640625" style="209" customWidth="1"/>
    <col min="3627" max="3627" width="99" style="209" bestFit="1" customWidth="1"/>
    <col min="3628" max="3628" width="25.81640625" style="209" bestFit="1" customWidth="1"/>
    <col min="3629" max="3844" width="8.81640625" style="209"/>
    <col min="3845" max="3845" width="90.453125" style="209" customWidth="1"/>
    <col min="3846" max="3866" width="11.54296875" style="209" customWidth="1"/>
    <col min="3867" max="3867" width="13.54296875" style="209" customWidth="1"/>
    <col min="3868" max="3868" width="11.54296875" style="209" customWidth="1"/>
    <col min="3869" max="3869" width="12.1796875" style="209" customWidth="1"/>
    <col min="3870" max="3872" width="11.54296875" style="209" customWidth="1"/>
    <col min="3873" max="3873" width="12.453125" style="209" customWidth="1"/>
    <col min="3874" max="3874" width="13.453125" style="209" customWidth="1"/>
    <col min="3875" max="3875" width="16.54296875" style="209" customWidth="1"/>
    <col min="3876" max="3876" width="17.453125" style="209" customWidth="1"/>
    <col min="3877" max="3880" width="14.54296875" style="209" customWidth="1"/>
    <col min="3881" max="3881" width="20" style="209" bestFit="1" customWidth="1"/>
    <col min="3882" max="3882" width="20.81640625" style="209" customWidth="1"/>
    <col min="3883" max="3883" width="99" style="209" bestFit="1" customWidth="1"/>
    <col min="3884" max="3884" width="25.81640625" style="209" bestFit="1" customWidth="1"/>
    <col min="3885" max="4100" width="8.81640625" style="209"/>
    <col min="4101" max="4101" width="90.453125" style="209" customWidth="1"/>
    <col min="4102" max="4122" width="11.54296875" style="209" customWidth="1"/>
    <col min="4123" max="4123" width="13.54296875" style="209" customWidth="1"/>
    <col min="4124" max="4124" width="11.54296875" style="209" customWidth="1"/>
    <col min="4125" max="4125" width="12.1796875" style="209" customWidth="1"/>
    <col min="4126" max="4128" width="11.54296875" style="209" customWidth="1"/>
    <col min="4129" max="4129" width="12.453125" style="209" customWidth="1"/>
    <col min="4130" max="4130" width="13.453125" style="209" customWidth="1"/>
    <col min="4131" max="4131" width="16.54296875" style="209" customWidth="1"/>
    <col min="4132" max="4132" width="17.453125" style="209" customWidth="1"/>
    <col min="4133" max="4136" width="14.54296875" style="209" customWidth="1"/>
    <col min="4137" max="4137" width="20" style="209" bestFit="1" customWidth="1"/>
    <col min="4138" max="4138" width="20.81640625" style="209" customWidth="1"/>
    <col min="4139" max="4139" width="99" style="209" bestFit="1" customWidth="1"/>
    <col min="4140" max="4140" width="25.81640625" style="209" bestFit="1" customWidth="1"/>
    <col min="4141" max="4356" width="8.81640625" style="209"/>
    <col min="4357" max="4357" width="90.453125" style="209" customWidth="1"/>
    <col min="4358" max="4378" width="11.54296875" style="209" customWidth="1"/>
    <col min="4379" max="4379" width="13.54296875" style="209" customWidth="1"/>
    <col min="4380" max="4380" width="11.54296875" style="209" customWidth="1"/>
    <col min="4381" max="4381" width="12.1796875" style="209" customWidth="1"/>
    <col min="4382" max="4384" width="11.54296875" style="209" customWidth="1"/>
    <col min="4385" max="4385" width="12.453125" style="209" customWidth="1"/>
    <col min="4386" max="4386" width="13.453125" style="209" customWidth="1"/>
    <col min="4387" max="4387" width="16.54296875" style="209" customWidth="1"/>
    <col min="4388" max="4388" width="17.453125" style="209" customWidth="1"/>
    <col min="4389" max="4392" width="14.54296875" style="209" customWidth="1"/>
    <col min="4393" max="4393" width="20" style="209" bestFit="1" customWidth="1"/>
    <col min="4394" max="4394" width="20.81640625" style="209" customWidth="1"/>
    <col min="4395" max="4395" width="99" style="209" bestFit="1" customWidth="1"/>
    <col min="4396" max="4396" width="25.81640625" style="209" bestFit="1" customWidth="1"/>
    <col min="4397" max="4612" width="8.81640625" style="209"/>
    <col min="4613" max="4613" width="90.453125" style="209" customWidth="1"/>
    <col min="4614" max="4634" width="11.54296875" style="209" customWidth="1"/>
    <col min="4635" max="4635" width="13.54296875" style="209" customWidth="1"/>
    <col min="4636" max="4636" width="11.54296875" style="209" customWidth="1"/>
    <col min="4637" max="4637" width="12.1796875" style="209" customWidth="1"/>
    <col min="4638" max="4640" width="11.54296875" style="209" customWidth="1"/>
    <col min="4641" max="4641" width="12.453125" style="209" customWidth="1"/>
    <col min="4642" max="4642" width="13.453125" style="209" customWidth="1"/>
    <col min="4643" max="4643" width="16.54296875" style="209" customWidth="1"/>
    <col min="4644" max="4644" width="17.453125" style="209" customWidth="1"/>
    <col min="4645" max="4648" width="14.54296875" style="209" customWidth="1"/>
    <col min="4649" max="4649" width="20" style="209" bestFit="1" customWidth="1"/>
    <col min="4650" max="4650" width="20.81640625" style="209" customWidth="1"/>
    <col min="4651" max="4651" width="99" style="209" bestFit="1" customWidth="1"/>
    <col min="4652" max="4652" width="25.81640625" style="209" bestFit="1" customWidth="1"/>
    <col min="4653" max="4868" width="8.81640625" style="209"/>
    <col min="4869" max="4869" width="90.453125" style="209" customWidth="1"/>
    <col min="4870" max="4890" width="11.54296875" style="209" customWidth="1"/>
    <col min="4891" max="4891" width="13.54296875" style="209" customWidth="1"/>
    <col min="4892" max="4892" width="11.54296875" style="209" customWidth="1"/>
    <col min="4893" max="4893" width="12.1796875" style="209" customWidth="1"/>
    <col min="4894" max="4896" width="11.54296875" style="209" customWidth="1"/>
    <col min="4897" max="4897" width="12.453125" style="209" customWidth="1"/>
    <col min="4898" max="4898" width="13.453125" style="209" customWidth="1"/>
    <col min="4899" max="4899" width="16.54296875" style="209" customWidth="1"/>
    <col min="4900" max="4900" width="17.453125" style="209" customWidth="1"/>
    <col min="4901" max="4904" width="14.54296875" style="209" customWidth="1"/>
    <col min="4905" max="4905" width="20" style="209" bestFit="1" customWidth="1"/>
    <col min="4906" max="4906" width="20.81640625" style="209" customWidth="1"/>
    <col min="4907" max="4907" width="99" style="209" bestFit="1" customWidth="1"/>
    <col min="4908" max="4908" width="25.81640625" style="209" bestFit="1" customWidth="1"/>
    <col min="4909" max="5124" width="8.81640625" style="209"/>
    <col min="5125" max="5125" width="90.453125" style="209" customWidth="1"/>
    <col min="5126" max="5146" width="11.54296875" style="209" customWidth="1"/>
    <col min="5147" max="5147" width="13.54296875" style="209" customWidth="1"/>
    <col min="5148" max="5148" width="11.54296875" style="209" customWidth="1"/>
    <col min="5149" max="5149" width="12.1796875" style="209" customWidth="1"/>
    <col min="5150" max="5152" width="11.54296875" style="209" customWidth="1"/>
    <col min="5153" max="5153" width="12.453125" style="209" customWidth="1"/>
    <col min="5154" max="5154" width="13.453125" style="209" customWidth="1"/>
    <col min="5155" max="5155" width="16.54296875" style="209" customWidth="1"/>
    <col min="5156" max="5156" width="17.453125" style="209" customWidth="1"/>
    <col min="5157" max="5160" width="14.54296875" style="209" customWidth="1"/>
    <col min="5161" max="5161" width="20" style="209" bestFit="1" customWidth="1"/>
    <col min="5162" max="5162" width="20.81640625" style="209" customWidth="1"/>
    <col min="5163" max="5163" width="99" style="209" bestFit="1" customWidth="1"/>
    <col min="5164" max="5164" width="25.81640625" style="209" bestFit="1" customWidth="1"/>
    <col min="5165" max="5380" width="8.81640625" style="209"/>
    <col min="5381" max="5381" width="90.453125" style="209" customWidth="1"/>
    <col min="5382" max="5402" width="11.54296875" style="209" customWidth="1"/>
    <col min="5403" max="5403" width="13.54296875" style="209" customWidth="1"/>
    <col min="5404" max="5404" width="11.54296875" style="209" customWidth="1"/>
    <col min="5405" max="5405" width="12.1796875" style="209" customWidth="1"/>
    <col min="5406" max="5408" width="11.54296875" style="209" customWidth="1"/>
    <col min="5409" max="5409" width="12.453125" style="209" customWidth="1"/>
    <col min="5410" max="5410" width="13.453125" style="209" customWidth="1"/>
    <col min="5411" max="5411" width="16.54296875" style="209" customWidth="1"/>
    <col min="5412" max="5412" width="17.453125" style="209" customWidth="1"/>
    <col min="5413" max="5416" width="14.54296875" style="209" customWidth="1"/>
    <col min="5417" max="5417" width="20" style="209" bestFit="1" customWidth="1"/>
    <col min="5418" max="5418" width="20.81640625" style="209" customWidth="1"/>
    <col min="5419" max="5419" width="99" style="209" bestFit="1" customWidth="1"/>
    <col min="5420" max="5420" width="25.81640625" style="209" bestFit="1" customWidth="1"/>
    <col min="5421" max="5636" width="8.81640625" style="209"/>
    <col min="5637" max="5637" width="90.453125" style="209" customWidth="1"/>
    <col min="5638" max="5658" width="11.54296875" style="209" customWidth="1"/>
    <col min="5659" max="5659" width="13.54296875" style="209" customWidth="1"/>
    <col min="5660" max="5660" width="11.54296875" style="209" customWidth="1"/>
    <col min="5661" max="5661" width="12.1796875" style="209" customWidth="1"/>
    <col min="5662" max="5664" width="11.54296875" style="209" customWidth="1"/>
    <col min="5665" max="5665" width="12.453125" style="209" customWidth="1"/>
    <col min="5666" max="5666" width="13.453125" style="209" customWidth="1"/>
    <col min="5667" max="5667" width="16.54296875" style="209" customWidth="1"/>
    <col min="5668" max="5668" width="17.453125" style="209" customWidth="1"/>
    <col min="5669" max="5672" width="14.54296875" style="209" customWidth="1"/>
    <col min="5673" max="5673" width="20" style="209" bestFit="1" customWidth="1"/>
    <col min="5674" max="5674" width="20.81640625" style="209" customWidth="1"/>
    <col min="5675" max="5675" width="99" style="209" bestFit="1" customWidth="1"/>
    <col min="5676" max="5676" width="25.81640625" style="209" bestFit="1" customWidth="1"/>
    <col min="5677" max="5892" width="8.81640625" style="209"/>
    <col min="5893" max="5893" width="90.453125" style="209" customWidth="1"/>
    <col min="5894" max="5914" width="11.54296875" style="209" customWidth="1"/>
    <col min="5915" max="5915" width="13.54296875" style="209" customWidth="1"/>
    <col min="5916" max="5916" width="11.54296875" style="209" customWidth="1"/>
    <col min="5917" max="5917" width="12.1796875" style="209" customWidth="1"/>
    <col min="5918" max="5920" width="11.54296875" style="209" customWidth="1"/>
    <col min="5921" max="5921" width="12.453125" style="209" customWidth="1"/>
    <col min="5922" max="5922" width="13.453125" style="209" customWidth="1"/>
    <col min="5923" max="5923" width="16.54296875" style="209" customWidth="1"/>
    <col min="5924" max="5924" width="17.453125" style="209" customWidth="1"/>
    <col min="5925" max="5928" width="14.54296875" style="209" customWidth="1"/>
    <col min="5929" max="5929" width="20" style="209" bestFit="1" customWidth="1"/>
    <col min="5930" max="5930" width="20.81640625" style="209" customWidth="1"/>
    <col min="5931" max="5931" width="99" style="209" bestFit="1" customWidth="1"/>
    <col min="5932" max="5932" width="25.81640625" style="209" bestFit="1" customWidth="1"/>
    <col min="5933" max="6148" width="8.81640625" style="209"/>
    <col min="6149" max="6149" width="90.453125" style="209" customWidth="1"/>
    <col min="6150" max="6170" width="11.54296875" style="209" customWidth="1"/>
    <col min="6171" max="6171" width="13.54296875" style="209" customWidth="1"/>
    <col min="6172" max="6172" width="11.54296875" style="209" customWidth="1"/>
    <col min="6173" max="6173" width="12.1796875" style="209" customWidth="1"/>
    <col min="6174" max="6176" width="11.54296875" style="209" customWidth="1"/>
    <col min="6177" max="6177" width="12.453125" style="209" customWidth="1"/>
    <col min="6178" max="6178" width="13.453125" style="209" customWidth="1"/>
    <col min="6179" max="6179" width="16.54296875" style="209" customWidth="1"/>
    <col min="6180" max="6180" width="17.453125" style="209" customWidth="1"/>
    <col min="6181" max="6184" width="14.54296875" style="209" customWidth="1"/>
    <col min="6185" max="6185" width="20" style="209" bestFit="1" customWidth="1"/>
    <col min="6186" max="6186" width="20.81640625" style="209" customWidth="1"/>
    <col min="6187" max="6187" width="99" style="209" bestFit="1" customWidth="1"/>
    <col min="6188" max="6188" width="25.81640625" style="209" bestFit="1" customWidth="1"/>
    <col min="6189" max="6404" width="8.81640625" style="209"/>
    <col min="6405" max="6405" width="90.453125" style="209" customWidth="1"/>
    <col min="6406" max="6426" width="11.54296875" style="209" customWidth="1"/>
    <col min="6427" max="6427" width="13.54296875" style="209" customWidth="1"/>
    <col min="6428" max="6428" width="11.54296875" style="209" customWidth="1"/>
    <col min="6429" max="6429" width="12.1796875" style="209" customWidth="1"/>
    <col min="6430" max="6432" width="11.54296875" style="209" customWidth="1"/>
    <col min="6433" max="6433" width="12.453125" style="209" customWidth="1"/>
    <col min="6434" max="6434" width="13.453125" style="209" customWidth="1"/>
    <col min="6435" max="6435" width="16.54296875" style="209" customWidth="1"/>
    <col min="6436" max="6436" width="17.453125" style="209" customWidth="1"/>
    <col min="6437" max="6440" width="14.54296875" style="209" customWidth="1"/>
    <col min="6441" max="6441" width="20" style="209" bestFit="1" customWidth="1"/>
    <col min="6442" max="6442" width="20.81640625" style="209" customWidth="1"/>
    <col min="6443" max="6443" width="99" style="209" bestFit="1" customWidth="1"/>
    <col min="6444" max="6444" width="25.81640625" style="209" bestFit="1" customWidth="1"/>
    <col min="6445" max="6660" width="8.81640625" style="209"/>
    <col min="6661" max="6661" width="90.453125" style="209" customWidth="1"/>
    <col min="6662" max="6682" width="11.54296875" style="209" customWidth="1"/>
    <col min="6683" max="6683" width="13.54296875" style="209" customWidth="1"/>
    <col min="6684" max="6684" width="11.54296875" style="209" customWidth="1"/>
    <col min="6685" max="6685" width="12.1796875" style="209" customWidth="1"/>
    <col min="6686" max="6688" width="11.54296875" style="209" customWidth="1"/>
    <col min="6689" max="6689" width="12.453125" style="209" customWidth="1"/>
    <col min="6690" max="6690" width="13.453125" style="209" customWidth="1"/>
    <col min="6691" max="6691" width="16.54296875" style="209" customWidth="1"/>
    <col min="6692" max="6692" width="17.453125" style="209" customWidth="1"/>
    <col min="6693" max="6696" width="14.54296875" style="209" customWidth="1"/>
    <col min="6697" max="6697" width="20" style="209" bestFit="1" customWidth="1"/>
    <col min="6698" max="6698" width="20.81640625" style="209" customWidth="1"/>
    <col min="6699" max="6699" width="99" style="209" bestFit="1" customWidth="1"/>
    <col min="6700" max="6700" width="25.81640625" style="209" bestFit="1" customWidth="1"/>
    <col min="6701" max="6916" width="8.81640625" style="209"/>
    <col min="6917" max="6917" width="90.453125" style="209" customWidth="1"/>
    <col min="6918" max="6938" width="11.54296875" style="209" customWidth="1"/>
    <col min="6939" max="6939" width="13.54296875" style="209" customWidth="1"/>
    <col min="6940" max="6940" width="11.54296875" style="209" customWidth="1"/>
    <col min="6941" max="6941" width="12.1796875" style="209" customWidth="1"/>
    <col min="6942" max="6944" width="11.54296875" style="209" customWidth="1"/>
    <col min="6945" max="6945" width="12.453125" style="209" customWidth="1"/>
    <col min="6946" max="6946" width="13.453125" style="209" customWidth="1"/>
    <col min="6947" max="6947" width="16.54296875" style="209" customWidth="1"/>
    <col min="6948" max="6948" width="17.453125" style="209" customWidth="1"/>
    <col min="6949" max="6952" width="14.54296875" style="209" customWidth="1"/>
    <col min="6953" max="6953" width="20" style="209" bestFit="1" customWidth="1"/>
    <col min="6954" max="6954" width="20.81640625" style="209" customWidth="1"/>
    <col min="6955" max="6955" width="99" style="209" bestFit="1" customWidth="1"/>
    <col min="6956" max="6956" width="25.81640625" style="209" bestFit="1" customWidth="1"/>
    <col min="6957" max="7172" width="8.81640625" style="209"/>
    <col min="7173" max="7173" width="90.453125" style="209" customWidth="1"/>
    <col min="7174" max="7194" width="11.54296875" style="209" customWidth="1"/>
    <col min="7195" max="7195" width="13.54296875" style="209" customWidth="1"/>
    <col min="7196" max="7196" width="11.54296875" style="209" customWidth="1"/>
    <col min="7197" max="7197" width="12.1796875" style="209" customWidth="1"/>
    <col min="7198" max="7200" width="11.54296875" style="209" customWidth="1"/>
    <col min="7201" max="7201" width="12.453125" style="209" customWidth="1"/>
    <col min="7202" max="7202" width="13.453125" style="209" customWidth="1"/>
    <col min="7203" max="7203" width="16.54296875" style="209" customWidth="1"/>
    <col min="7204" max="7204" width="17.453125" style="209" customWidth="1"/>
    <col min="7205" max="7208" width="14.54296875" style="209" customWidth="1"/>
    <col min="7209" max="7209" width="20" style="209" bestFit="1" customWidth="1"/>
    <col min="7210" max="7210" width="20.81640625" style="209" customWidth="1"/>
    <col min="7211" max="7211" width="99" style="209" bestFit="1" customWidth="1"/>
    <col min="7212" max="7212" width="25.81640625" style="209" bestFit="1" customWidth="1"/>
    <col min="7213" max="7428" width="8.81640625" style="209"/>
    <col min="7429" max="7429" width="90.453125" style="209" customWidth="1"/>
    <col min="7430" max="7450" width="11.54296875" style="209" customWidth="1"/>
    <col min="7451" max="7451" width="13.54296875" style="209" customWidth="1"/>
    <col min="7452" max="7452" width="11.54296875" style="209" customWidth="1"/>
    <col min="7453" max="7453" width="12.1796875" style="209" customWidth="1"/>
    <col min="7454" max="7456" width="11.54296875" style="209" customWidth="1"/>
    <col min="7457" max="7457" width="12.453125" style="209" customWidth="1"/>
    <col min="7458" max="7458" width="13.453125" style="209" customWidth="1"/>
    <col min="7459" max="7459" width="16.54296875" style="209" customWidth="1"/>
    <col min="7460" max="7460" width="17.453125" style="209" customWidth="1"/>
    <col min="7461" max="7464" width="14.54296875" style="209" customWidth="1"/>
    <col min="7465" max="7465" width="20" style="209" bestFit="1" customWidth="1"/>
    <col min="7466" max="7466" width="20.81640625" style="209" customWidth="1"/>
    <col min="7467" max="7467" width="99" style="209" bestFit="1" customWidth="1"/>
    <col min="7468" max="7468" width="25.81640625" style="209" bestFit="1" customWidth="1"/>
    <col min="7469" max="7684" width="8.81640625" style="209"/>
    <col min="7685" max="7685" width="90.453125" style="209" customWidth="1"/>
    <col min="7686" max="7706" width="11.54296875" style="209" customWidth="1"/>
    <col min="7707" max="7707" width="13.54296875" style="209" customWidth="1"/>
    <col min="7708" max="7708" width="11.54296875" style="209" customWidth="1"/>
    <col min="7709" max="7709" width="12.1796875" style="209" customWidth="1"/>
    <col min="7710" max="7712" width="11.54296875" style="209" customWidth="1"/>
    <col min="7713" max="7713" width="12.453125" style="209" customWidth="1"/>
    <col min="7714" max="7714" width="13.453125" style="209" customWidth="1"/>
    <col min="7715" max="7715" width="16.54296875" style="209" customWidth="1"/>
    <col min="7716" max="7716" width="17.453125" style="209" customWidth="1"/>
    <col min="7717" max="7720" width="14.54296875" style="209" customWidth="1"/>
    <col min="7721" max="7721" width="20" style="209" bestFit="1" customWidth="1"/>
    <col min="7722" max="7722" width="20.81640625" style="209" customWidth="1"/>
    <col min="7723" max="7723" width="99" style="209" bestFit="1" customWidth="1"/>
    <col min="7724" max="7724" width="25.81640625" style="209" bestFit="1" customWidth="1"/>
    <col min="7725" max="7940" width="8.81640625" style="209"/>
    <col min="7941" max="7941" width="90.453125" style="209" customWidth="1"/>
    <col min="7942" max="7962" width="11.54296875" style="209" customWidth="1"/>
    <col min="7963" max="7963" width="13.54296875" style="209" customWidth="1"/>
    <col min="7964" max="7964" width="11.54296875" style="209" customWidth="1"/>
    <col min="7965" max="7965" width="12.1796875" style="209" customWidth="1"/>
    <col min="7966" max="7968" width="11.54296875" style="209" customWidth="1"/>
    <col min="7969" max="7969" width="12.453125" style="209" customWidth="1"/>
    <col min="7970" max="7970" width="13.453125" style="209" customWidth="1"/>
    <col min="7971" max="7971" width="16.54296875" style="209" customWidth="1"/>
    <col min="7972" max="7972" width="17.453125" style="209" customWidth="1"/>
    <col min="7973" max="7976" width="14.54296875" style="209" customWidth="1"/>
    <col min="7977" max="7977" width="20" style="209" bestFit="1" customWidth="1"/>
    <col min="7978" max="7978" width="20.81640625" style="209" customWidth="1"/>
    <col min="7979" max="7979" width="99" style="209" bestFit="1" customWidth="1"/>
    <col min="7980" max="7980" width="25.81640625" style="209" bestFit="1" customWidth="1"/>
    <col min="7981" max="8196" width="8.81640625" style="209"/>
    <col min="8197" max="8197" width="90.453125" style="209" customWidth="1"/>
    <col min="8198" max="8218" width="11.54296875" style="209" customWidth="1"/>
    <col min="8219" max="8219" width="13.54296875" style="209" customWidth="1"/>
    <col min="8220" max="8220" width="11.54296875" style="209" customWidth="1"/>
    <col min="8221" max="8221" width="12.1796875" style="209" customWidth="1"/>
    <col min="8222" max="8224" width="11.54296875" style="209" customWidth="1"/>
    <col min="8225" max="8225" width="12.453125" style="209" customWidth="1"/>
    <col min="8226" max="8226" width="13.453125" style="209" customWidth="1"/>
    <col min="8227" max="8227" width="16.54296875" style="209" customWidth="1"/>
    <col min="8228" max="8228" width="17.453125" style="209" customWidth="1"/>
    <col min="8229" max="8232" width="14.54296875" style="209" customWidth="1"/>
    <col min="8233" max="8233" width="20" style="209" bestFit="1" customWidth="1"/>
    <col min="8234" max="8234" width="20.81640625" style="209" customWidth="1"/>
    <col min="8235" max="8235" width="99" style="209" bestFit="1" customWidth="1"/>
    <col min="8236" max="8236" width="25.81640625" style="209" bestFit="1" customWidth="1"/>
    <col min="8237" max="8452" width="8.81640625" style="209"/>
    <col min="8453" max="8453" width="90.453125" style="209" customWidth="1"/>
    <col min="8454" max="8474" width="11.54296875" style="209" customWidth="1"/>
    <col min="8475" max="8475" width="13.54296875" style="209" customWidth="1"/>
    <col min="8476" max="8476" width="11.54296875" style="209" customWidth="1"/>
    <col min="8477" max="8477" width="12.1796875" style="209" customWidth="1"/>
    <col min="8478" max="8480" width="11.54296875" style="209" customWidth="1"/>
    <col min="8481" max="8481" width="12.453125" style="209" customWidth="1"/>
    <col min="8482" max="8482" width="13.453125" style="209" customWidth="1"/>
    <col min="8483" max="8483" width="16.54296875" style="209" customWidth="1"/>
    <col min="8484" max="8484" width="17.453125" style="209" customWidth="1"/>
    <col min="8485" max="8488" width="14.54296875" style="209" customWidth="1"/>
    <col min="8489" max="8489" width="20" style="209" bestFit="1" customWidth="1"/>
    <col min="8490" max="8490" width="20.81640625" style="209" customWidth="1"/>
    <col min="8491" max="8491" width="99" style="209" bestFit="1" customWidth="1"/>
    <col min="8492" max="8492" width="25.81640625" style="209" bestFit="1" customWidth="1"/>
    <col min="8493" max="8708" width="8.81640625" style="209"/>
    <col min="8709" max="8709" width="90.453125" style="209" customWidth="1"/>
    <col min="8710" max="8730" width="11.54296875" style="209" customWidth="1"/>
    <col min="8731" max="8731" width="13.54296875" style="209" customWidth="1"/>
    <col min="8732" max="8732" width="11.54296875" style="209" customWidth="1"/>
    <col min="8733" max="8733" width="12.1796875" style="209" customWidth="1"/>
    <col min="8734" max="8736" width="11.54296875" style="209" customWidth="1"/>
    <col min="8737" max="8737" width="12.453125" style="209" customWidth="1"/>
    <col min="8738" max="8738" width="13.453125" style="209" customWidth="1"/>
    <col min="8739" max="8739" width="16.54296875" style="209" customWidth="1"/>
    <col min="8740" max="8740" width="17.453125" style="209" customWidth="1"/>
    <col min="8741" max="8744" width="14.54296875" style="209" customWidth="1"/>
    <col min="8745" max="8745" width="20" style="209" bestFit="1" customWidth="1"/>
    <col min="8746" max="8746" width="20.81640625" style="209" customWidth="1"/>
    <col min="8747" max="8747" width="99" style="209" bestFit="1" customWidth="1"/>
    <col min="8748" max="8748" width="25.81640625" style="209" bestFit="1" customWidth="1"/>
    <col min="8749" max="8964" width="8.81640625" style="209"/>
    <col min="8965" max="8965" width="90.453125" style="209" customWidth="1"/>
    <col min="8966" max="8986" width="11.54296875" style="209" customWidth="1"/>
    <col min="8987" max="8987" width="13.54296875" style="209" customWidth="1"/>
    <col min="8988" max="8988" width="11.54296875" style="209" customWidth="1"/>
    <col min="8989" max="8989" width="12.1796875" style="209" customWidth="1"/>
    <col min="8990" max="8992" width="11.54296875" style="209" customWidth="1"/>
    <col min="8993" max="8993" width="12.453125" style="209" customWidth="1"/>
    <col min="8994" max="8994" width="13.453125" style="209" customWidth="1"/>
    <col min="8995" max="8995" width="16.54296875" style="209" customWidth="1"/>
    <col min="8996" max="8996" width="17.453125" style="209" customWidth="1"/>
    <col min="8997" max="9000" width="14.54296875" style="209" customWidth="1"/>
    <col min="9001" max="9001" width="20" style="209" bestFit="1" customWidth="1"/>
    <col min="9002" max="9002" width="20.81640625" style="209" customWidth="1"/>
    <col min="9003" max="9003" width="99" style="209" bestFit="1" customWidth="1"/>
    <col min="9004" max="9004" width="25.81640625" style="209" bestFit="1" customWidth="1"/>
    <col min="9005" max="9220" width="8.81640625" style="209"/>
    <col min="9221" max="9221" width="90.453125" style="209" customWidth="1"/>
    <col min="9222" max="9242" width="11.54296875" style="209" customWidth="1"/>
    <col min="9243" max="9243" width="13.54296875" style="209" customWidth="1"/>
    <col min="9244" max="9244" width="11.54296875" style="209" customWidth="1"/>
    <col min="9245" max="9245" width="12.1796875" style="209" customWidth="1"/>
    <col min="9246" max="9248" width="11.54296875" style="209" customWidth="1"/>
    <col min="9249" max="9249" width="12.453125" style="209" customWidth="1"/>
    <col min="9250" max="9250" width="13.453125" style="209" customWidth="1"/>
    <col min="9251" max="9251" width="16.54296875" style="209" customWidth="1"/>
    <col min="9252" max="9252" width="17.453125" style="209" customWidth="1"/>
    <col min="9253" max="9256" width="14.54296875" style="209" customWidth="1"/>
    <col min="9257" max="9257" width="20" style="209" bestFit="1" customWidth="1"/>
    <col min="9258" max="9258" width="20.81640625" style="209" customWidth="1"/>
    <col min="9259" max="9259" width="99" style="209" bestFit="1" customWidth="1"/>
    <col min="9260" max="9260" width="25.81640625" style="209" bestFit="1" customWidth="1"/>
    <col min="9261" max="9476" width="8.81640625" style="209"/>
    <col min="9477" max="9477" width="90.453125" style="209" customWidth="1"/>
    <col min="9478" max="9498" width="11.54296875" style="209" customWidth="1"/>
    <col min="9499" max="9499" width="13.54296875" style="209" customWidth="1"/>
    <col min="9500" max="9500" width="11.54296875" style="209" customWidth="1"/>
    <col min="9501" max="9501" width="12.1796875" style="209" customWidth="1"/>
    <col min="9502" max="9504" width="11.54296875" style="209" customWidth="1"/>
    <col min="9505" max="9505" width="12.453125" style="209" customWidth="1"/>
    <col min="9506" max="9506" width="13.453125" style="209" customWidth="1"/>
    <col min="9507" max="9507" width="16.54296875" style="209" customWidth="1"/>
    <col min="9508" max="9508" width="17.453125" style="209" customWidth="1"/>
    <col min="9509" max="9512" width="14.54296875" style="209" customWidth="1"/>
    <col min="9513" max="9513" width="20" style="209" bestFit="1" customWidth="1"/>
    <col min="9514" max="9514" width="20.81640625" style="209" customWidth="1"/>
    <col min="9515" max="9515" width="99" style="209" bestFit="1" customWidth="1"/>
    <col min="9516" max="9516" width="25.81640625" style="209" bestFit="1" customWidth="1"/>
    <col min="9517" max="9732" width="8.81640625" style="209"/>
    <col min="9733" max="9733" width="90.453125" style="209" customWidth="1"/>
    <col min="9734" max="9754" width="11.54296875" style="209" customWidth="1"/>
    <col min="9755" max="9755" width="13.54296875" style="209" customWidth="1"/>
    <col min="9756" max="9756" width="11.54296875" style="209" customWidth="1"/>
    <col min="9757" max="9757" width="12.1796875" style="209" customWidth="1"/>
    <col min="9758" max="9760" width="11.54296875" style="209" customWidth="1"/>
    <col min="9761" max="9761" width="12.453125" style="209" customWidth="1"/>
    <col min="9762" max="9762" width="13.453125" style="209" customWidth="1"/>
    <col min="9763" max="9763" width="16.54296875" style="209" customWidth="1"/>
    <col min="9764" max="9764" width="17.453125" style="209" customWidth="1"/>
    <col min="9765" max="9768" width="14.54296875" style="209" customWidth="1"/>
    <col min="9769" max="9769" width="20" style="209" bestFit="1" customWidth="1"/>
    <col min="9770" max="9770" width="20.81640625" style="209" customWidth="1"/>
    <col min="9771" max="9771" width="99" style="209" bestFit="1" customWidth="1"/>
    <col min="9772" max="9772" width="25.81640625" style="209" bestFit="1" customWidth="1"/>
    <col min="9773" max="9988" width="8.81640625" style="209"/>
    <col min="9989" max="9989" width="90.453125" style="209" customWidth="1"/>
    <col min="9990" max="10010" width="11.54296875" style="209" customWidth="1"/>
    <col min="10011" max="10011" width="13.54296875" style="209" customWidth="1"/>
    <col min="10012" max="10012" width="11.54296875" style="209" customWidth="1"/>
    <col min="10013" max="10013" width="12.1796875" style="209" customWidth="1"/>
    <col min="10014" max="10016" width="11.54296875" style="209" customWidth="1"/>
    <col min="10017" max="10017" width="12.453125" style="209" customWidth="1"/>
    <col min="10018" max="10018" width="13.453125" style="209" customWidth="1"/>
    <col min="10019" max="10019" width="16.54296875" style="209" customWidth="1"/>
    <col min="10020" max="10020" width="17.453125" style="209" customWidth="1"/>
    <col min="10021" max="10024" width="14.54296875" style="209" customWidth="1"/>
    <col min="10025" max="10025" width="20" style="209" bestFit="1" customWidth="1"/>
    <col min="10026" max="10026" width="20.81640625" style="209" customWidth="1"/>
    <col min="10027" max="10027" width="99" style="209" bestFit="1" customWidth="1"/>
    <col min="10028" max="10028" width="25.81640625" style="209" bestFit="1" customWidth="1"/>
    <col min="10029" max="10244" width="8.81640625" style="209"/>
    <col min="10245" max="10245" width="90.453125" style="209" customWidth="1"/>
    <col min="10246" max="10266" width="11.54296875" style="209" customWidth="1"/>
    <col min="10267" max="10267" width="13.54296875" style="209" customWidth="1"/>
    <col min="10268" max="10268" width="11.54296875" style="209" customWidth="1"/>
    <col min="10269" max="10269" width="12.1796875" style="209" customWidth="1"/>
    <col min="10270" max="10272" width="11.54296875" style="209" customWidth="1"/>
    <col min="10273" max="10273" width="12.453125" style="209" customWidth="1"/>
    <col min="10274" max="10274" width="13.453125" style="209" customWidth="1"/>
    <col min="10275" max="10275" width="16.54296875" style="209" customWidth="1"/>
    <col min="10276" max="10276" width="17.453125" style="209" customWidth="1"/>
    <col min="10277" max="10280" width="14.54296875" style="209" customWidth="1"/>
    <col min="10281" max="10281" width="20" style="209" bestFit="1" customWidth="1"/>
    <col min="10282" max="10282" width="20.81640625" style="209" customWidth="1"/>
    <col min="10283" max="10283" width="99" style="209" bestFit="1" customWidth="1"/>
    <col min="10284" max="10284" width="25.81640625" style="209" bestFit="1" customWidth="1"/>
    <col min="10285" max="10500" width="8.81640625" style="209"/>
    <col min="10501" max="10501" width="90.453125" style="209" customWidth="1"/>
    <col min="10502" max="10522" width="11.54296875" style="209" customWidth="1"/>
    <col min="10523" max="10523" width="13.54296875" style="209" customWidth="1"/>
    <col min="10524" max="10524" width="11.54296875" style="209" customWidth="1"/>
    <col min="10525" max="10525" width="12.1796875" style="209" customWidth="1"/>
    <col min="10526" max="10528" width="11.54296875" style="209" customWidth="1"/>
    <col min="10529" max="10529" width="12.453125" style="209" customWidth="1"/>
    <col min="10530" max="10530" width="13.453125" style="209" customWidth="1"/>
    <col min="10531" max="10531" width="16.54296875" style="209" customWidth="1"/>
    <col min="10532" max="10532" width="17.453125" style="209" customWidth="1"/>
    <col min="10533" max="10536" width="14.54296875" style="209" customWidth="1"/>
    <col min="10537" max="10537" width="20" style="209" bestFit="1" customWidth="1"/>
    <col min="10538" max="10538" width="20.81640625" style="209" customWidth="1"/>
    <col min="10539" max="10539" width="99" style="209" bestFit="1" customWidth="1"/>
    <col min="10540" max="10540" width="25.81640625" style="209" bestFit="1" customWidth="1"/>
    <col min="10541" max="10756" width="8.81640625" style="209"/>
    <col min="10757" max="10757" width="90.453125" style="209" customWidth="1"/>
    <col min="10758" max="10778" width="11.54296875" style="209" customWidth="1"/>
    <col min="10779" max="10779" width="13.54296875" style="209" customWidth="1"/>
    <col min="10780" max="10780" width="11.54296875" style="209" customWidth="1"/>
    <col min="10781" max="10781" width="12.1796875" style="209" customWidth="1"/>
    <col min="10782" max="10784" width="11.54296875" style="209" customWidth="1"/>
    <col min="10785" max="10785" width="12.453125" style="209" customWidth="1"/>
    <col min="10786" max="10786" width="13.453125" style="209" customWidth="1"/>
    <col min="10787" max="10787" width="16.54296875" style="209" customWidth="1"/>
    <col min="10788" max="10788" width="17.453125" style="209" customWidth="1"/>
    <col min="10789" max="10792" width="14.54296875" style="209" customWidth="1"/>
    <col min="10793" max="10793" width="20" style="209" bestFit="1" customWidth="1"/>
    <col min="10794" max="10794" width="20.81640625" style="209" customWidth="1"/>
    <col min="10795" max="10795" width="99" style="209" bestFit="1" customWidth="1"/>
    <col min="10796" max="10796" width="25.81640625" style="209" bestFit="1" customWidth="1"/>
    <col min="10797" max="11012" width="8.81640625" style="209"/>
    <col min="11013" max="11013" width="90.453125" style="209" customWidth="1"/>
    <col min="11014" max="11034" width="11.54296875" style="209" customWidth="1"/>
    <col min="11035" max="11035" width="13.54296875" style="209" customWidth="1"/>
    <col min="11036" max="11036" width="11.54296875" style="209" customWidth="1"/>
    <col min="11037" max="11037" width="12.1796875" style="209" customWidth="1"/>
    <col min="11038" max="11040" width="11.54296875" style="209" customWidth="1"/>
    <col min="11041" max="11041" width="12.453125" style="209" customWidth="1"/>
    <col min="11042" max="11042" width="13.453125" style="209" customWidth="1"/>
    <col min="11043" max="11043" width="16.54296875" style="209" customWidth="1"/>
    <col min="11044" max="11044" width="17.453125" style="209" customWidth="1"/>
    <col min="11045" max="11048" width="14.54296875" style="209" customWidth="1"/>
    <col min="11049" max="11049" width="20" style="209" bestFit="1" customWidth="1"/>
    <col min="11050" max="11050" width="20.81640625" style="209" customWidth="1"/>
    <col min="11051" max="11051" width="99" style="209" bestFit="1" customWidth="1"/>
    <col min="11052" max="11052" width="25.81640625" style="209" bestFit="1" customWidth="1"/>
    <col min="11053" max="11268" width="8.81640625" style="209"/>
    <col min="11269" max="11269" width="90.453125" style="209" customWidth="1"/>
    <col min="11270" max="11290" width="11.54296875" style="209" customWidth="1"/>
    <col min="11291" max="11291" width="13.54296875" style="209" customWidth="1"/>
    <col min="11292" max="11292" width="11.54296875" style="209" customWidth="1"/>
    <col min="11293" max="11293" width="12.1796875" style="209" customWidth="1"/>
    <col min="11294" max="11296" width="11.54296875" style="209" customWidth="1"/>
    <col min="11297" max="11297" width="12.453125" style="209" customWidth="1"/>
    <col min="11298" max="11298" width="13.453125" style="209" customWidth="1"/>
    <col min="11299" max="11299" width="16.54296875" style="209" customWidth="1"/>
    <col min="11300" max="11300" width="17.453125" style="209" customWidth="1"/>
    <col min="11301" max="11304" width="14.54296875" style="209" customWidth="1"/>
    <col min="11305" max="11305" width="20" style="209" bestFit="1" customWidth="1"/>
    <col min="11306" max="11306" width="20.81640625" style="209" customWidth="1"/>
    <col min="11307" max="11307" width="99" style="209" bestFit="1" customWidth="1"/>
    <col min="11308" max="11308" width="25.81640625" style="209" bestFit="1" customWidth="1"/>
    <col min="11309" max="11524" width="8.81640625" style="209"/>
    <col min="11525" max="11525" width="90.453125" style="209" customWidth="1"/>
    <col min="11526" max="11546" width="11.54296875" style="209" customWidth="1"/>
    <col min="11547" max="11547" width="13.54296875" style="209" customWidth="1"/>
    <col min="11548" max="11548" width="11.54296875" style="209" customWidth="1"/>
    <col min="11549" max="11549" width="12.1796875" style="209" customWidth="1"/>
    <col min="11550" max="11552" width="11.54296875" style="209" customWidth="1"/>
    <col min="11553" max="11553" width="12.453125" style="209" customWidth="1"/>
    <col min="11554" max="11554" width="13.453125" style="209" customWidth="1"/>
    <col min="11555" max="11555" width="16.54296875" style="209" customWidth="1"/>
    <col min="11556" max="11556" width="17.453125" style="209" customWidth="1"/>
    <col min="11557" max="11560" width="14.54296875" style="209" customWidth="1"/>
    <col min="11561" max="11561" width="20" style="209" bestFit="1" customWidth="1"/>
    <col min="11562" max="11562" width="20.81640625" style="209" customWidth="1"/>
    <col min="11563" max="11563" width="99" style="209" bestFit="1" customWidth="1"/>
    <col min="11564" max="11564" width="25.81640625" style="209" bestFit="1" customWidth="1"/>
    <col min="11565" max="11780" width="8.81640625" style="209"/>
    <col min="11781" max="11781" width="90.453125" style="209" customWidth="1"/>
    <col min="11782" max="11802" width="11.54296875" style="209" customWidth="1"/>
    <col min="11803" max="11803" width="13.54296875" style="209" customWidth="1"/>
    <col min="11804" max="11804" width="11.54296875" style="209" customWidth="1"/>
    <col min="11805" max="11805" width="12.1796875" style="209" customWidth="1"/>
    <col min="11806" max="11808" width="11.54296875" style="209" customWidth="1"/>
    <col min="11809" max="11809" width="12.453125" style="209" customWidth="1"/>
    <col min="11810" max="11810" width="13.453125" style="209" customWidth="1"/>
    <col min="11811" max="11811" width="16.54296875" style="209" customWidth="1"/>
    <col min="11812" max="11812" width="17.453125" style="209" customWidth="1"/>
    <col min="11813" max="11816" width="14.54296875" style="209" customWidth="1"/>
    <col min="11817" max="11817" width="20" style="209" bestFit="1" customWidth="1"/>
    <col min="11818" max="11818" width="20.81640625" style="209" customWidth="1"/>
    <col min="11819" max="11819" width="99" style="209" bestFit="1" customWidth="1"/>
    <col min="11820" max="11820" width="25.81640625" style="209" bestFit="1" customWidth="1"/>
    <col min="11821" max="12036" width="8.81640625" style="209"/>
    <col min="12037" max="12037" width="90.453125" style="209" customWidth="1"/>
    <col min="12038" max="12058" width="11.54296875" style="209" customWidth="1"/>
    <col min="12059" max="12059" width="13.54296875" style="209" customWidth="1"/>
    <col min="12060" max="12060" width="11.54296875" style="209" customWidth="1"/>
    <col min="12061" max="12061" width="12.1796875" style="209" customWidth="1"/>
    <col min="12062" max="12064" width="11.54296875" style="209" customWidth="1"/>
    <col min="12065" max="12065" width="12.453125" style="209" customWidth="1"/>
    <col min="12066" max="12066" width="13.453125" style="209" customWidth="1"/>
    <col min="12067" max="12067" width="16.54296875" style="209" customWidth="1"/>
    <col min="12068" max="12068" width="17.453125" style="209" customWidth="1"/>
    <col min="12069" max="12072" width="14.54296875" style="209" customWidth="1"/>
    <col min="12073" max="12073" width="20" style="209" bestFit="1" customWidth="1"/>
    <col min="12074" max="12074" width="20.81640625" style="209" customWidth="1"/>
    <col min="12075" max="12075" width="99" style="209" bestFit="1" customWidth="1"/>
    <col min="12076" max="12076" width="25.81640625" style="209" bestFit="1" customWidth="1"/>
    <col min="12077" max="12292" width="8.81640625" style="209"/>
    <col min="12293" max="12293" width="90.453125" style="209" customWidth="1"/>
    <col min="12294" max="12314" width="11.54296875" style="209" customWidth="1"/>
    <col min="12315" max="12315" width="13.54296875" style="209" customWidth="1"/>
    <col min="12316" max="12316" width="11.54296875" style="209" customWidth="1"/>
    <col min="12317" max="12317" width="12.1796875" style="209" customWidth="1"/>
    <col min="12318" max="12320" width="11.54296875" style="209" customWidth="1"/>
    <col min="12321" max="12321" width="12.453125" style="209" customWidth="1"/>
    <col min="12322" max="12322" width="13.453125" style="209" customWidth="1"/>
    <col min="12323" max="12323" width="16.54296875" style="209" customWidth="1"/>
    <col min="12324" max="12324" width="17.453125" style="209" customWidth="1"/>
    <col min="12325" max="12328" width="14.54296875" style="209" customWidth="1"/>
    <col min="12329" max="12329" width="20" style="209" bestFit="1" customWidth="1"/>
    <col min="12330" max="12330" width="20.81640625" style="209" customWidth="1"/>
    <col min="12331" max="12331" width="99" style="209" bestFit="1" customWidth="1"/>
    <col min="12332" max="12332" width="25.81640625" style="209" bestFit="1" customWidth="1"/>
    <col min="12333" max="12548" width="8.81640625" style="209"/>
    <col min="12549" max="12549" width="90.453125" style="209" customWidth="1"/>
    <col min="12550" max="12570" width="11.54296875" style="209" customWidth="1"/>
    <col min="12571" max="12571" width="13.54296875" style="209" customWidth="1"/>
    <col min="12572" max="12572" width="11.54296875" style="209" customWidth="1"/>
    <col min="12573" max="12573" width="12.1796875" style="209" customWidth="1"/>
    <col min="12574" max="12576" width="11.54296875" style="209" customWidth="1"/>
    <col min="12577" max="12577" width="12.453125" style="209" customWidth="1"/>
    <col min="12578" max="12578" width="13.453125" style="209" customWidth="1"/>
    <col min="12579" max="12579" width="16.54296875" style="209" customWidth="1"/>
    <col min="12580" max="12580" width="17.453125" style="209" customWidth="1"/>
    <col min="12581" max="12584" width="14.54296875" style="209" customWidth="1"/>
    <col min="12585" max="12585" width="20" style="209" bestFit="1" customWidth="1"/>
    <col min="12586" max="12586" width="20.81640625" style="209" customWidth="1"/>
    <col min="12587" max="12587" width="99" style="209" bestFit="1" customWidth="1"/>
    <col min="12588" max="12588" width="25.81640625" style="209" bestFit="1" customWidth="1"/>
    <col min="12589" max="12804" width="8.81640625" style="209"/>
    <col min="12805" max="12805" width="90.453125" style="209" customWidth="1"/>
    <col min="12806" max="12826" width="11.54296875" style="209" customWidth="1"/>
    <col min="12827" max="12827" width="13.54296875" style="209" customWidth="1"/>
    <col min="12828" max="12828" width="11.54296875" style="209" customWidth="1"/>
    <col min="12829" max="12829" width="12.1796875" style="209" customWidth="1"/>
    <col min="12830" max="12832" width="11.54296875" style="209" customWidth="1"/>
    <col min="12833" max="12833" width="12.453125" style="209" customWidth="1"/>
    <col min="12834" max="12834" width="13.453125" style="209" customWidth="1"/>
    <col min="12835" max="12835" width="16.54296875" style="209" customWidth="1"/>
    <col min="12836" max="12836" width="17.453125" style="209" customWidth="1"/>
    <col min="12837" max="12840" width="14.54296875" style="209" customWidth="1"/>
    <col min="12841" max="12841" width="20" style="209" bestFit="1" customWidth="1"/>
    <col min="12842" max="12842" width="20.81640625" style="209" customWidth="1"/>
    <col min="12843" max="12843" width="99" style="209" bestFit="1" customWidth="1"/>
    <col min="12844" max="12844" width="25.81640625" style="209" bestFit="1" customWidth="1"/>
    <col min="12845" max="13060" width="8.81640625" style="209"/>
    <col min="13061" max="13061" width="90.453125" style="209" customWidth="1"/>
    <col min="13062" max="13082" width="11.54296875" style="209" customWidth="1"/>
    <col min="13083" max="13083" width="13.54296875" style="209" customWidth="1"/>
    <col min="13084" max="13084" width="11.54296875" style="209" customWidth="1"/>
    <col min="13085" max="13085" width="12.1796875" style="209" customWidth="1"/>
    <col min="13086" max="13088" width="11.54296875" style="209" customWidth="1"/>
    <col min="13089" max="13089" width="12.453125" style="209" customWidth="1"/>
    <col min="13090" max="13090" width="13.453125" style="209" customWidth="1"/>
    <col min="13091" max="13091" width="16.54296875" style="209" customWidth="1"/>
    <col min="13092" max="13092" width="17.453125" style="209" customWidth="1"/>
    <col min="13093" max="13096" width="14.54296875" style="209" customWidth="1"/>
    <col min="13097" max="13097" width="20" style="209" bestFit="1" customWidth="1"/>
    <col min="13098" max="13098" width="20.81640625" style="209" customWidth="1"/>
    <col min="13099" max="13099" width="99" style="209" bestFit="1" customWidth="1"/>
    <col min="13100" max="13100" width="25.81640625" style="209" bestFit="1" customWidth="1"/>
    <col min="13101" max="13316" width="8.81640625" style="209"/>
    <col min="13317" max="13317" width="90.453125" style="209" customWidth="1"/>
    <col min="13318" max="13338" width="11.54296875" style="209" customWidth="1"/>
    <col min="13339" max="13339" width="13.54296875" style="209" customWidth="1"/>
    <col min="13340" max="13340" width="11.54296875" style="209" customWidth="1"/>
    <col min="13341" max="13341" width="12.1796875" style="209" customWidth="1"/>
    <col min="13342" max="13344" width="11.54296875" style="209" customWidth="1"/>
    <col min="13345" max="13345" width="12.453125" style="209" customWidth="1"/>
    <col min="13346" max="13346" width="13.453125" style="209" customWidth="1"/>
    <col min="13347" max="13347" width="16.54296875" style="209" customWidth="1"/>
    <col min="13348" max="13348" width="17.453125" style="209" customWidth="1"/>
    <col min="13349" max="13352" width="14.54296875" style="209" customWidth="1"/>
    <col min="13353" max="13353" width="20" style="209" bestFit="1" customWidth="1"/>
    <col min="13354" max="13354" width="20.81640625" style="209" customWidth="1"/>
    <col min="13355" max="13355" width="99" style="209" bestFit="1" customWidth="1"/>
    <col min="13356" max="13356" width="25.81640625" style="209" bestFit="1" customWidth="1"/>
    <col min="13357" max="13572" width="8.81640625" style="209"/>
    <col min="13573" max="13573" width="90.453125" style="209" customWidth="1"/>
    <col min="13574" max="13594" width="11.54296875" style="209" customWidth="1"/>
    <col min="13595" max="13595" width="13.54296875" style="209" customWidth="1"/>
    <col min="13596" max="13596" width="11.54296875" style="209" customWidth="1"/>
    <col min="13597" max="13597" width="12.1796875" style="209" customWidth="1"/>
    <col min="13598" max="13600" width="11.54296875" style="209" customWidth="1"/>
    <col min="13601" max="13601" width="12.453125" style="209" customWidth="1"/>
    <col min="13602" max="13602" width="13.453125" style="209" customWidth="1"/>
    <col min="13603" max="13603" width="16.54296875" style="209" customWidth="1"/>
    <col min="13604" max="13604" width="17.453125" style="209" customWidth="1"/>
    <col min="13605" max="13608" width="14.54296875" style="209" customWidth="1"/>
    <col min="13609" max="13609" width="20" style="209" bestFit="1" customWidth="1"/>
    <col min="13610" max="13610" width="20.81640625" style="209" customWidth="1"/>
    <col min="13611" max="13611" width="99" style="209" bestFit="1" customWidth="1"/>
    <col min="13612" max="13612" width="25.81640625" style="209" bestFit="1" customWidth="1"/>
    <col min="13613" max="13828" width="8.81640625" style="209"/>
    <col min="13829" max="13829" width="90.453125" style="209" customWidth="1"/>
    <col min="13830" max="13850" width="11.54296875" style="209" customWidth="1"/>
    <col min="13851" max="13851" width="13.54296875" style="209" customWidth="1"/>
    <col min="13852" max="13852" width="11.54296875" style="209" customWidth="1"/>
    <col min="13853" max="13853" width="12.1796875" style="209" customWidth="1"/>
    <col min="13854" max="13856" width="11.54296875" style="209" customWidth="1"/>
    <col min="13857" max="13857" width="12.453125" style="209" customWidth="1"/>
    <col min="13858" max="13858" width="13.453125" style="209" customWidth="1"/>
    <col min="13859" max="13859" width="16.54296875" style="209" customWidth="1"/>
    <col min="13860" max="13860" width="17.453125" style="209" customWidth="1"/>
    <col min="13861" max="13864" width="14.54296875" style="209" customWidth="1"/>
    <col min="13865" max="13865" width="20" style="209" bestFit="1" customWidth="1"/>
    <col min="13866" max="13866" width="20.81640625" style="209" customWidth="1"/>
    <col min="13867" max="13867" width="99" style="209" bestFit="1" customWidth="1"/>
    <col min="13868" max="13868" width="25.81640625" style="209" bestFit="1" customWidth="1"/>
    <col min="13869" max="14084" width="8.81640625" style="209"/>
    <col min="14085" max="14085" width="90.453125" style="209" customWidth="1"/>
    <col min="14086" max="14106" width="11.54296875" style="209" customWidth="1"/>
    <col min="14107" max="14107" width="13.54296875" style="209" customWidth="1"/>
    <col min="14108" max="14108" width="11.54296875" style="209" customWidth="1"/>
    <col min="14109" max="14109" width="12.1796875" style="209" customWidth="1"/>
    <col min="14110" max="14112" width="11.54296875" style="209" customWidth="1"/>
    <col min="14113" max="14113" width="12.453125" style="209" customWidth="1"/>
    <col min="14114" max="14114" width="13.453125" style="209" customWidth="1"/>
    <col min="14115" max="14115" width="16.54296875" style="209" customWidth="1"/>
    <col min="14116" max="14116" width="17.453125" style="209" customWidth="1"/>
    <col min="14117" max="14120" width="14.54296875" style="209" customWidth="1"/>
    <col min="14121" max="14121" width="20" style="209" bestFit="1" customWidth="1"/>
    <col min="14122" max="14122" width="20.81640625" style="209" customWidth="1"/>
    <col min="14123" max="14123" width="99" style="209" bestFit="1" customWidth="1"/>
    <col min="14124" max="14124" width="25.81640625" style="209" bestFit="1" customWidth="1"/>
    <col min="14125" max="14340" width="8.81640625" style="209"/>
    <col min="14341" max="14341" width="90.453125" style="209" customWidth="1"/>
    <col min="14342" max="14362" width="11.54296875" style="209" customWidth="1"/>
    <col min="14363" max="14363" width="13.54296875" style="209" customWidth="1"/>
    <col min="14364" max="14364" width="11.54296875" style="209" customWidth="1"/>
    <col min="14365" max="14365" width="12.1796875" style="209" customWidth="1"/>
    <col min="14366" max="14368" width="11.54296875" style="209" customWidth="1"/>
    <col min="14369" max="14369" width="12.453125" style="209" customWidth="1"/>
    <col min="14370" max="14370" width="13.453125" style="209" customWidth="1"/>
    <col min="14371" max="14371" width="16.54296875" style="209" customWidth="1"/>
    <col min="14372" max="14372" width="17.453125" style="209" customWidth="1"/>
    <col min="14373" max="14376" width="14.54296875" style="209" customWidth="1"/>
    <col min="14377" max="14377" width="20" style="209" bestFit="1" customWidth="1"/>
    <col min="14378" max="14378" width="20.81640625" style="209" customWidth="1"/>
    <col min="14379" max="14379" width="99" style="209" bestFit="1" customWidth="1"/>
    <col min="14380" max="14380" width="25.81640625" style="209" bestFit="1" customWidth="1"/>
    <col min="14381" max="14596" width="8.81640625" style="209"/>
    <col min="14597" max="14597" width="90.453125" style="209" customWidth="1"/>
    <col min="14598" max="14618" width="11.54296875" style="209" customWidth="1"/>
    <col min="14619" max="14619" width="13.54296875" style="209" customWidth="1"/>
    <col min="14620" max="14620" width="11.54296875" style="209" customWidth="1"/>
    <col min="14621" max="14621" width="12.1796875" style="209" customWidth="1"/>
    <col min="14622" max="14624" width="11.54296875" style="209" customWidth="1"/>
    <col min="14625" max="14625" width="12.453125" style="209" customWidth="1"/>
    <col min="14626" max="14626" width="13.453125" style="209" customWidth="1"/>
    <col min="14627" max="14627" width="16.54296875" style="209" customWidth="1"/>
    <col min="14628" max="14628" width="17.453125" style="209" customWidth="1"/>
    <col min="14629" max="14632" width="14.54296875" style="209" customWidth="1"/>
    <col min="14633" max="14633" width="20" style="209" bestFit="1" customWidth="1"/>
    <col min="14634" max="14634" width="20.81640625" style="209" customWidth="1"/>
    <col min="14635" max="14635" width="99" style="209" bestFit="1" customWidth="1"/>
    <col min="14636" max="14636" width="25.81640625" style="209" bestFit="1" customWidth="1"/>
    <col min="14637" max="14852" width="8.81640625" style="209"/>
    <col min="14853" max="14853" width="90.453125" style="209" customWidth="1"/>
    <col min="14854" max="14874" width="11.54296875" style="209" customWidth="1"/>
    <col min="14875" max="14875" width="13.54296875" style="209" customWidth="1"/>
    <col min="14876" max="14876" width="11.54296875" style="209" customWidth="1"/>
    <col min="14877" max="14877" width="12.1796875" style="209" customWidth="1"/>
    <col min="14878" max="14880" width="11.54296875" style="209" customWidth="1"/>
    <col min="14881" max="14881" width="12.453125" style="209" customWidth="1"/>
    <col min="14882" max="14882" width="13.453125" style="209" customWidth="1"/>
    <col min="14883" max="14883" width="16.54296875" style="209" customWidth="1"/>
    <col min="14884" max="14884" width="17.453125" style="209" customWidth="1"/>
    <col min="14885" max="14888" width="14.54296875" style="209" customWidth="1"/>
    <col min="14889" max="14889" width="20" style="209" bestFit="1" customWidth="1"/>
    <col min="14890" max="14890" width="20.81640625" style="209" customWidth="1"/>
    <col min="14891" max="14891" width="99" style="209" bestFit="1" customWidth="1"/>
    <col min="14892" max="14892" width="25.81640625" style="209" bestFit="1" customWidth="1"/>
    <col min="14893" max="15108" width="8.81640625" style="209"/>
    <col min="15109" max="15109" width="90.453125" style="209" customWidth="1"/>
    <col min="15110" max="15130" width="11.54296875" style="209" customWidth="1"/>
    <col min="15131" max="15131" width="13.54296875" style="209" customWidth="1"/>
    <col min="15132" max="15132" width="11.54296875" style="209" customWidth="1"/>
    <col min="15133" max="15133" width="12.1796875" style="209" customWidth="1"/>
    <col min="15134" max="15136" width="11.54296875" style="209" customWidth="1"/>
    <col min="15137" max="15137" width="12.453125" style="209" customWidth="1"/>
    <col min="15138" max="15138" width="13.453125" style="209" customWidth="1"/>
    <col min="15139" max="15139" width="16.54296875" style="209" customWidth="1"/>
    <col min="15140" max="15140" width="17.453125" style="209" customWidth="1"/>
    <col min="15141" max="15144" width="14.54296875" style="209" customWidth="1"/>
    <col min="15145" max="15145" width="20" style="209" bestFit="1" customWidth="1"/>
    <col min="15146" max="15146" width="20.81640625" style="209" customWidth="1"/>
    <col min="15147" max="15147" width="99" style="209" bestFit="1" customWidth="1"/>
    <col min="15148" max="15148" width="25.81640625" style="209" bestFit="1" customWidth="1"/>
    <col min="15149" max="15364" width="8.81640625" style="209"/>
    <col min="15365" max="15365" width="90.453125" style="209" customWidth="1"/>
    <col min="15366" max="15386" width="11.54296875" style="209" customWidth="1"/>
    <col min="15387" max="15387" width="13.54296875" style="209" customWidth="1"/>
    <col min="15388" max="15388" width="11.54296875" style="209" customWidth="1"/>
    <col min="15389" max="15389" width="12.1796875" style="209" customWidth="1"/>
    <col min="15390" max="15392" width="11.54296875" style="209" customWidth="1"/>
    <col min="15393" max="15393" width="12.453125" style="209" customWidth="1"/>
    <col min="15394" max="15394" width="13.453125" style="209" customWidth="1"/>
    <col min="15395" max="15395" width="16.54296875" style="209" customWidth="1"/>
    <col min="15396" max="15396" width="17.453125" style="209" customWidth="1"/>
    <col min="15397" max="15400" width="14.54296875" style="209" customWidth="1"/>
    <col min="15401" max="15401" width="20" style="209" bestFit="1" customWidth="1"/>
    <col min="15402" max="15402" width="20.81640625" style="209" customWidth="1"/>
    <col min="15403" max="15403" width="99" style="209" bestFit="1" customWidth="1"/>
    <col min="15404" max="15404" width="25.81640625" style="209" bestFit="1" customWidth="1"/>
    <col min="15405" max="15620" width="8.81640625" style="209"/>
    <col min="15621" max="15621" width="90.453125" style="209" customWidth="1"/>
    <col min="15622" max="15642" width="11.54296875" style="209" customWidth="1"/>
    <col min="15643" max="15643" width="13.54296875" style="209" customWidth="1"/>
    <col min="15644" max="15644" width="11.54296875" style="209" customWidth="1"/>
    <col min="15645" max="15645" width="12.1796875" style="209" customWidth="1"/>
    <col min="15646" max="15648" width="11.54296875" style="209" customWidth="1"/>
    <col min="15649" max="15649" width="12.453125" style="209" customWidth="1"/>
    <col min="15650" max="15650" width="13.453125" style="209" customWidth="1"/>
    <col min="15651" max="15651" width="16.54296875" style="209" customWidth="1"/>
    <col min="15652" max="15652" width="17.453125" style="209" customWidth="1"/>
    <col min="15653" max="15656" width="14.54296875" style="209" customWidth="1"/>
    <col min="15657" max="15657" width="20" style="209" bestFit="1" customWidth="1"/>
    <col min="15658" max="15658" width="20.81640625" style="209" customWidth="1"/>
    <col min="15659" max="15659" width="99" style="209" bestFit="1" customWidth="1"/>
    <col min="15660" max="15660" width="25.81640625" style="209" bestFit="1" customWidth="1"/>
    <col min="15661" max="15876" width="8.81640625" style="209"/>
    <col min="15877" max="15877" width="90.453125" style="209" customWidth="1"/>
    <col min="15878" max="15898" width="11.54296875" style="209" customWidth="1"/>
    <col min="15899" max="15899" width="13.54296875" style="209" customWidth="1"/>
    <col min="15900" max="15900" width="11.54296875" style="209" customWidth="1"/>
    <col min="15901" max="15901" width="12.1796875" style="209" customWidth="1"/>
    <col min="15902" max="15904" width="11.54296875" style="209" customWidth="1"/>
    <col min="15905" max="15905" width="12.453125" style="209" customWidth="1"/>
    <col min="15906" max="15906" width="13.453125" style="209" customWidth="1"/>
    <col min="15907" max="15907" width="16.54296875" style="209" customWidth="1"/>
    <col min="15908" max="15908" width="17.453125" style="209" customWidth="1"/>
    <col min="15909" max="15912" width="14.54296875" style="209" customWidth="1"/>
    <col min="15913" max="15913" width="20" style="209" bestFit="1" customWidth="1"/>
    <col min="15914" max="15914" width="20.81640625" style="209" customWidth="1"/>
    <col min="15915" max="15915" width="99" style="209" bestFit="1" customWidth="1"/>
    <col min="15916" max="15916" width="25.81640625" style="209" bestFit="1" customWidth="1"/>
    <col min="15917" max="16132" width="8.81640625" style="209"/>
    <col min="16133" max="16133" width="90.453125" style="209" customWidth="1"/>
    <col min="16134" max="16154" width="11.54296875" style="209" customWidth="1"/>
    <col min="16155" max="16155" width="13.54296875" style="209" customWidth="1"/>
    <col min="16156" max="16156" width="11.54296875" style="209" customWidth="1"/>
    <col min="16157" max="16157" width="12.1796875" style="209" customWidth="1"/>
    <col min="16158" max="16160" width="11.54296875" style="209" customWidth="1"/>
    <col min="16161" max="16161" width="12.453125" style="209" customWidth="1"/>
    <col min="16162" max="16162" width="13.453125" style="209" customWidth="1"/>
    <col min="16163" max="16163" width="16.54296875" style="209" customWidth="1"/>
    <col min="16164" max="16164" width="17.453125" style="209" customWidth="1"/>
    <col min="16165" max="16168" width="14.54296875" style="209" customWidth="1"/>
    <col min="16169" max="16169" width="20" style="209" bestFit="1" customWidth="1"/>
    <col min="16170" max="16170" width="20.81640625" style="209" customWidth="1"/>
    <col min="16171" max="16171" width="99" style="209" bestFit="1" customWidth="1"/>
    <col min="16172" max="16172" width="25.81640625" style="209" bestFit="1" customWidth="1"/>
    <col min="16173" max="16384" width="8.81640625" style="209"/>
  </cols>
  <sheetData>
    <row r="1" spans="1:257" ht="24.65" customHeight="1" thickBot="1">
      <c r="A1" s="382" t="s">
        <v>326</v>
      </c>
      <c r="B1" s="383"/>
      <c r="C1" s="383"/>
      <c r="D1" s="383"/>
      <c r="E1" s="383"/>
      <c r="F1" s="383"/>
      <c r="G1" s="383"/>
      <c r="H1" s="383"/>
      <c r="I1" s="383"/>
      <c r="J1" s="383"/>
      <c r="K1" s="383"/>
      <c r="L1" s="383"/>
      <c r="M1" s="383"/>
      <c r="N1" s="383"/>
      <c r="O1" s="383"/>
      <c r="P1" s="383"/>
      <c r="Q1" s="384"/>
      <c r="R1" s="384"/>
      <c r="S1" s="384"/>
      <c r="T1" s="384"/>
      <c r="U1" s="384"/>
      <c r="V1" s="384"/>
      <c r="W1" s="384"/>
      <c r="X1" s="384"/>
      <c r="Y1" s="384"/>
      <c r="Z1" s="384"/>
      <c r="AA1" s="206"/>
      <c r="AB1" s="206"/>
    </row>
    <row r="2" spans="1:257" s="210" customFormat="1" ht="21.65" customHeight="1" thickBot="1">
      <c r="A2" s="292" t="s">
        <v>327</v>
      </c>
      <c r="B2" s="293" t="s">
        <v>328</v>
      </c>
      <c r="C2" s="293" t="s">
        <v>329</v>
      </c>
      <c r="D2" s="293" t="s">
        <v>330</v>
      </c>
      <c r="E2" s="293" t="s">
        <v>331</v>
      </c>
      <c r="F2" s="293" t="s">
        <v>332</v>
      </c>
      <c r="G2" s="293" t="s">
        <v>333</v>
      </c>
      <c r="H2" s="293" t="s">
        <v>334</v>
      </c>
      <c r="I2" s="293" t="s">
        <v>335</v>
      </c>
      <c r="J2" s="293" t="s">
        <v>336</v>
      </c>
      <c r="K2" s="293" t="s">
        <v>337</v>
      </c>
      <c r="L2" s="293" t="s">
        <v>338</v>
      </c>
      <c r="M2" s="293" t="s">
        <v>339</v>
      </c>
      <c r="N2" s="294">
        <v>1992</v>
      </c>
      <c r="O2" s="294">
        <v>1993</v>
      </c>
      <c r="P2" s="294">
        <v>1994</v>
      </c>
      <c r="Q2" s="294">
        <v>1995</v>
      </c>
      <c r="R2" s="294">
        <v>1996</v>
      </c>
      <c r="S2" s="294">
        <v>1997</v>
      </c>
      <c r="T2" s="294">
        <v>1998</v>
      </c>
      <c r="U2" s="294">
        <v>1999</v>
      </c>
      <c r="V2" s="294">
        <v>2000</v>
      </c>
      <c r="W2" s="294">
        <v>2001</v>
      </c>
      <c r="X2" s="294">
        <v>2002</v>
      </c>
      <c r="Y2" s="294">
        <v>2003</v>
      </c>
      <c r="Z2" s="294">
        <v>2004</v>
      </c>
      <c r="AA2" s="294">
        <v>2005</v>
      </c>
      <c r="AB2" s="295">
        <v>2006</v>
      </c>
      <c r="AC2" s="295">
        <v>2007</v>
      </c>
      <c r="AD2" s="295">
        <v>2008</v>
      </c>
      <c r="AE2" s="295">
        <v>2009</v>
      </c>
      <c r="AF2" s="295">
        <v>2010</v>
      </c>
      <c r="AG2" s="295">
        <v>2011</v>
      </c>
      <c r="AH2" s="295">
        <v>2012</v>
      </c>
      <c r="AI2" s="295">
        <v>2013</v>
      </c>
      <c r="AJ2" s="295">
        <v>2014</v>
      </c>
      <c r="AK2" s="295">
        <v>2015</v>
      </c>
      <c r="AL2" s="295">
        <v>2016</v>
      </c>
      <c r="AM2" s="295">
        <v>2017</v>
      </c>
      <c r="AN2" s="295">
        <v>2018</v>
      </c>
      <c r="AO2" s="295">
        <v>2019</v>
      </c>
      <c r="AP2" s="295">
        <v>2020</v>
      </c>
      <c r="AQ2" s="295">
        <v>2021</v>
      </c>
      <c r="AR2" s="295">
        <v>2022</v>
      </c>
      <c r="AS2" s="295">
        <v>2023</v>
      </c>
      <c r="AT2" s="295">
        <v>2024</v>
      </c>
      <c r="AU2" s="295">
        <v>2025</v>
      </c>
    </row>
    <row r="3" spans="1:257" s="216" customFormat="1" ht="18.649999999999999" customHeight="1">
      <c r="A3" s="211" t="s">
        <v>340</v>
      </c>
      <c r="B3" s="212"/>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4"/>
      <c r="AC3" s="215"/>
      <c r="AD3" s="215"/>
      <c r="AE3" s="215"/>
      <c r="AF3" s="215"/>
      <c r="AG3" s="215"/>
      <c r="AH3" s="215"/>
      <c r="AI3" s="215"/>
      <c r="AJ3" s="215"/>
      <c r="AK3" s="215"/>
      <c r="AL3" s="215"/>
      <c r="AM3" s="215"/>
      <c r="AN3" s="215"/>
      <c r="AO3" s="215"/>
      <c r="AP3" s="215"/>
      <c r="AQ3" s="215"/>
      <c r="AR3" s="215"/>
      <c r="AS3" s="215"/>
      <c r="AT3" s="215"/>
      <c r="AU3" s="215"/>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0"/>
      <c r="EB3" s="210"/>
      <c r="EC3" s="210"/>
      <c r="ED3" s="210"/>
      <c r="EE3" s="210"/>
      <c r="EF3" s="210"/>
      <c r="EG3" s="210"/>
      <c r="EH3" s="210"/>
      <c r="EI3" s="210"/>
      <c r="EJ3" s="210"/>
      <c r="EK3" s="210"/>
      <c r="EL3" s="210"/>
      <c r="EM3" s="210"/>
      <c r="EN3" s="210"/>
      <c r="EO3" s="210"/>
      <c r="EP3" s="210"/>
      <c r="EQ3" s="210"/>
      <c r="ER3" s="210"/>
      <c r="ES3" s="210"/>
      <c r="ET3" s="210"/>
      <c r="EU3" s="210"/>
      <c r="EV3" s="210"/>
      <c r="EW3" s="210"/>
      <c r="EX3" s="210"/>
      <c r="EY3" s="210"/>
      <c r="EZ3" s="210"/>
      <c r="FA3" s="210"/>
      <c r="FB3" s="210"/>
      <c r="FC3" s="210"/>
      <c r="FD3" s="210"/>
      <c r="FE3" s="210"/>
      <c r="FF3" s="210"/>
      <c r="FG3" s="210"/>
      <c r="FH3" s="210"/>
      <c r="FI3" s="210"/>
      <c r="FJ3" s="210"/>
      <c r="FK3" s="210"/>
      <c r="FL3" s="210"/>
      <c r="FM3" s="210"/>
      <c r="FN3" s="210"/>
      <c r="FO3" s="210"/>
      <c r="FP3" s="210"/>
      <c r="FQ3" s="210"/>
      <c r="FR3" s="210"/>
      <c r="FS3" s="210"/>
      <c r="FT3" s="210"/>
      <c r="FU3" s="210"/>
      <c r="FV3" s="210"/>
      <c r="FW3" s="210"/>
      <c r="FX3" s="210"/>
      <c r="FY3" s="210"/>
      <c r="FZ3" s="210"/>
      <c r="GA3" s="210"/>
      <c r="GB3" s="210"/>
      <c r="GC3" s="210"/>
      <c r="GD3" s="210"/>
      <c r="GE3" s="210"/>
      <c r="GF3" s="210"/>
      <c r="GG3" s="210"/>
      <c r="GH3" s="210"/>
      <c r="GI3" s="210"/>
      <c r="GJ3" s="210"/>
      <c r="GK3" s="210"/>
      <c r="GL3" s="210"/>
      <c r="GM3" s="210"/>
      <c r="GN3" s="210"/>
      <c r="GO3" s="210"/>
      <c r="GP3" s="210"/>
      <c r="GQ3" s="210"/>
      <c r="GR3" s="210"/>
      <c r="GS3" s="210"/>
      <c r="GT3" s="210"/>
      <c r="GU3" s="210"/>
      <c r="GV3" s="210"/>
      <c r="GW3" s="210"/>
      <c r="GX3" s="210"/>
      <c r="GY3" s="210"/>
      <c r="GZ3" s="210"/>
      <c r="HA3" s="210"/>
      <c r="HB3" s="210"/>
      <c r="HC3" s="210"/>
      <c r="HD3" s="210"/>
      <c r="HE3" s="210"/>
      <c r="HF3" s="210"/>
      <c r="HG3" s="210"/>
      <c r="HH3" s="210"/>
      <c r="HI3" s="210"/>
      <c r="HJ3" s="210"/>
      <c r="HK3" s="210"/>
      <c r="HL3" s="210"/>
      <c r="HM3" s="210"/>
      <c r="HN3" s="210"/>
      <c r="HO3" s="210"/>
      <c r="HP3" s="210"/>
      <c r="HQ3" s="210"/>
      <c r="HR3" s="210"/>
      <c r="HS3" s="210"/>
      <c r="HT3" s="210"/>
      <c r="HU3" s="210"/>
      <c r="HV3" s="210"/>
      <c r="HW3" s="210"/>
      <c r="HX3" s="210"/>
      <c r="HY3" s="210"/>
      <c r="HZ3" s="210"/>
      <c r="IA3" s="210"/>
      <c r="IB3" s="210"/>
      <c r="IC3" s="210"/>
      <c r="ID3" s="210"/>
      <c r="IE3" s="210"/>
      <c r="IF3" s="210"/>
      <c r="IG3" s="210"/>
      <c r="IH3" s="210"/>
      <c r="II3" s="210"/>
      <c r="IJ3" s="210"/>
      <c r="IK3" s="210"/>
      <c r="IL3" s="210"/>
      <c r="IM3" s="210"/>
      <c r="IN3" s="210"/>
      <c r="IO3" s="210"/>
      <c r="IP3" s="210"/>
      <c r="IQ3" s="210"/>
      <c r="IR3" s="210"/>
      <c r="IS3" s="210"/>
      <c r="IT3" s="210"/>
      <c r="IU3" s="210"/>
      <c r="IV3" s="210"/>
      <c r="IW3" s="210"/>
    </row>
    <row r="4" spans="1:257" s="216" customFormat="1" ht="18.649999999999999" customHeight="1">
      <c r="A4" s="217" t="s">
        <v>341</v>
      </c>
      <c r="B4" s="218">
        <v>0</v>
      </c>
      <c r="C4" s="219">
        <v>0</v>
      </c>
      <c r="D4" s="219">
        <v>0</v>
      </c>
      <c r="E4" s="219">
        <v>0</v>
      </c>
      <c r="F4" s="219">
        <v>0</v>
      </c>
      <c r="G4" s="219">
        <v>10.199999999999999</v>
      </c>
      <c r="H4" s="218">
        <v>8</v>
      </c>
      <c r="I4" s="218">
        <v>4.7</v>
      </c>
      <c r="J4" s="218">
        <v>7.7</v>
      </c>
      <c r="K4" s="218">
        <v>8.3000000000000007</v>
      </c>
      <c r="L4" s="218">
        <v>16.2</v>
      </c>
      <c r="M4" s="218">
        <v>17.7</v>
      </c>
      <c r="N4" s="218">
        <v>11.2</v>
      </c>
      <c r="O4" s="218">
        <v>17.3</v>
      </c>
      <c r="P4" s="218">
        <v>20.5</v>
      </c>
      <c r="Q4" s="218">
        <v>32.5</v>
      </c>
      <c r="R4" s="218">
        <v>26</v>
      </c>
      <c r="S4" s="218">
        <v>28.1</v>
      </c>
      <c r="T4" s="218">
        <v>22</v>
      </c>
      <c r="U4" s="218">
        <v>14.7</v>
      </c>
      <c r="V4" s="218">
        <v>13.9</v>
      </c>
      <c r="W4" s="218">
        <v>16.5</v>
      </c>
      <c r="X4" s="218">
        <v>6.1</v>
      </c>
      <c r="Y4" s="218">
        <v>11.6</v>
      </c>
      <c r="Z4" s="218">
        <v>8.5</v>
      </c>
      <c r="AA4" s="218">
        <v>12.2</v>
      </c>
      <c r="AB4" s="220">
        <v>35.4</v>
      </c>
      <c r="AC4" s="221">
        <v>35.168999999999997</v>
      </c>
      <c r="AD4" s="221">
        <v>25.53447087</v>
      </c>
      <c r="AE4" s="221">
        <v>27.412362430000002</v>
      </c>
      <c r="AF4" s="221">
        <v>39.998391389999995</v>
      </c>
      <c r="AG4" s="221">
        <v>90.166620269999981</v>
      </c>
      <c r="AH4" s="222">
        <v>57.45</v>
      </c>
      <c r="AI4" s="223">
        <v>52.1</v>
      </c>
      <c r="AJ4" s="223">
        <v>37.353348319999995</v>
      </c>
      <c r="AK4" s="224">
        <v>21.373337419999999</v>
      </c>
      <c r="AL4" s="224">
        <v>16.02998393</v>
      </c>
      <c r="AM4" s="224">
        <v>5.4</v>
      </c>
      <c r="AN4" s="224">
        <v>30.668736860000003</v>
      </c>
      <c r="AO4" s="224">
        <v>22.312997709999998</v>
      </c>
      <c r="AP4" s="224">
        <v>40.184699219999999</v>
      </c>
      <c r="AQ4" s="224">
        <v>41.9</v>
      </c>
      <c r="AR4" s="224">
        <v>16.119304669999998</v>
      </c>
      <c r="AS4" s="224">
        <v>14.6</v>
      </c>
      <c r="AT4" s="224">
        <v>27.8</v>
      </c>
      <c r="AU4" s="224">
        <v>38</v>
      </c>
      <c r="AV4" s="210"/>
      <c r="AW4" s="210"/>
      <c r="AX4" s="210"/>
      <c r="AY4" s="210"/>
      <c r="AZ4" s="210"/>
      <c r="BA4" s="210"/>
      <c r="BB4" s="210"/>
      <c r="BC4" s="210"/>
      <c r="BD4" s="210"/>
      <c r="BE4" s="210"/>
      <c r="BF4" s="210"/>
      <c r="BG4" s="210"/>
      <c r="BH4" s="210"/>
      <c r="BI4" s="210"/>
      <c r="BJ4" s="210"/>
      <c r="BK4" s="210"/>
      <c r="BL4" s="210"/>
      <c r="BM4" s="210"/>
      <c r="BN4" s="210"/>
      <c r="BO4" s="210"/>
      <c r="BP4" s="210"/>
      <c r="BQ4" s="210"/>
      <c r="BR4" s="210"/>
      <c r="BS4" s="210"/>
      <c r="BT4" s="210"/>
      <c r="BU4" s="210"/>
      <c r="BV4" s="210"/>
      <c r="BW4" s="210"/>
      <c r="BX4" s="210"/>
      <c r="BY4" s="210"/>
      <c r="BZ4" s="210"/>
      <c r="CA4" s="210"/>
      <c r="CB4" s="210"/>
      <c r="CC4" s="210"/>
      <c r="CD4" s="210"/>
      <c r="CE4" s="210"/>
      <c r="CF4" s="210"/>
      <c r="CG4" s="210"/>
      <c r="CH4" s="210"/>
      <c r="CI4" s="210"/>
      <c r="CJ4" s="210"/>
      <c r="CK4" s="210"/>
      <c r="CL4" s="210"/>
      <c r="CM4" s="210"/>
      <c r="CN4" s="210"/>
      <c r="CO4" s="210"/>
      <c r="CP4" s="210"/>
      <c r="CQ4" s="210"/>
      <c r="CR4" s="210"/>
      <c r="CS4" s="210"/>
      <c r="CT4" s="210"/>
      <c r="CU4" s="210"/>
      <c r="CV4" s="210"/>
      <c r="CW4" s="210"/>
      <c r="CX4" s="210"/>
      <c r="CY4" s="210"/>
      <c r="CZ4" s="210"/>
      <c r="DA4" s="210"/>
      <c r="DB4" s="210"/>
      <c r="DC4" s="210"/>
      <c r="DD4" s="210"/>
      <c r="DE4" s="210"/>
      <c r="DF4" s="210"/>
      <c r="DG4" s="210"/>
      <c r="DH4" s="210"/>
      <c r="DI4" s="210"/>
      <c r="DJ4" s="210"/>
      <c r="DK4" s="210"/>
      <c r="DL4" s="210"/>
      <c r="DM4" s="210"/>
      <c r="DN4" s="210"/>
      <c r="DO4" s="210"/>
      <c r="DP4" s="210"/>
      <c r="DQ4" s="210"/>
      <c r="DR4" s="210"/>
      <c r="DS4" s="210"/>
      <c r="DT4" s="210"/>
      <c r="DU4" s="210"/>
      <c r="DV4" s="210"/>
      <c r="DW4" s="210"/>
      <c r="DX4" s="210"/>
      <c r="DY4" s="210"/>
      <c r="DZ4" s="210"/>
      <c r="EA4" s="210"/>
      <c r="EB4" s="210"/>
      <c r="EC4" s="210"/>
      <c r="ED4" s="210"/>
      <c r="EE4" s="210"/>
      <c r="EF4" s="210"/>
      <c r="EG4" s="210"/>
      <c r="EH4" s="210"/>
      <c r="EI4" s="210"/>
      <c r="EJ4" s="210"/>
      <c r="EK4" s="210"/>
      <c r="EL4" s="210"/>
      <c r="EM4" s="210"/>
      <c r="EN4" s="210"/>
      <c r="EO4" s="210"/>
      <c r="EP4" s="210"/>
      <c r="EQ4" s="210"/>
      <c r="ER4" s="210"/>
      <c r="ES4" s="210"/>
      <c r="ET4" s="210"/>
      <c r="EU4" s="210"/>
      <c r="EV4" s="210"/>
      <c r="EW4" s="210"/>
      <c r="EX4" s="210"/>
      <c r="EY4" s="210"/>
      <c r="EZ4" s="210"/>
      <c r="FA4" s="210"/>
      <c r="FB4" s="210"/>
      <c r="FC4" s="210"/>
      <c r="FD4" s="210"/>
      <c r="FE4" s="210"/>
      <c r="FF4" s="210"/>
      <c r="FG4" s="210"/>
      <c r="FH4" s="210"/>
      <c r="FI4" s="210"/>
      <c r="FJ4" s="210"/>
      <c r="FK4" s="210"/>
      <c r="FL4" s="210"/>
      <c r="FM4" s="210"/>
      <c r="FN4" s="210"/>
      <c r="FO4" s="210"/>
      <c r="FP4" s="210"/>
      <c r="FQ4" s="210"/>
      <c r="FR4" s="210"/>
      <c r="FS4" s="210"/>
      <c r="FT4" s="210"/>
      <c r="FU4" s="210"/>
      <c r="FV4" s="210"/>
      <c r="FW4" s="210"/>
      <c r="FX4" s="210"/>
      <c r="FY4" s="210"/>
      <c r="FZ4" s="210"/>
      <c r="GA4" s="210"/>
      <c r="GB4" s="210"/>
      <c r="GC4" s="210"/>
      <c r="GD4" s="210"/>
      <c r="GE4" s="210"/>
      <c r="GF4" s="210"/>
      <c r="GG4" s="210"/>
      <c r="GH4" s="210"/>
      <c r="GI4" s="210"/>
      <c r="GJ4" s="210"/>
      <c r="GK4" s="210"/>
      <c r="GL4" s="210"/>
      <c r="GM4" s="210"/>
      <c r="GN4" s="210"/>
      <c r="GO4" s="210"/>
      <c r="GP4" s="210"/>
      <c r="GQ4" s="210"/>
      <c r="GR4" s="210"/>
      <c r="GS4" s="210"/>
      <c r="GT4" s="210"/>
      <c r="GU4" s="210"/>
      <c r="GV4" s="210"/>
      <c r="GW4" s="210"/>
      <c r="GX4" s="210"/>
      <c r="GY4" s="210"/>
      <c r="GZ4" s="210"/>
      <c r="HA4" s="210"/>
      <c r="HB4" s="210"/>
      <c r="HC4" s="210"/>
      <c r="HD4" s="210"/>
      <c r="HE4" s="210"/>
      <c r="HF4" s="210"/>
      <c r="HG4" s="210"/>
      <c r="HH4" s="210"/>
      <c r="HI4" s="210"/>
      <c r="HJ4" s="210"/>
      <c r="HK4" s="210"/>
      <c r="HL4" s="210"/>
      <c r="HM4" s="210"/>
      <c r="HN4" s="210"/>
      <c r="HO4" s="210"/>
      <c r="HP4" s="210"/>
      <c r="HQ4" s="210"/>
      <c r="HR4" s="210"/>
      <c r="HS4" s="210"/>
      <c r="HT4" s="210"/>
      <c r="HU4" s="210"/>
      <c r="HV4" s="210"/>
      <c r="HW4" s="210"/>
      <c r="HX4" s="210"/>
      <c r="HY4" s="210"/>
      <c r="HZ4" s="210"/>
      <c r="IA4" s="210"/>
      <c r="IB4" s="210"/>
      <c r="IC4" s="210"/>
      <c r="ID4" s="210"/>
      <c r="IE4" s="210"/>
      <c r="IF4" s="210"/>
      <c r="IG4" s="210"/>
      <c r="IH4" s="210"/>
      <c r="II4" s="210"/>
      <c r="IJ4" s="210"/>
      <c r="IK4" s="210"/>
      <c r="IL4" s="210"/>
      <c r="IM4" s="210"/>
      <c r="IN4" s="210"/>
      <c r="IO4" s="210"/>
      <c r="IP4" s="210"/>
      <c r="IQ4" s="210"/>
      <c r="IR4" s="210"/>
      <c r="IS4" s="210"/>
      <c r="IT4" s="210"/>
      <c r="IU4" s="210"/>
      <c r="IV4" s="210"/>
      <c r="IW4" s="210"/>
    </row>
    <row r="5" spans="1:257" s="216" customFormat="1" ht="18.649999999999999" customHeight="1">
      <c r="A5" s="225" t="s">
        <v>342</v>
      </c>
      <c r="B5" s="226">
        <v>0</v>
      </c>
      <c r="C5" s="226">
        <v>0</v>
      </c>
      <c r="D5" s="226">
        <v>0</v>
      </c>
      <c r="E5" s="226">
        <v>0</v>
      </c>
      <c r="F5" s="226">
        <v>0</v>
      </c>
      <c r="G5" s="226">
        <v>0</v>
      </c>
      <c r="H5" s="226">
        <v>0</v>
      </c>
      <c r="I5" s="226">
        <v>0</v>
      </c>
      <c r="J5" s="226">
        <v>0</v>
      </c>
      <c r="K5" s="226">
        <v>0</v>
      </c>
      <c r="L5" s="226">
        <v>0</v>
      </c>
      <c r="M5" s="226">
        <v>0</v>
      </c>
      <c r="N5" s="226">
        <v>0</v>
      </c>
      <c r="O5" s="226">
        <v>0</v>
      </c>
      <c r="P5" s="226">
        <v>0</v>
      </c>
      <c r="Q5" s="226">
        <v>0</v>
      </c>
      <c r="R5" s="226">
        <v>0</v>
      </c>
      <c r="S5" s="226">
        <v>0</v>
      </c>
      <c r="T5" s="226">
        <v>0</v>
      </c>
      <c r="U5" s="226">
        <v>0</v>
      </c>
      <c r="V5" s="226">
        <v>0</v>
      </c>
      <c r="W5" s="226">
        <v>0</v>
      </c>
      <c r="X5" s="226">
        <v>0</v>
      </c>
      <c r="Y5" s="226">
        <v>0</v>
      </c>
      <c r="Z5" s="226">
        <v>0</v>
      </c>
      <c r="AA5" s="226">
        <v>0</v>
      </c>
      <c r="AB5" s="220">
        <v>0.9</v>
      </c>
      <c r="AC5" s="221">
        <v>1.0369999999999999</v>
      </c>
      <c r="AD5" s="221">
        <v>1.3368422</v>
      </c>
      <c r="AE5" s="221">
        <v>0.59909880000000004</v>
      </c>
      <c r="AF5" s="221">
        <v>1.2177011199999999</v>
      </c>
      <c r="AG5" s="221">
        <v>0.82124492000000027</v>
      </c>
      <c r="AH5" s="222">
        <v>0.380297</v>
      </c>
      <c r="AI5" s="223">
        <v>0</v>
      </c>
      <c r="AJ5" s="223">
        <v>0.1</v>
      </c>
      <c r="AK5" s="224">
        <v>1.3566744300000002</v>
      </c>
      <c r="AL5" s="224">
        <v>1.2080949699999999</v>
      </c>
      <c r="AM5" s="224">
        <v>1.4</v>
      </c>
      <c r="AN5" s="224">
        <v>0.78166014000000006</v>
      </c>
      <c r="AO5" s="224">
        <v>1.256752E-2</v>
      </c>
      <c r="AP5" s="224">
        <v>0</v>
      </c>
      <c r="AQ5" s="224">
        <v>0</v>
      </c>
      <c r="AR5" s="224">
        <v>0</v>
      </c>
      <c r="AS5" s="224">
        <v>0</v>
      </c>
      <c r="AT5" s="224">
        <v>0</v>
      </c>
      <c r="AU5" s="224">
        <v>0</v>
      </c>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c r="EW5" s="210"/>
      <c r="EX5" s="210"/>
      <c r="EY5" s="210"/>
      <c r="EZ5" s="210"/>
      <c r="FA5" s="210"/>
      <c r="FB5" s="210"/>
      <c r="FC5" s="210"/>
      <c r="FD5" s="210"/>
      <c r="FE5" s="210"/>
      <c r="FF5" s="210"/>
      <c r="FG5" s="210"/>
      <c r="FH5" s="210"/>
      <c r="FI5" s="210"/>
      <c r="FJ5" s="210"/>
      <c r="FK5" s="210"/>
      <c r="FL5" s="210"/>
      <c r="FM5" s="210"/>
      <c r="FN5" s="210"/>
      <c r="FO5" s="210"/>
      <c r="FP5" s="210"/>
      <c r="FQ5" s="210"/>
      <c r="FR5" s="210"/>
      <c r="FS5" s="210"/>
      <c r="FT5" s="210"/>
      <c r="FU5" s="210"/>
      <c r="FV5" s="210"/>
      <c r="FW5" s="210"/>
      <c r="FX5" s="210"/>
      <c r="FY5" s="210"/>
      <c r="FZ5" s="210"/>
      <c r="GA5" s="210"/>
      <c r="GB5" s="210"/>
      <c r="GC5" s="210"/>
      <c r="GD5" s="210"/>
      <c r="GE5" s="210"/>
      <c r="GF5" s="210"/>
      <c r="GG5" s="210"/>
      <c r="GH5" s="210"/>
      <c r="GI5" s="210"/>
      <c r="GJ5" s="210"/>
      <c r="GK5" s="210"/>
      <c r="GL5" s="210"/>
      <c r="GM5" s="210"/>
      <c r="GN5" s="210"/>
      <c r="GO5" s="210"/>
      <c r="GP5" s="210"/>
      <c r="GQ5" s="210"/>
      <c r="GR5" s="210"/>
      <c r="GS5" s="210"/>
      <c r="GT5" s="210"/>
      <c r="GU5" s="210"/>
      <c r="GV5" s="210"/>
      <c r="GW5" s="210"/>
      <c r="GX5" s="210"/>
      <c r="GY5" s="210"/>
      <c r="GZ5" s="210"/>
      <c r="HA5" s="210"/>
      <c r="HB5" s="210"/>
      <c r="HC5" s="210"/>
      <c r="HD5" s="210"/>
      <c r="HE5" s="210"/>
      <c r="HF5" s="210"/>
      <c r="HG5" s="210"/>
      <c r="HH5" s="210"/>
      <c r="HI5" s="210"/>
      <c r="HJ5" s="210"/>
      <c r="HK5" s="210"/>
      <c r="HL5" s="210"/>
      <c r="HM5" s="210"/>
      <c r="HN5" s="210"/>
      <c r="HO5" s="210"/>
      <c r="HP5" s="210"/>
      <c r="HQ5" s="210"/>
      <c r="HR5" s="210"/>
      <c r="HS5" s="210"/>
      <c r="HT5" s="210"/>
      <c r="HU5" s="210"/>
      <c r="HV5" s="210"/>
      <c r="HW5" s="210"/>
      <c r="HX5" s="210"/>
      <c r="HY5" s="210"/>
      <c r="HZ5" s="210"/>
      <c r="IA5" s="210"/>
      <c r="IB5" s="210"/>
      <c r="IC5" s="210"/>
      <c r="ID5" s="210"/>
      <c r="IE5" s="210"/>
      <c r="IF5" s="210"/>
      <c r="IG5" s="210"/>
      <c r="IH5" s="210"/>
      <c r="II5" s="210"/>
      <c r="IJ5" s="210"/>
      <c r="IK5" s="210"/>
      <c r="IL5" s="210"/>
      <c r="IM5" s="210"/>
      <c r="IN5" s="210"/>
      <c r="IO5" s="210"/>
      <c r="IP5" s="210"/>
      <c r="IQ5" s="210"/>
      <c r="IR5" s="210"/>
      <c r="IS5" s="210"/>
      <c r="IT5" s="210"/>
      <c r="IU5" s="210"/>
      <c r="IV5" s="210"/>
      <c r="IW5" s="210"/>
    </row>
    <row r="6" spans="1:257" s="216" customFormat="1" ht="18.649999999999999" customHeight="1" thickBot="1">
      <c r="A6" s="225" t="s">
        <v>343</v>
      </c>
      <c r="B6" s="226">
        <v>30</v>
      </c>
      <c r="C6" s="226">
        <v>17.899999999999999</v>
      </c>
      <c r="D6" s="226">
        <v>61.7</v>
      </c>
      <c r="E6" s="226">
        <v>55.1</v>
      </c>
      <c r="F6" s="226">
        <v>9</v>
      </c>
      <c r="G6" s="226">
        <v>46.4</v>
      </c>
      <c r="H6" s="226">
        <v>9.1</v>
      </c>
      <c r="I6" s="226">
        <v>78.599999999999994</v>
      </c>
      <c r="J6" s="226">
        <v>7.6</v>
      </c>
      <c r="K6" s="226">
        <v>5.3</v>
      </c>
      <c r="L6" s="226">
        <v>4.5</v>
      </c>
      <c r="M6" s="226">
        <v>4</v>
      </c>
      <c r="N6" s="226">
        <v>0.9</v>
      </c>
      <c r="O6" s="226">
        <v>85.8</v>
      </c>
      <c r="P6" s="226">
        <v>39.4</v>
      </c>
      <c r="Q6" s="226">
        <v>39.299999999999997</v>
      </c>
      <c r="R6" s="226">
        <v>45.1</v>
      </c>
      <c r="S6" s="226">
        <v>-42.6</v>
      </c>
      <c r="T6" s="226">
        <v>0</v>
      </c>
      <c r="U6" s="226">
        <v>14.1</v>
      </c>
      <c r="V6" s="226">
        <v>47</v>
      </c>
      <c r="W6" s="226">
        <v>6.2</v>
      </c>
      <c r="X6" s="226">
        <v>8.8000000000000007</v>
      </c>
      <c r="Y6" s="226">
        <v>68.400000000000006</v>
      </c>
      <c r="Z6" s="226">
        <v>75.900000000000006</v>
      </c>
      <c r="AA6" s="226">
        <v>53.8</v>
      </c>
      <c r="AB6" s="227">
        <v>360</v>
      </c>
      <c r="AC6" s="228">
        <v>60.4</v>
      </c>
      <c r="AD6" s="228">
        <v>37.299999999999997</v>
      </c>
      <c r="AE6" s="228">
        <v>135.69999999999999</v>
      </c>
      <c r="AF6" s="228">
        <v>56.4</v>
      </c>
      <c r="AG6" s="228">
        <v>102.95</v>
      </c>
      <c r="AH6" s="229">
        <v>114.5</v>
      </c>
      <c r="AI6" s="230">
        <v>103.59</v>
      </c>
      <c r="AJ6" s="230">
        <v>101.7</v>
      </c>
      <c r="AK6" s="231">
        <v>81.39589715000001</v>
      </c>
      <c r="AL6" s="231">
        <v>34.134514600000003</v>
      </c>
      <c r="AM6" s="231">
        <v>58.9</v>
      </c>
      <c r="AN6" s="231">
        <v>51.766300999999999</v>
      </c>
      <c r="AO6" s="231">
        <v>55.546022000000001</v>
      </c>
      <c r="AP6" s="231">
        <v>106.55452</v>
      </c>
      <c r="AQ6" s="231">
        <v>66.7</v>
      </c>
      <c r="AR6" s="231">
        <v>10.4</v>
      </c>
      <c r="AS6" s="231">
        <v>4.7</v>
      </c>
      <c r="AT6" s="231">
        <v>11.5</v>
      </c>
      <c r="AU6" s="231">
        <v>9.1</v>
      </c>
      <c r="AV6" s="210"/>
      <c r="AW6" s="210"/>
      <c r="AX6" s="210"/>
      <c r="AY6" s="210"/>
      <c r="AZ6" s="210"/>
      <c r="BA6" s="210"/>
      <c r="BB6" s="210"/>
      <c r="BC6" s="210"/>
      <c r="BD6" s="210"/>
      <c r="BE6" s="210"/>
      <c r="BF6" s="210"/>
      <c r="BG6" s="210"/>
      <c r="BH6" s="210"/>
      <c r="BI6" s="210"/>
      <c r="BJ6" s="210"/>
      <c r="BK6" s="210"/>
      <c r="BL6" s="210"/>
      <c r="BM6" s="210"/>
      <c r="BN6" s="210"/>
      <c r="BO6" s="210"/>
      <c r="BP6" s="210"/>
      <c r="BQ6" s="210"/>
      <c r="BR6" s="210"/>
      <c r="BS6" s="210"/>
      <c r="BT6" s="210"/>
      <c r="BU6" s="210"/>
      <c r="BV6" s="210"/>
      <c r="BW6" s="210"/>
      <c r="BX6" s="210"/>
      <c r="BY6" s="210"/>
      <c r="BZ6" s="210"/>
      <c r="CA6" s="210"/>
      <c r="CB6" s="210"/>
      <c r="CC6" s="210"/>
      <c r="CD6" s="210"/>
      <c r="CE6" s="210"/>
      <c r="CF6" s="210"/>
      <c r="CG6" s="210"/>
      <c r="CH6" s="210"/>
      <c r="CI6" s="210"/>
      <c r="CJ6" s="210"/>
      <c r="CK6" s="210"/>
      <c r="CL6" s="210"/>
      <c r="CM6" s="210"/>
      <c r="CN6" s="210"/>
      <c r="CO6" s="210"/>
      <c r="CP6" s="210"/>
      <c r="CQ6" s="210"/>
      <c r="CR6" s="210"/>
      <c r="CS6" s="210"/>
      <c r="CT6" s="210"/>
      <c r="CU6" s="210"/>
      <c r="CV6" s="210"/>
      <c r="CW6" s="210"/>
      <c r="CX6" s="210"/>
      <c r="CY6" s="210"/>
      <c r="CZ6" s="210"/>
      <c r="DA6" s="210"/>
      <c r="DB6" s="210"/>
      <c r="DC6" s="210"/>
      <c r="DD6" s="210"/>
      <c r="DE6" s="210"/>
      <c r="DF6" s="210"/>
      <c r="DG6" s="210"/>
      <c r="DH6" s="210"/>
      <c r="DI6" s="210"/>
      <c r="DJ6" s="210"/>
      <c r="DK6" s="210"/>
      <c r="DL6" s="210"/>
      <c r="DM6" s="210"/>
      <c r="DN6" s="210"/>
      <c r="DO6" s="210"/>
      <c r="DP6" s="210"/>
      <c r="DQ6" s="210"/>
      <c r="DR6" s="210"/>
      <c r="DS6" s="210"/>
      <c r="DT6" s="210"/>
      <c r="DU6" s="210"/>
      <c r="DV6" s="210"/>
      <c r="DW6" s="210"/>
      <c r="DX6" s="210"/>
      <c r="DY6" s="210"/>
      <c r="DZ6" s="210"/>
      <c r="EA6" s="210"/>
      <c r="EB6" s="210"/>
      <c r="EC6" s="210"/>
      <c r="ED6" s="210"/>
      <c r="EE6" s="210"/>
      <c r="EF6" s="210"/>
      <c r="EG6" s="210"/>
      <c r="EH6" s="210"/>
      <c r="EI6" s="210"/>
      <c r="EJ6" s="210"/>
      <c r="EK6" s="210"/>
      <c r="EL6" s="210"/>
      <c r="EM6" s="210"/>
      <c r="EN6" s="210"/>
      <c r="EO6" s="210"/>
      <c r="EP6" s="210"/>
      <c r="EQ6" s="210"/>
      <c r="ER6" s="210"/>
      <c r="ES6" s="210"/>
      <c r="ET6" s="210"/>
      <c r="EU6" s="210"/>
      <c r="EV6" s="210"/>
      <c r="EW6" s="210"/>
      <c r="EX6" s="210"/>
      <c r="EY6" s="210"/>
      <c r="EZ6" s="210"/>
      <c r="FA6" s="210"/>
      <c r="FB6" s="210"/>
      <c r="FC6" s="210"/>
      <c r="FD6" s="210"/>
      <c r="FE6" s="210"/>
      <c r="FF6" s="210"/>
      <c r="FG6" s="210"/>
      <c r="FH6" s="210"/>
      <c r="FI6" s="210"/>
      <c r="FJ6" s="210"/>
      <c r="FK6" s="210"/>
      <c r="FL6" s="210"/>
      <c r="FM6" s="210"/>
      <c r="FN6" s="210"/>
      <c r="FO6" s="210"/>
      <c r="FP6" s="210"/>
      <c r="FQ6" s="210"/>
      <c r="FR6" s="210"/>
      <c r="FS6" s="210"/>
      <c r="FT6" s="210"/>
      <c r="FU6" s="210"/>
      <c r="FV6" s="210"/>
      <c r="FW6" s="210"/>
      <c r="FX6" s="210"/>
      <c r="FY6" s="210"/>
      <c r="FZ6" s="210"/>
      <c r="GA6" s="210"/>
      <c r="GB6" s="210"/>
      <c r="GC6" s="210"/>
      <c r="GD6" s="210"/>
      <c r="GE6" s="210"/>
      <c r="GF6" s="210"/>
      <c r="GG6" s="210"/>
      <c r="GH6" s="210"/>
      <c r="GI6" s="210"/>
      <c r="GJ6" s="210"/>
      <c r="GK6" s="210"/>
      <c r="GL6" s="210"/>
      <c r="GM6" s="210"/>
      <c r="GN6" s="210"/>
      <c r="GO6" s="210"/>
      <c r="GP6" s="210"/>
      <c r="GQ6" s="210"/>
      <c r="GR6" s="210"/>
      <c r="GS6" s="210"/>
      <c r="GT6" s="210"/>
      <c r="GU6" s="210"/>
      <c r="GV6" s="210"/>
      <c r="GW6" s="210"/>
      <c r="GX6" s="210"/>
      <c r="GY6" s="210"/>
      <c r="GZ6" s="210"/>
      <c r="HA6" s="210"/>
      <c r="HB6" s="210"/>
      <c r="HC6" s="210"/>
      <c r="HD6" s="210"/>
      <c r="HE6" s="210"/>
      <c r="HF6" s="210"/>
      <c r="HG6" s="210"/>
      <c r="HH6" s="210"/>
      <c r="HI6" s="210"/>
      <c r="HJ6" s="210"/>
      <c r="HK6" s="210"/>
      <c r="HL6" s="210"/>
      <c r="HM6" s="210"/>
      <c r="HN6" s="210"/>
      <c r="HO6" s="210"/>
      <c r="HP6" s="210"/>
      <c r="HQ6" s="210"/>
      <c r="HR6" s="210"/>
      <c r="HS6" s="210"/>
      <c r="HT6" s="210"/>
      <c r="HU6" s="210"/>
      <c r="HV6" s="210"/>
      <c r="HW6" s="210"/>
      <c r="HX6" s="210"/>
      <c r="HY6" s="210"/>
      <c r="HZ6" s="210"/>
      <c r="IA6" s="210"/>
      <c r="IB6" s="210"/>
      <c r="IC6" s="210"/>
      <c r="ID6" s="210"/>
      <c r="IE6" s="210"/>
      <c r="IF6" s="210"/>
      <c r="IG6" s="210"/>
      <c r="IH6" s="210"/>
      <c r="II6" s="210"/>
      <c r="IJ6" s="210"/>
      <c r="IK6" s="210"/>
      <c r="IL6" s="210"/>
      <c r="IM6" s="210"/>
      <c r="IN6" s="210"/>
      <c r="IO6" s="210"/>
      <c r="IP6" s="210"/>
      <c r="IQ6" s="210"/>
      <c r="IR6" s="210"/>
      <c r="IS6" s="210"/>
      <c r="IT6" s="210"/>
      <c r="IU6" s="210"/>
      <c r="IV6" s="210"/>
      <c r="IW6" s="210"/>
    </row>
    <row r="7" spans="1:257" s="237" customFormat="1" ht="18.649999999999999" customHeight="1" thickBot="1">
      <c r="A7" s="232" t="s">
        <v>344</v>
      </c>
      <c r="B7" s="233">
        <f t="shared" ref="B7:AM7" si="0">SUM(B4:B6)</f>
        <v>30</v>
      </c>
      <c r="C7" s="233">
        <f t="shared" si="0"/>
        <v>17.899999999999999</v>
      </c>
      <c r="D7" s="233">
        <f t="shared" si="0"/>
        <v>61.7</v>
      </c>
      <c r="E7" s="233">
        <f t="shared" si="0"/>
        <v>55.1</v>
      </c>
      <c r="F7" s="233">
        <f t="shared" si="0"/>
        <v>9</v>
      </c>
      <c r="G7" s="233">
        <f t="shared" si="0"/>
        <v>56.599999999999994</v>
      </c>
      <c r="H7" s="233">
        <f t="shared" si="0"/>
        <v>17.100000000000001</v>
      </c>
      <c r="I7" s="233">
        <f t="shared" si="0"/>
        <v>83.3</v>
      </c>
      <c r="J7" s="233">
        <f t="shared" si="0"/>
        <v>15.3</v>
      </c>
      <c r="K7" s="233">
        <f t="shared" si="0"/>
        <v>13.600000000000001</v>
      </c>
      <c r="L7" s="233">
        <f t="shared" si="0"/>
        <v>20.7</v>
      </c>
      <c r="M7" s="233">
        <f t="shared" si="0"/>
        <v>21.7</v>
      </c>
      <c r="N7" s="233">
        <f t="shared" si="0"/>
        <v>12.1</v>
      </c>
      <c r="O7" s="233">
        <f t="shared" si="0"/>
        <v>103.1</v>
      </c>
      <c r="P7" s="233">
        <f t="shared" si="0"/>
        <v>59.9</v>
      </c>
      <c r="Q7" s="233">
        <f t="shared" si="0"/>
        <v>71.8</v>
      </c>
      <c r="R7" s="233">
        <f t="shared" si="0"/>
        <v>71.099999999999994</v>
      </c>
      <c r="S7" s="233">
        <f t="shared" si="0"/>
        <v>-14.5</v>
      </c>
      <c r="T7" s="233">
        <f t="shared" si="0"/>
        <v>22</v>
      </c>
      <c r="U7" s="233">
        <f t="shared" si="0"/>
        <v>28.799999999999997</v>
      </c>
      <c r="V7" s="233">
        <f t="shared" si="0"/>
        <v>60.9</v>
      </c>
      <c r="W7" s="233">
        <f t="shared" si="0"/>
        <v>22.7</v>
      </c>
      <c r="X7" s="233">
        <f t="shared" si="0"/>
        <v>14.9</v>
      </c>
      <c r="Y7" s="233">
        <f t="shared" si="0"/>
        <v>80</v>
      </c>
      <c r="Z7" s="233">
        <f t="shared" si="0"/>
        <v>84.4</v>
      </c>
      <c r="AA7" s="233">
        <f t="shared" si="0"/>
        <v>66</v>
      </c>
      <c r="AB7" s="234">
        <f t="shared" si="0"/>
        <v>396.3</v>
      </c>
      <c r="AC7" s="234">
        <f t="shared" si="0"/>
        <v>96.605999999999995</v>
      </c>
      <c r="AD7" s="234">
        <f t="shared" si="0"/>
        <v>64.171313069999997</v>
      </c>
      <c r="AE7" s="234">
        <f t="shared" si="0"/>
        <v>163.71146123</v>
      </c>
      <c r="AF7" s="234">
        <f t="shared" si="0"/>
        <v>97.616092509999987</v>
      </c>
      <c r="AG7" s="234">
        <f t="shared" si="0"/>
        <v>193.93786518999997</v>
      </c>
      <c r="AH7" s="235">
        <f t="shared" si="0"/>
        <v>172.330297</v>
      </c>
      <c r="AI7" s="235">
        <f t="shared" si="0"/>
        <v>155.69</v>
      </c>
      <c r="AJ7" s="235">
        <f t="shared" si="0"/>
        <v>139.15334831999999</v>
      </c>
      <c r="AK7" s="235">
        <f t="shared" si="0"/>
        <v>104.12590900000001</v>
      </c>
      <c r="AL7" s="235">
        <f t="shared" si="0"/>
        <v>51.372593500000008</v>
      </c>
      <c r="AM7" s="235">
        <f t="shared" si="0"/>
        <v>65.7</v>
      </c>
      <c r="AN7" s="235">
        <v>83.216698000000008</v>
      </c>
      <c r="AO7" s="235">
        <v>77.871587230000003</v>
      </c>
      <c r="AP7" s="235">
        <f t="shared" ref="AP7:AT7" si="1">SUM(AP4:AP6)</f>
        <v>146.73921922</v>
      </c>
      <c r="AQ7" s="235">
        <f t="shared" si="1"/>
        <v>108.6</v>
      </c>
      <c r="AR7" s="235">
        <f t="shared" si="1"/>
        <v>26.519304669999997</v>
      </c>
      <c r="AS7" s="235">
        <f t="shared" si="1"/>
        <v>19.3</v>
      </c>
      <c r="AT7" s="235">
        <f t="shared" si="1"/>
        <v>39.299999999999997</v>
      </c>
      <c r="AU7" s="235">
        <f t="shared" ref="AU7" si="2">SUM(AU4:AU6)</f>
        <v>47.1</v>
      </c>
      <c r="AV7" s="236"/>
      <c r="AW7" s="210"/>
      <c r="AX7" s="210"/>
      <c r="AY7" s="210"/>
      <c r="AZ7" s="210"/>
      <c r="BA7" s="210"/>
      <c r="BB7" s="210"/>
      <c r="BC7" s="210"/>
      <c r="BD7" s="210"/>
      <c r="BE7" s="210"/>
      <c r="BF7" s="210"/>
      <c r="BG7" s="210"/>
      <c r="BH7" s="210"/>
      <c r="BI7" s="210"/>
      <c r="BJ7" s="210"/>
      <c r="BK7" s="210"/>
      <c r="BL7" s="210"/>
      <c r="BM7" s="210"/>
      <c r="BN7" s="210"/>
      <c r="BO7" s="210"/>
      <c r="BP7" s="210"/>
      <c r="BQ7" s="210"/>
      <c r="BR7" s="210"/>
      <c r="BS7" s="210"/>
      <c r="BT7" s="210"/>
      <c r="BU7" s="210"/>
      <c r="BV7" s="210"/>
      <c r="BW7" s="210"/>
      <c r="BX7" s="210"/>
      <c r="BY7" s="210"/>
      <c r="BZ7" s="210"/>
      <c r="CA7" s="210"/>
      <c r="CB7" s="210"/>
      <c r="CC7" s="210"/>
      <c r="CD7" s="210"/>
      <c r="CE7" s="210"/>
      <c r="CF7" s="210"/>
      <c r="CG7" s="210"/>
      <c r="CH7" s="210"/>
      <c r="CI7" s="210"/>
      <c r="CJ7" s="210"/>
      <c r="CK7" s="210"/>
      <c r="CL7" s="210"/>
      <c r="CM7" s="210"/>
      <c r="CN7" s="210"/>
      <c r="CO7" s="210"/>
      <c r="CP7" s="210"/>
      <c r="CQ7" s="210"/>
      <c r="CR7" s="210"/>
      <c r="CS7" s="210"/>
      <c r="CT7" s="210"/>
      <c r="CU7" s="210"/>
      <c r="CV7" s="210"/>
      <c r="CW7" s="210"/>
      <c r="CX7" s="210"/>
      <c r="CY7" s="210"/>
      <c r="CZ7" s="210"/>
      <c r="DA7" s="210"/>
      <c r="DB7" s="210"/>
      <c r="DC7" s="210"/>
      <c r="DD7" s="210"/>
      <c r="DE7" s="210"/>
      <c r="DF7" s="210"/>
      <c r="DG7" s="210"/>
      <c r="DH7" s="210"/>
      <c r="DI7" s="210"/>
      <c r="DJ7" s="210"/>
      <c r="DK7" s="210"/>
      <c r="DL7" s="210"/>
      <c r="DM7" s="210"/>
      <c r="DN7" s="210"/>
      <c r="DO7" s="210"/>
      <c r="DP7" s="210"/>
      <c r="DQ7" s="210"/>
      <c r="DR7" s="210"/>
      <c r="DS7" s="210"/>
      <c r="DT7" s="210"/>
      <c r="DU7" s="210"/>
      <c r="DV7" s="210"/>
      <c r="DW7" s="210"/>
      <c r="DX7" s="210"/>
      <c r="DY7" s="210"/>
      <c r="DZ7" s="210"/>
      <c r="EA7" s="210"/>
      <c r="EB7" s="210"/>
      <c r="EC7" s="210"/>
      <c r="ED7" s="210"/>
      <c r="EE7" s="210"/>
      <c r="EF7" s="210"/>
      <c r="EG7" s="210"/>
      <c r="EH7" s="210"/>
      <c r="EI7" s="210"/>
      <c r="EJ7" s="210"/>
      <c r="EK7" s="210"/>
      <c r="EL7" s="210"/>
      <c r="EM7" s="210"/>
      <c r="EN7" s="210"/>
      <c r="EO7" s="210"/>
      <c r="EP7" s="210"/>
      <c r="EQ7" s="210"/>
      <c r="ER7" s="210"/>
      <c r="ES7" s="210"/>
      <c r="ET7" s="210"/>
      <c r="EU7" s="210"/>
      <c r="EV7" s="210"/>
      <c r="EW7" s="210"/>
      <c r="EX7" s="210"/>
      <c r="EY7" s="210"/>
      <c r="EZ7" s="210"/>
      <c r="FA7" s="210"/>
      <c r="FB7" s="210"/>
      <c r="FC7" s="210"/>
      <c r="FD7" s="210"/>
      <c r="FE7" s="210"/>
      <c r="FF7" s="210"/>
      <c r="FG7" s="210"/>
      <c r="FH7" s="210"/>
      <c r="FI7" s="210"/>
      <c r="FJ7" s="210"/>
      <c r="FK7" s="210"/>
      <c r="FL7" s="210"/>
      <c r="FM7" s="210"/>
      <c r="FN7" s="210"/>
      <c r="FO7" s="210"/>
      <c r="FP7" s="210"/>
      <c r="FQ7" s="210"/>
      <c r="FR7" s="210"/>
      <c r="FS7" s="210"/>
      <c r="FT7" s="210"/>
      <c r="FU7" s="210"/>
      <c r="FV7" s="210"/>
      <c r="FW7" s="210"/>
      <c r="FX7" s="210"/>
      <c r="FY7" s="210"/>
      <c r="FZ7" s="210"/>
      <c r="GA7" s="210"/>
      <c r="GB7" s="210"/>
      <c r="GC7" s="210"/>
      <c r="GD7" s="210"/>
      <c r="GE7" s="210"/>
      <c r="GF7" s="210"/>
      <c r="GG7" s="210"/>
      <c r="GH7" s="210"/>
      <c r="GI7" s="210"/>
      <c r="GJ7" s="210"/>
      <c r="GK7" s="210"/>
      <c r="GL7" s="210"/>
      <c r="GM7" s="210"/>
      <c r="GN7" s="210"/>
      <c r="GO7" s="210"/>
      <c r="GP7" s="210"/>
      <c r="GQ7" s="210"/>
      <c r="GR7" s="210"/>
      <c r="GS7" s="210"/>
      <c r="GT7" s="210"/>
      <c r="GU7" s="210"/>
      <c r="GV7" s="210"/>
      <c r="GW7" s="210"/>
      <c r="GX7" s="210"/>
      <c r="GY7" s="210"/>
      <c r="GZ7" s="210"/>
      <c r="HA7" s="210"/>
      <c r="HB7" s="210"/>
      <c r="HC7" s="210"/>
      <c r="HD7" s="210"/>
      <c r="HE7" s="210"/>
      <c r="HF7" s="210"/>
      <c r="HG7" s="210"/>
      <c r="HH7" s="210"/>
      <c r="HI7" s="210"/>
      <c r="HJ7" s="210"/>
      <c r="HK7" s="210"/>
      <c r="HL7" s="210"/>
      <c r="HM7" s="210"/>
      <c r="HN7" s="210"/>
      <c r="HO7" s="210"/>
      <c r="HP7" s="210"/>
      <c r="HQ7" s="210"/>
      <c r="HR7" s="210"/>
      <c r="HS7" s="210"/>
      <c r="HT7" s="210"/>
      <c r="HU7" s="210"/>
      <c r="HV7" s="210"/>
      <c r="HW7" s="210"/>
      <c r="HX7" s="210"/>
      <c r="HY7" s="210"/>
      <c r="HZ7" s="210"/>
      <c r="IA7" s="210"/>
      <c r="IB7" s="210"/>
      <c r="IC7" s="210"/>
      <c r="ID7" s="210"/>
      <c r="IE7" s="210"/>
      <c r="IF7" s="210"/>
      <c r="IG7" s="210"/>
      <c r="IH7" s="210"/>
      <c r="II7" s="210"/>
      <c r="IJ7" s="210"/>
      <c r="IK7" s="210"/>
      <c r="IL7" s="210"/>
      <c r="IM7" s="210"/>
      <c r="IN7" s="210"/>
      <c r="IO7" s="210"/>
      <c r="IP7" s="210"/>
      <c r="IQ7" s="210"/>
      <c r="IR7" s="210"/>
      <c r="IS7" s="210"/>
      <c r="IT7" s="210"/>
      <c r="IU7" s="210"/>
      <c r="IV7" s="210"/>
      <c r="IW7" s="210"/>
    </row>
    <row r="8" spans="1:257" s="216" customFormat="1" ht="18.649999999999999" customHeight="1">
      <c r="A8" s="211" t="s">
        <v>345</v>
      </c>
      <c r="B8" s="238">
        <v>0</v>
      </c>
      <c r="C8" s="238">
        <v>0</v>
      </c>
      <c r="D8" s="238">
        <v>0</v>
      </c>
      <c r="E8" s="238">
        <v>0</v>
      </c>
      <c r="F8" s="238">
        <v>0</v>
      </c>
      <c r="G8" s="238">
        <v>0</v>
      </c>
      <c r="H8" s="238">
        <v>0</v>
      </c>
      <c r="I8" s="238">
        <v>0</v>
      </c>
      <c r="J8" s="238">
        <v>0</v>
      </c>
      <c r="K8" s="238">
        <v>0</v>
      </c>
      <c r="L8" s="238">
        <v>0</v>
      </c>
      <c r="M8" s="238">
        <v>0</v>
      </c>
      <c r="N8" s="238">
        <v>0</v>
      </c>
      <c r="O8" s="238">
        <v>0</v>
      </c>
      <c r="P8" s="238">
        <v>0</v>
      </c>
      <c r="Q8" s="238"/>
      <c r="R8" s="238"/>
      <c r="S8" s="238"/>
      <c r="T8" s="238"/>
      <c r="U8" s="238"/>
      <c r="V8" s="238"/>
      <c r="W8" s="238"/>
      <c r="X8" s="238"/>
      <c r="Y8" s="238"/>
      <c r="Z8" s="238"/>
      <c r="AA8" s="238"/>
      <c r="AB8" s="239"/>
      <c r="AC8" s="240"/>
      <c r="AD8" s="240"/>
      <c r="AE8" s="240"/>
      <c r="AF8" s="240"/>
      <c r="AG8" s="240"/>
      <c r="AH8" s="241"/>
      <c r="AI8" s="240"/>
      <c r="AJ8" s="240"/>
      <c r="AK8" s="240"/>
      <c r="AL8" s="240"/>
      <c r="AM8" s="240"/>
      <c r="AN8" s="240"/>
      <c r="AO8" s="240"/>
      <c r="AP8" s="240"/>
      <c r="AQ8" s="240"/>
      <c r="AR8" s="240"/>
      <c r="AS8" s="240"/>
      <c r="AT8" s="240"/>
      <c r="AU8" s="240"/>
      <c r="AV8" s="210"/>
      <c r="AW8" s="210"/>
      <c r="AX8" s="210"/>
      <c r="AY8" s="210"/>
      <c r="AZ8" s="210"/>
      <c r="BA8" s="210"/>
      <c r="BB8" s="210"/>
      <c r="BC8" s="210"/>
      <c r="BD8" s="210"/>
      <c r="BE8" s="210"/>
      <c r="BF8" s="210"/>
      <c r="BG8" s="210"/>
      <c r="BH8" s="210"/>
      <c r="BI8" s="210"/>
      <c r="BJ8" s="210"/>
      <c r="BK8" s="210"/>
      <c r="BL8" s="210"/>
      <c r="BM8" s="210"/>
      <c r="BN8" s="210"/>
      <c r="BO8" s="210"/>
      <c r="BP8" s="210"/>
      <c r="BQ8" s="210"/>
      <c r="BR8" s="210"/>
      <c r="BS8" s="210"/>
      <c r="BT8" s="210"/>
      <c r="BU8" s="210"/>
      <c r="BV8" s="210"/>
      <c r="BW8" s="210"/>
      <c r="BX8" s="210"/>
      <c r="BY8" s="210"/>
      <c r="BZ8" s="210"/>
      <c r="CA8" s="210"/>
      <c r="CB8" s="210"/>
      <c r="CC8" s="210"/>
      <c r="CD8" s="210"/>
      <c r="CE8" s="210"/>
      <c r="CF8" s="210"/>
      <c r="CG8" s="210"/>
      <c r="CH8" s="210"/>
      <c r="CI8" s="210"/>
      <c r="CJ8" s="210"/>
      <c r="CK8" s="210"/>
      <c r="CL8" s="210"/>
      <c r="CM8" s="210"/>
      <c r="CN8" s="210"/>
      <c r="CO8" s="210"/>
      <c r="CP8" s="210"/>
      <c r="CQ8" s="210"/>
      <c r="CR8" s="210"/>
      <c r="CS8" s="210"/>
      <c r="CT8" s="210"/>
      <c r="CU8" s="210"/>
      <c r="CV8" s="210"/>
      <c r="CW8" s="210"/>
      <c r="CX8" s="210"/>
      <c r="CY8" s="210"/>
      <c r="CZ8" s="210"/>
      <c r="DA8" s="210"/>
      <c r="DB8" s="210"/>
      <c r="DC8" s="210"/>
      <c r="DD8" s="210"/>
      <c r="DE8" s="210"/>
      <c r="DF8" s="210"/>
      <c r="DG8" s="210"/>
      <c r="DH8" s="210"/>
      <c r="DI8" s="210"/>
      <c r="DJ8" s="210"/>
      <c r="DK8" s="210"/>
      <c r="DL8" s="210"/>
      <c r="DM8" s="210"/>
      <c r="DN8" s="210"/>
      <c r="DO8" s="210"/>
      <c r="DP8" s="210"/>
      <c r="DQ8" s="210"/>
      <c r="DR8" s="210"/>
      <c r="DS8" s="210"/>
      <c r="DT8" s="210"/>
      <c r="DU8" s="210"/>
      <c r="DV8" s="210"/>
      <c r="DW8" s="210"/>
      <c r="DX8" s="210"/>
      <c r="DY8" s="210"/>
      <c r="DZ8" s="210"/>
      <c r="EA8" s="210"/>
      <c r="EB8" s="210"/>
      <c r="EC8" s="210"/>
      <c r="ED8" s="210"/>
      <c r="EE8" s="210"/>
      <c r="EF8" s="210"/>
      <c r="EG8" s="210"/>
      <c r="EH8" s="210"/>
      <c r="EI8" s="210"/>
      <c r="EJ8" s="210"/>
      <c r="EK8" s="210"/>
      <c r="EL8" s="210"/>
      <c r="EM8" s="210"/>
      <c r="EN8" s="210"/>
      <c r="EO8" s="210"/>
      <c r="EP8" s="210"/>
      <c r="EQ8" s="210"/>
      <c r="ER8" s="210"/>
      <c r="ES8" s="210"/>
      <c r="ET8" s="210"/>
      <c r="EU8" s="210"/>
      <c r="EV8" s="210"/>
      <c r="EW8" s="210"/>
      <c r="EX8" s="210"/>
      <c r="EY8" s="210"/>
      <c r="EZ8" s="210"/>
      <c r="FA8" s="210"/>
      <c r="FB8" s="210"/>
      <c r="FC8" s="210"/>
      <c r="FD8" s="210"/>
      <c r="FE8" s="210"/>
      <c r="FF8" s="210"/>
      <c r="FG8" s="210"/>
      <c r="FH8" s="210"/>
      <c r="FI8" s="210"/>
      <c r="FJ8" s="210"/>
      <c r="FK8" s="210"/>
      <c r="FL8" s="210"/>
      <c r="FM8" s="210"/>
      <c r="FN8" s="210"/>
      <c r="FO8" s="210"/>
      <c r="FP8" s="210"/>
      <c r="FQ8" s="210"/>
      <c r="FR8" s="210"/>
      <c r="FS8" s="210"/>
      <c r="FT8" s="210"/>
      <c r="FU8" s="210"/>
      <c r="FV8" s="210"/>
      <c r="FW8" s="210"/>
      <c r="FX8" s="210"/>
      <c r="FY8" s="210"/>
      <c r="FZ8" s="210"/>
      <c r="GA8" s="210"/>
      <c r="GB8" s="210"/>
      <c r="GC8" s="210"/>
      <c r="GD8" s="210"/>
      <c r="GE8" s="210"/>
      <c r="GF8" s="210"/>
      <c r="GG8" s="210"/>
      <c r="GH8" s="210"/>
      <c r="GI8" s="210"/>
      <c r="GJ8" s="210"/>
      <c r="GK8" s="210"/>
      <c r="GL8" s="210"/>
      <c r="GM8" s="210"/>
      <c r="GN8" s="210"/>
      <c r="GO8" s="210"/>
      <c r="GP8" s="210"/>
      <c r="GQ8" s="210"/>
      <c r="GR8" s="210"/>
      <c r="GS8" s="210"/>
      <c r="GT8" s="210"/>
      <c r="GU8" s="210"/>
      <c r="GV8" s="210"/>
      <c r="GW8" s="210"/>
      <c r="GX8" s="210"/>
      <c r="GY8" s="210"/>
      <c r="GZ8" s="210"/>
      <c r="HA8" s="210"/>
      <c r="HB8" s="210"/>
      <c r="HC8" s="210"/>
      <c r="HD8" s="210"/>
      <c r="HE8" s="210"/>
      <c r="HF8" s="210"/>
      <c r="HG8" s="210"/>
      <c r="HH8" s="210"/>
      <c r="HI8" s="210"/>
      <c r="HJ8" s="210"/>
      <c r="HK8" s="210"/>
      <c r="HL8" s="210"/>
      <c r="HM8" s="210"/>
      <c r="HN8" s="210"/>
      <c r="HO8" s="210"/>
      <c r="HP8" s="210"/>
      <c r="HQ8" s="210"/>
      <c r="HR8" s="210"/>
      <c r="HS8" s="210"/>
      <c r="HT8" s="210"/>
      <c r="HU8" s="210"/>
      <c r="HV8" s="210"/>
      <c r="HW8" s="210"/>
      <c r="HX8" s="210"/>
      <c r="HY8" s="210"/>
      <c r="HZ8" s="210"/>
      <c r="IA8" s="210"/>
      <c r="IB8" s="210"/>
      <c r="IC8" s="210"/>
      <c r="ID8" s="210"/>
      <c r="IE8" s="210"/>
      <c r="IF8" s="210"/>
      <c r="IG8" s="210"/>
      <c r="IH8" s="210"/>
      <c r="II8" s="210"/>
      <c r="IJ8" s="210"/>
      <c r="IK8" s="210"/>
      <c r="IL8" s="210"/>
      <c r="IM8" s="210"/>
      <c r="IN8" s="210"/>
      <c r="IO8" s="210"/>
      <c r="IP8" s="210"/>
      <c r="IQ8" s="210"/>
      <c r="IR8" s="210"/>
      <c r="IS8" s="210"/>
      <c r="IT8" s="210"/>
      <c r="IU8" s="210"/>
      <c r="IV8" s="210"/>
      <c r="IW8" s="210"/>
    </row>
    <row r="9" spans="1:257" s="216" customFormat="1" ht="18.649999999999999" customHeight="1">
      <c r="A9" s="242" t="s">
        <v>346</v>
      </c>
      <c r="B9" s="218">
        <v>2.2999999999999998</v>
      </c>
      <c r="C9" s="218">
        <v>2.2999999999999998</v>
      </c>
      <c r="D9" s="218">
        <v>4.5999999999999996</v>
      </c>
      <c r="E9" s="218">
        <v>9.1</v>
      </c>
      <c r="F9" s="218">
        <v>19.600000000000001</v>
      </c>
      <c r="G9" s="218">
        <v>15.9</v>
      </c>
      <c r="H9" s="218">
        <v>19.600000000000001</v>
      </c>
      <c r="I9" s="218">
        <v>22.2</v>
      </c>
      <c r="J9" s="218">
        <v>18.8</v>
      </c>
      <c r="K9" s="218">
        <v>23</v>
      </c>
      <c r="L9" s="218">
        <v>32.799999999999997</v>
      </c>
      <c r="M9" s="218">
        <v>33</v>
      </c>
      <c r="N9" s="218">
        <v>67</v>
      </c>
      <c r="O9" s="218">
        <v>49.6</v>
      </c>
      <c r="P9" s="218">
        <v>55.9</v>
      </c>
      <c r="Q9" s="218">
        <v>71.400000000000006</v>
      </c>
      <c r="R9" s="218">
        <v>68.5</v>
      </c>
      <c r="S9" s="218">
        <v>82.2</v>
      </c>
      <c r="T9" s="218">
        <v>104.9</v>
      </c>
      <c r="U9" s="218">
        <v>108.2</v>
      </c>
      <c r="V9" s="218">
        <v>108.2</v>
      </c>
      <c r="W9" s="218">
        <v>101.1</v>
      </c>
      <c r="X9" s="218">
        <v>137.1</v>
      </c>
      <c r="Y9" s="218">
        <v>140.69999999999999</v>
      </c>
      <c r="Z9" s="218">
        <v>137.9</v>
      </c>
      <c r="AA9" s="218">
        <v>135.80000000000001</v>
      </c>
      <c r="AB9" s="220">
        <v>137.9</v>
      </c>
      <c r="AC9" s="221">
        <v>139.482</v>
      </c>
      <c r="AD9" s="221">
        <v>148.89743393999996</v>
      </c>
      <c r="AE9" s="221">
        <v>177.85944282999998</v>
      </c>
      <c r="AF9" s="221">
        <v>199.58221303000002</v>
      </c>
      <c r="AG9" s="221">
        <v>221.05362423999992</v>
      </c>
      <c r="AH9" s="222">
        <v>248.93</v>
      </c>
      <c r="AI9" s="223">
        <v>239</v>
      </c>
      <c r="AJ9" s="223">
        <v>231.80148199999996</v>
      </c>
      <c r="AK9" s="224">
        <v>258.17721182999998</v>
      </c>
      <c r="AL9" s="224">
        <v>258.14218992999997</v>
      </c>
      <c r="AM9" s="224">
        <v>254.7</v>
      </c>
      <c r="AN9" s="224">
        <v>258.70465134000005</v>
      </c>
      <c r="AO9" s="224">
        <v>240.38390317</v>
      </c>
      <c r="AP9" s="224">
        <v>238.07312463000002</v>
      </c>
      <c r="AQ9" s="224">
        <v>253.6</v>
      </c>
      <c r="AR9" s="224">
        <v>249.43191873000001</v>
      </c>
      <c r="AS9" s="224">
        <v>260.89999999999998</v>
      </c>
      <c r="AT9" s="224">
        <v>270.8</v>
      </c>
      <c r="AU9" s="224">
        <v>317.2</v>
      </c>
      <c r="AV9" s="243"/>
      <c r="AW9" s="210"/>
      <c r="AX9" s="210"/>
      <c r="AY9" s="210"/>
      <c r="AZ9" s="210"/>
      <c r="BA9" s="210"/>
      <c r="BB9" s="210"/>
      <c r="BC9" s="210"/>
      <c r="BD9" s="210"/>
      <c r="BE9" s="210"/>
      <c r="BF9" s="210"/>
      <c r="BG9" s="210"/>
      <c r="BH9" s="210"/>
      <c r="BI9" s="210"/>
      <c r="BJ9" s="210"/>
      <c r="BK9" s="210"/>
      <c r="BL9" s="210"/>
      <c r="BM9" s="210"/>
      <c r="BN9" s="210"/>
      <c r="BO9" s="210"/>
      <c r="BP9" s="210"/>
      <c r="BQ9" s="210"/>
      <c r="BR9" s="210"/>
      <c r="BS9" s="210"/>
      <c r="BT9" s="210"/>
      <c r="BU9" s="210"/>
      <c r="BV9" s="210"/>
      <c r="BW9" s="210"/>
      <c r="BX9" s="210"/>
      <c r="BY9" s="210"/>
      <c r="BZ9" s="210"/>
      <c r="CA9" s="210"/>
      <c r="CB9" s="210"/>
      <c r="CC9" s="210"/>
      <c r="CD9" s="210"/>
      <c r="CE9" s="210"/>
      <c r="CF9" s="210"/>
      <c r="CG9" s="210"/>
      <c r="CH9" s="210"/>
      <c r="CI9" s="210"/>
      <c r="CJ9" s="210"/>
      <c r="CK9" s="210"/>
      <c r="CL9" s="210"/>
      <c r="CM9" s="210"/>
      <c r="CN9" s="210"/>
      <c r="CO9" s="210"/>
      <c r="CP9" s="210"/>
      <c r="CQ9" s="210"/>
      <c r="CR9" s="210"/>
      <c r="CS9" s="210"/>
      <c r="CT9" s="210"/>
      <c r="CU9" s="210"/>
      <c r="CV9" s="210"/>
      <c r="CW9" s="210"/>
      <c r="CX9" s="210"/>
      <c r="CY9" s="210"/>
      <c r="CZ9" s="210"/>
      <c r="DA9" s="210"/>
      <c r="DB9" s="210"/>
      <c r="DC9" s="210"/>
      <c r="DD9" s="210"/>
      <c r="DE9" s="210"/>
      <c r="DF9" s="210"/>
      <c r="DG9" s="210"/>
      <c r="DH9" s="210"/>
      <c r="DI9" s="210"/>
      <c r="DJ9" s="210"/>
      <c r="DK9" s="210"/>
      <c r="DL9" s="210"/>
      <c r="DM9" s="210"/>
      <c r="DN9" s="210"/>
      <c r="DO9" s="210"/>
      <c r="DP9" s="210"/>
      <c r="DQ9" s="210"/>
      <c r="DR9" s="210"/>
      <c r="DS9" s="210"/>
      <c r="DT9" s="210"/>
      <c r="DU9" s="210"/>
      <c r="DV9" s="210"/>
      <c r="DW9" s="210"/>
      <c r="DX9" s="210"/>
      <c r="DY9" s="210"/>
      <c r="DZ9" s="210"/>
      <c r="EA9" s="210"/>
      <c r="EB9" s="210"/>
      <c r="EC9" s="210"/>
      <c r="ED9" s="210"/>
      <c r="EE9" s="210"/>
      <c r="EF9" s="210"/>
      <c r="EG9" s="210"/>
      <c r="EH9" s="210"/>
      <c r="EI9" s="210"/>
      <c r="EJ9" s="210"/>
      <c r="EK9" s="210"/>
      <c r="EL9" s="210"/>
      <c r="EM9" s="210"/>
      <c r="EN9" s="210"/>
      <c r="EO9" s="210"/>
      <c r="EP9" s="210"/>
      <c r="EQ9" s="210"/>
      <c r="ER9" s="210"/>
      <c r="ES9" s="210"/>
      <c r="ET9" s="210"/>
      <c r="EU9" s="210"/>
      <c r="EV9" s="210"/>
      <c r="EW9" s="210"/>
      <c r="EX9" s="210"/>
      <c r="EY9" s="210"/>
      <c r="EZ9" s="210"/>
      <c r="FA9" s="210"/>
      <c r="FB9" s="210"/>
      <c r="FC9" s="210"/>
      <c r="FD9" s="210"/>
      <c r="FE9" s="210"/>
      <c r="FF9" s="210"/>
      <c r="FG9" s="210"/>
      <c r="FH9" s="210"/>
      <c r="FI9" s="210"/>
      <c r="FJ9" s="210"/>
      <c r="FK9" s="210"/>
      <c r="FL9" s="210"/>
      <c r="FM9" s="210"/>
      <c r="FN9" s="210"/>
      <c r="FO9" s="210"/>
      <c r="FP9" s="210"/>
      <c r="FQ9" s="210"/>
      <c r="FR9" s="210"/>
      <c r="FS9" s="210"/>
      <c r="FT9" s="210"/>
      <c r="FU9" s="210"/>
      <c r="FV9" s="210"/>
      <c r="FW9" s="210"/>
      <c r="FX9" s="210"/>
      <c r="FY9" s="210"/>
      <c r="FZ9" s="210"/>
      <c r="GA9" s="210"/>
      <c r="GB9" s="210"/>
      <c r="GC9" s="210"/>
      <c r="GD9" s="210"/>
      <c r="GE9" s="210"/>
      <c r="GF9" s="210"/>
      <c r="GG9" s="210"/>
      <c r="GH9" s="210"/>
      <c r="GI9" s="210"/>
      <c r="GJ9" s="210"/>
      <c r="GK9" s="210"/>
      <c r="GL9" s="210"/>
      <c r="GM9" s="210"/>
      <c r="GN9" s="210"/>
      <c r="GO9" s="210"/>
      <c r="GP9" s="210"/>
      <c r="GQ9" s="210"/>
      <c r="GR9" s="210"/>
      <c r="GS9" s="210"/>
      <c r="GT9" s="210"/>
      <c r="GU9" s="210"/>
      <c r="GV9" s="210"/>
      <c r="GW9" s="210"/>
      <c r="GX9" s="210"/>
      <c r="GY9" s="210"/>
      <c r="GZ9" s="210"/>
      <c r="HA9" s="210"/>
      <c r="HB9" s="210"/>
      <c r="HC9" s="210"/>
      <c r="HD9" s="210"/>
      <c r="HE9" s="210"/>
      <c r="HF9" s="210"/>
      <c r="HG9" s="210"/>
      <c r="HH9" s="210"/>
      <c r="HI9" s="210"/>
      <c r="HJ9" s="210"/>
      <c r="HK9" s="210"/>
      <c r="HL9" s="210"/>
      <c r="HM9" s="210"/>
      <c r="HN9" s="210"/>
      <c r="HO9" s="210"/>
      <c r="HP9" s="210"/>
      <c r="HQ9" s="210"/>
      <c r="HR9" s="210"/>
      <c r="HS9" s="210"/>
      <c r="HT9" s="210"/>
      <c r="HU9" s="210"/>
      <c r="HV9" s="210"/>
      <c r="HW9" s="210"/>
      <c r="HX9" s="210"/>
      <c r="HY9" s="210"/>
      <c r="HZ9" s="210"/>
      <c r="IA9" s="210"/>
      <c r="IB9" s="210"/>
      <c r="IC9" s="210"/>
      <c r="ID9" s="210"/>
      <c r="IE9" s="210"/>
      <c r="IF9" s="210"/>
      <c r="IG9" s="210"/>
      <c r="IH9" s="210"/>
      <c r="II9" s="210"/>
      <c r="IJ9" s="210"/>
      <c r="IK9" s="210"/>
      <c r="IL9" s="210"/>
      <c r="IM9" s="210"/>
      <c r="IN9" s="210"/>
      <c r="IO9" s="210"/>
      <c r="IP9" s="210"/>
      <c r="IQ9" s="210"/>
      <c r="IR9" s="210"/>
      <c r="IS9" s="210"/>
      <c r="IT9" s="210"/>
      <c r="IU9" s="210"/>
      <c r="IV9" s="210"/>
      <c r="IW9" s="210"/>
    </row>
    <row r="10" spans="1:257" s="216" customFormat="1" ht="18.649999999999999" customHeight="1">
      <c r="A10" s="242" t="s">
        <v>347</v>
      </c>
      <c r="B10" s="238"/>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20"/>
      <c r="AC10" s="221"/>
      <c r="AD10" s="221"/>
      <c r="AE10" s="221"/>
      <c r="AF10" s="221"/>
      <c r="AG10" s="221"/>
      <c r="AH10" s="222"/>
      <c r="AI10" s="223">
        <v>0.2</v>
      </c>
      <c r="AJ10" s="223">
        <v>0.3</v>
      </c>
      <c r="AK10" s="224">
        <v>0.12382228999999997</v>
      </c>
      <c r="AL10" s="224">
        <v>1.3212650000000003E-2</v>
      </c>
      <c r="AM10" s="224">
        <v>0</v>
      </c>
      <c r="AN10" s="224">
        <v>6.6416380000000011E-2</v>
      </c>
      <c r="AO10" s="224">
        <v>6.3245499999999991E-3</v>
      </c>
      <c r="AP10" s="224">
        <v>8.0871199999999997E-3</v>
      </c>
      <c r="AQ10" s="224">
        <v>0</v>
      </c>
      <c r="AR10" s="224">
        <v>0.2</v>
      </c>
      <c r="AS10" s="224">
        <v>1</v>
      </c>
      <c r="AT10" s="224">
        <v>1.4</v>
      </c>
      <c r="AU10" s="224">
        <v>1.7</v>
      </c>
      <c r="AV10" s="210"/>
      <c r="AW10" s="210"/>
      <c r="AX10" s="210"/>
      <c r="AY10" s="210"/>
      <c r="AZ10" s="210"/>
      <c r="BA10" s="210"/>
      <c r="BB10" s="210"/>
      <c r="BC10" s="210"/>
      <c r="BD10" s="210"/>
      <c r="BE10" s="210"/>
      <c r="BF10" s="210"/>
      <c r="BG10" s="210"/>
      <c r="BH10" s="210"/>
      <c r="BI10" s="210"/>
      <c r="BJ10" s="210"/>
      <c r="BK10" s="210"/>
      <c r="BL10" s="210"/>
      <c r="BM10" s="210"/>
      <c r="BN10" s="210"/>
      <c r="BO10" s="210"/>
      <c r="BP10" s="210"/>
      <c r="BQ10" s="210"/>
      <c r="BR10" s="210"/>
      <c r="BS10" s="210"/>
      <c r="BT10" s="210"/>
      <c r="BU10" s="210"/>
      <c r="BV10" s="210"/>
      <c r="BW10" s="210"/>
      <c r="BX10" s="210"/>
      <c r="BY10" s="210"/>
      <c r="BZ10" s="210"/>
      <c r="CA10" s="210"/>
      <c r="CB10" s="210"/>
      <c r="CC10" s="210"/>
      <c r="CD10" s="210"/>
      <c r="CE10" s="210"/>
      <c r="CF10" s="210"/>
      <c r="CG10" s="210"/>
      <c r="CH10" s="210"/>
      <c r="CI10" s="210"/>
      <c r="CJ10" s="210"/>
      <c r="CK10" s="210"/>
      <c r="CL10" s="210"/>
      <c r="CM10" s="210"/>
      <c r="CN10" s="210"/>
      <c r="CO10" s="210"/>
      <c r="CP10" s="210"/>
      <c r="CQ10" s="210"/>
      <c r="CR10" s="210"/>
      <c r="CS10" s="210"/>
      <c r="CT10" s="210"/>
      <c r="CU10" s="210"/>
      <c r="CV10" s="210"/>
      <c r="CW10" s="210"/>
      <c r="CX10" s="210"/>
      <c r="CY10" s="210"/>
      <c r="CZ10" s="210"/>
      <c r="DA10" s="210"/>
      <c r="DB10" s="210"/>
      <c r="DC10" s="210"/>
      <c r="DD10" s="210"/>
      <c r="DE10" s="210"/>
      <c r="DF10" s="210"/>
      <c r="DG10" s="210"/>
      <c r="DH10" s="210"/>
      <c r="DI10" s="210"/>
      <c r="DJ10" s="210"/>
      <c r="DK10" s="210"/>
      <c r="DL10" s="210"/>
      <c r="DM10" s="210"/>
      <c r="DN10" s="210"/>
      <c r="DO10" s="210"/>
      <c r="DP10" s="210"/>
      <c r="DQ10" s="210"/>
      <c r="DR10" s="210"/>
      <c r="DS10" s="210"/>
      <c r="DT10" s="210"/>
      <c r="DU10" s="210"/>
      <c r="DV10" s="210"/>
      <c r="DW10" s="210"/>
      <c r="DX10" s="210"/>
      <c r="DY10" s="210"/>
      <c r="DZ10" s="210"/>
      <c r="EA10" s="210"/>
      <c r="EB10" s="210"/>
      <c r="EC10" s="210"/>
      <c r="ED10" s="210"/>
      <c r="EE10" s="210"/>
      <c r="EF10" s="210"/>
      <c r="EG10" s="210"/>
      <c r="EH10" s="210"/>
      <c r="EI10" s="210"/>
      <c r="EJ10" s="210"/>
      <c r="EK10" s="210"/>
      <c r="EL10" s="210"/>
      <c r="EM10" s="210"/>
      <c r="EN10" s="210"/>
      <c r="EO10" s="210"/>
      <c r="EP10" s="210"/>
      <c r="EQ10" s="210"/>
      <c r="ER10" s="210"/>
      <c r="ES10" s="210"/>
      <c r="ET10" s="210"/>
      <c r="EU10" s="210"/>
      <c r="EV10" s="210"/>
      <c r="EW10" s="210"/>
      <c r="EX10" s="210"/>
      <c r="EY10" s="210"/>
      <c r="EZ10" s="210"/>
      <c r="FA10" s="210"/>
      <c r="FB10" s="210"/>
      <c r="FC10" s="210"/>
      <c r="FD10" s="210"/>
      <c r="FE10" s="210"/>
      <c r="FF10" s="210"/>
      <c r="FG10" s="210"/>
      <c r="FH10" s="210"/>
      <c r="FI10" s="210"/>
      <c r="FJ10" s="210"/>
      <c r="FK10" s="210"/>
      <c r="FL10" s="210"/>
      <c r="FM10" s="210"/>
      <c r="FN10" s="210"/>
      <c r="FO10" s="210"/>
      <c r="FP10" s="210"/>
      <c r="FQ10" s="210"/>
      <c r="FR10" s="210"/>
      <c r="FS10" s="210"/>
      <c r="FT10" s="210"/>
      <c r="FU10" s="210"/>
      <c r="FV10" s="210"/>
      <c r="FW10" s="210"/>
      <c r="FX10" s="210"/>
      <c r="FY10" s="210"/>
      <c r="FZ10" s="210"/>
      <c r="GA10" s="210"/>
      <c r="GB10" s="210"/>
      <c r="GC10" s="210"/>
      <c r="GD10" s="210"/>
      <c r="GE10" s="210"/>
      <c r="GF10" s="210"/>
      <c r="GG10" s="210"/>
      <c r="GH10" s="210"/>
      <c r="GI10" s="210"/>
      <c r="GJ10" s="210"/>
      <c r="GK10" s="210"/>
      <c r="GL10" s="210"/>
      <c r="GM10" s="210"/>
      <c r="GN10" s="210"/>
      <c r="GO10" s="210"/>
      <c r="GP10" s="210"/>
      <c r="GQ10" s="210"/>
      <c r="GR10" s="210"/>
      <c r="GS10" s="210"/>
      <c r="GT10" s="210"/>
      <c r="GU10" s="210"/>
      <c r="GV10" s="210"/>
      <c r="GW10" s="210"/>
      <c r="GX10" s="210"/>
      <c r="GY10" s="210"/>
      <c r="GZ10" s="210"/>
      <c r="HA10" s="210"/>
      <c r="HB10" s="210"/>
      <c r="HC10" s="210"/>
      <c r="HD10" s="210"/>
      <c r="HE10" s="210"/>
      <c r="HF10" s="210"/>
      <c r="HG10" s="210"/>
      <c r="HH10" s="210"/>
      <c r="HI10" s="210"/>
      <c r="HJ10" s="210"/>
      <c r="HK10" s="210"/>
      <c r="HL10" s="210"/>
      <c r="HM10" s="210"/>
      <c r="HN10" s="210"/>
      <c r="HO10" s="210"/>
      <c r="HP10" s="210"/>
      <c r="HQ10" s="210"/>
      <c r="HR10" s="210"/>
      <c r="HS10" s="210"/>
      <c r="HT10" s="210"/>
      <c r="HU10" s="210"/>
      <c r="HV10" s="210"/>
      <c r="HW10" s="210"/>
      <c r="HX10" s="210"/>
      <c r="HY10" s="210"/>
      <c r="HZ10" s="210"/>
      <c r="IA10" s="210"/>
      <c r="IB10" s="210"/>
      <c r="IC10" s="210"/>
      <c r="ID10" s="210"/>
      <c r="IE10" s="210"/>
      <c r="IF10" s="210"/>
      <c r="IG10" s="210"/>
      <c r="IH10" s="210"/>
      <c r="II10" s="210"/>
      <c r="IJ10" s="210"/>
      <c r="IK10" s="210"/>
      <c r="IL10" s="210"/>
      <c r="IM10" s="210"/>
      <c r="IN10" s="210"/>
      <c r="IO10" s="210"/>
      <c r="IP10" s="210"/>
      <c r="IQ10" s="210"/>
      <c r="IR10" s="210"/>
      <c r="IS10" s="210"/>
      <c r="IT10" s="210"/>
      <c r="IU10" s="210"/>
      <c r="IV10" s="210"/>
      <c r="IW10" s="210"/>
    </row>
    <row r="11" spans="1:257" s="216" customFormat="1" ht="18.649999999999999" customHeight="1">
      <c r="A11" s="242" t="s">
        <v>348</v>
      </c>
      <c r="B11" s="238">
        <v>0</v>
      </c>
      <c r="C11" s="238">
        <v>0</v>
      </c>
      <c r="D11" s="238">
        <v>0</v>
      </c>
      <c r="E11" s="238">
        <v>0</v>
      </c>
      <c r="F11" s="238">
        <v>0</v>
      </c>
      <c r="G11" s="238">
        <v>0</v>
      </c>
      <c r="H11" s="238">
        <v>0</v>
      </c>
      <c r="I11" s="238">
        <v>0</v>
      </c>
      <c r="J11" s="238">
        <v>0</v>
      </c>
      <c r="K11" s="238">
        <v>0</v>
      </c>
      <c r="L11" s="238">
        <v>0</v>
      </c>
      <c r="M11" s="238">
        <v>0</v>
      </c>
      <c r="N11" s="238">
        <v>0</v>
      </c>
      <c r="O11" s="238">
        <v>0</v>
      </c>
      <c r="P11" s="238">
        <v>0</v>
      </c>
      <c r="Q11" s="238"/>
      <c r="R11" s="238"/>
      <c r="S11" s="238"/>
      <c r="T11" s="238"/>
      <c r="U11" s="238"/>
      <c r="V11" s="238"/>
      <c r="W11" s="238">
        <v>2.9</v>
      </c>
      <c r="X11" s="238">
        <v>7.1</v>
      </c>
      <c r="Y11" s="238">
        <v>6.5</v>
      </c>
      <c r="Z11" s="238">
        <v>7.8</v>
      </c>
      <c r="AA11" s="238">
        <v>0.01</v>
      </c>
      <c r="AB11" s="220">
        <v>0</v>
      </c>
      <c r="AC11" s="221">
        <v>0</v>
      </c>
      <c r="AD11" s="221">
        <v>0</v>
      </c>
      <c r="AE11" s="221">
        <v>0</v>
      </c>
      <c r="AF11" s="221">
        <v>0</v>
      </c>
      <c r="AG11" s="221">
        <v>0</v>
      </c>
      <c r="AH11" s="222">
        <v>0</v>
      </c>
      <c r="AI11" s="223">
        <v>0</v>
      </c>
      <c r="AJ11" s="223">
        <v>0</v>
      </c>
      <c r="AK11" s="224">
        <v>0</v>
      </c>
      <c r="AL11" s="224">
        <v>0</v>
      </c>
      <c r="AM11" s="224">
        <v>0</v>
      </c>
      <c r="AN11" s="224">
        <v>0</v>
      </c>
      <c r="AO11" s="224">
        <v>0</v>
      </c>
      <c r="AP11" s="224">
        <v>0</v>
      </c>
      <c r="AQ11" s="224">
        <v>0</v>
      </c>
      <c r="AR11" s="224">
        <v>0</v>
      </c>
      <c r="AS11" s="224">
        <v>0</v>
      </c>
      <c r="AT11" s="224">
        <v>0</v>
      </c>
      <c r="AU11" s="224">
        <v>0</v>
      </c>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10"/>
      <c r="CZ11" s="210"/>
      <c r="DA11" s="210"/>
      <c r="DB11" s="210"/>
      <c r="DC11" s="210"/>
      <c r="DD11" s="210"/>
      <c r="DE11" s="210"/>
      <c r="DF11" s="210"/>
      <c r="DG11" s="210"/>
      <c r="DH11" s="210"/>
      <c r="DI11" s="210"/>
      <c r="DJ11" s="210"/>
      <c r="DK11" s="210"/>
      <c r="DL11" s="210"/>
      <c r="DM11" s="210"/>
      <c r="DN11" s="210"/>
      <c r="DO11" s="210"/>
      <c r="DP11" s="210"/>
      <c r="DQ11" s="210"/>
      <c r="DR11" s="210"/>
      <c r="DS11" s="210"/>
      <c r="DT11" s="210"/>
      <c r="DU11" s="210"/>
      <c r="DV11" s="210"/>
      <c r="DW11" s="210"/>
      <c r="DX11" s="210"/>
      <c r="DY11" s="210"/>
      <c r="DZ11" s="210"/>
      <c r="EA11" s="210"/>
      <c r="EB11" s="210"/>
      <c r="EC11" s="210"/>
      <c r="ED11" s="210"/>
      <c r="EE11" s="210"/>
      <c r="EF11" s="210"/>
      <c r="EG11" s="210"/>
      <c r="EH11" s="210"/>
      <c r="EI11" s="210"/>
      <c r="EJ11" s="210"/>
      <c r="EK11" s="210"/>
      <c r="EL11" s="210"/>
      <c r="EM11" s="210"/>
      <c r="EN11" s="210"/>
      <c r="EO11" s="210"/>
      <c r="EP11" s="210"/>
      <c r="EQ11" s="210"/>
      <c r="ER11" s="210"/>
      <c r="ES11" s="210"/>
      <c r="ET11" s="210"/>
      <c r="EU11" s="210"/>
      <c r="EV11" s="210"/>
      <c r="EW11" s="210"/>
      <c r="EX11" s="210"/>
      <c r="EY11" s="210"/>
      <c r="EZ11" s="210"/>
      <c r="FA11" s="210"/>
      <c r="FB11" s="210"/>
      <c r="FC11" s="210"/>
      <c r="FD11" s="210"/>
      <c r="FE11" s="210"/>
      <c r="FF11" s="210"/>
      <c r="FG11" s="210"/>
      <c r="FH11" s="210"/>
      <c r="FI11" s="210"/>
      <c r="FJ11" s="210"/>
      <c r="FK11" s="210"/>
      <c r="FL11" s="210"/>
      <c r="FM11" s="210"/>
      <c r="FN11" s="210"/>
      <c r="FO11" s="210"/>
      <c r="FP11" s="210"/>
      <c r="FQ11" s="210"/>
      <c r="FR11" s="210"/>
      <c r="FS11" s="210"/>
      <c r="FT11" s="210"/>
      <c r="FU11" s="210"/>
      <c r="FV11" s="210"/>
      <c r="FW11" s="210"/>
      <c r="FX11" s="210"/>
      <c r="FY11" s="210"/>
      <c r="FZ11" s="210"/>
      <c r="GA11" s="210"/>
      <c r="GB11" s="210"/>
      <c r="GC11" s="210"/>
      <c r="GD11" s="210"/>
      <c r="GE11" s="210"/>
      <c r="GF11" s="210"/>
      <c r="GG11" s="210"/>
      <c r="GH11" s="210"/>
      <c r="GI11" s="210"/>
      <c r="GJ11" s="210"/>
      <c r="GK11" s="210"/>
      <c r="GL11" s="210"/>
      <c r="GM11" s="210"/>
      <c r="GN11" s="210"/>
      <c r="GO11" s="210"/>
      <c r="GP11" s="210"/>
      <c r="GQ11" s="210"/>
      <c r="GR11" s="210"/>
      <c r="GS11" s="210"/>
      <c r="GT11" s="210"/>
      <c r="GU11" s="210"/>
      <c r="GV11" s="210"/>
      <c r="GW11" s="210"/>
      <c r="GX11" s="210"/>
      <c r="GY11" s="210"/>
      <c r="GZ11" s="210"/>
      <c r="HA11" s="210"/>
      <c r="HB11" s="210"/>
      <c r="HC11" s="210"/>
      <c r="HD11" s="210"/>
      <c r="HE11" s="210"/>
      <c r="HF11" s="210"/>
      <c r="HG11" s="210"/>
      <c r="HH11" s="210"/>
      <c r="HI11" s="210"/>
      <c r="HJ11" s="210"/>
      <c r="HK11" s="210"/>
      <c r="HL11" s="210"/>
      <c r="HM11" s="210"/>
      <c r="HN11" s="210"/>
      <c r="HO11" s="210"/>
      <c r="HP11" s="210"/>
      <c r="HQ11" s="210"/>
      <c r="HR11" s="210"/>
      <c r="HS11" s="210"/>
      <c r="HT11" s="210"/>
      <c r="HU11" s="210"/>
      <c r="HV11" s="210"/>
      <c r="HW11" s="210"/>
      <c r="HX11" s="210"/>
      <c r="HY11" s="210"/>
      <c r="HZ11" s="210"/>
      <c r="IA11" s="210"/>
      <c r="IB11" s="210"/>
      <c r="IC11" s="210"/>
      <c r="ID11" s="210"/>
      <c r="IE11" s="210"/>
      <c r="IF11" s="210"/>
      <c r="IG11" s="210"/>
      <c r="IH11" s="210"/>
      <c r="II11" s="210"/>
      <c r="IJ11" s="210"/>
      <c r="IK11" s="210"/>
      <c r="IL11" s="210"/>
      <c r="IM11" s="210"/>
      <c r="IN11" s="210"/>
      <c r="IO11" s="210"/>
      <c r="IP11" s="210"/>
      <c r="IQ11" s="210"/>
      <c r="IR11" s="210"/>
      <c r="IS11" s="210"/>
      <c r="IT11" s="210"/>
      <c r="IU11" s="210"/>
      <c r="IV11" s="210"/>
      <c r="IW11" s="210"/>
    </row>
    <row r="12" spans="1:257" s="216" customFormat="1" ht="18.649999999999999" customHeight="1">
      <c r="A12" s="242" t="s">
        <v>349</v>
      </c>
      <c r="B12" s="218">
        <v>0</v>
      </c>
      <c r="C12" s="218">
        <v>0</v>
      </c>
      <c r="D12" s="218">
        <v>0</v>
      </c>
      <c r="E12" s="218">
        <v>0</v>
      </c>
      <c r="F12" s="218">
        <v>0</v>
      </c>
      <c r="G12" s="218">
        <v>0</v>
      </c>
      <c r="H12" s="218">
        <v>0</v>
      </c>
      <c r="I12" s="218">
        <v>0</v>
      </c>
      <c r="J12" s="218">
        <v>0</v>
      </c>
      <c r="K12" s="218">
        <v>0</v>
      </c>
      <c r="L12" s="218">
        <v>0</v>
      </c>
      <c r="M12" s="218">
        <v>0</v>
      </c>
      <c r="N12" s="218">
        <v>0</v>
      </c>
      <c r="O12" s="218">
        <v>0</v>
      </c>
      <c r="P12" s="218">
        <v>0</v>
      </c>
      <c r="Q12" s="218"/>
      <c r="R12" s="218"/>
      <c r="S12" s="218"/>
      <c r="T12" s="218"/>
      <c r="U12" s="218"/>
      <c r="V12" s="218"/>
      <c r="W12" s="218"/>
      <c r="X12" s="218"/>
      <c r="Y12" s="218"/>
      <c r="Z12" s="218"/>
      <c r="AA12" s="218"/>
      <c r="AB12" s="220"/>
      <c r="AC12" s="215"/>
      <c r="AD12" s="215"/>
      <c r="AE12" s="215"/>
      <c r="AF12" s="215"/>
      <c r="AG12" s="215"/>
      <c r="AH12" s="244"/>
      <c r="AI12" s="245"/>
      <c r="AJ12" s="245"/>
      <c r="AK12" s="215"/>
      <c r="AL12" s="215"/>
      <c r="AM12" s="215"/>
      <c r="AN12" s="215"/>
      <c r="AO12" s="215"/>
      <c r="AP12" s="215"/>
      <c r="AQ12" s="215"/>
      <c r="AR12" s="215"/>
      <c r="AS12" s="215"/>
      <c r="AT12" s="215"/>
      <c r="AU12" s="215"/>
      <c r="AV12" s="210"/>
      <c r="AW12" s="210"/>
      <c r="AX12" s="210"/>
      <c r="AY12" s="210"/>
      <c r="AZ12" s="210"/>
      <c r="BA12" s="210"/>
      <c r="BB12" s="210"/>
      <c r="BC12" s="210"/>
      <c r="BD12" s="210"/>
      <c r="BE12" s="210"/>
      <c r="BF12" s="210"/>
      <c r="BG12" s="210"/>
      <c r="BH12" s="210"/>
      <c r="BI12" s="210"/>
      <c r="BJ12" s="210"/>
      <c r="BK12" s="210"/>
      <c r="BL12" s="210"/>
      <c r="BM12" s="210"/>
      <c r="BN12" s="210"/>
      <c r="BO12" s="210"/>
      <c r="BP12" s="210"/>
      <c r="BQ12" s="210"/>
      <c r="BR12" s="210"/>
      <c r="BS12" s="210"/>
      <c r="BT12" s="210"/>
      <c r="BU12" s="210"/>
      <c r="BV12" s="210"/>
      <c r="BW12" s="210"/>
      <c r="BX12" s="210"/>
      <c r="BY12" s="210"/>
      <c r="BZ12" s="210"/>
      <c r="CA12" s="210"/>
      <c r="CB12" s="210"/>
      <c r="CC12" s="210"/>
      <c r="CD12" s="210"/>
      <c r="CE12" s="210"/>
      <c r="CF12" s="210"/>
      <c r="CG12" s="210"/>
      <c r="CH12" s="210"/>
      <c r="CI12" s="210"/>
      <c r="CJ12" s="210"/>
      <c r="CK12" s="210"/>
      <c r="CL12" s="210"/>
      <c r="CM12" s="210"/>
      <c r="CN12" s="210"/>
      <c r="CO12" s="210"/>
      <c r="CP12" s="210"/>
      <c r="CQ12" s="210"/>
      <c r="CR12" s="210"/>
      <c r="CS12" s="210"/>
      <c r="CT12" s="210"/>
      <c r="CU12" s="210"/>
      <c r="CV12" s="210"/>
      <c r="CW12" s="210"/>
      <c r="CX12" s="210"/>
      <c r="CY12" s="210"/>
      <c r="CZ12" s="210"/>
      <c r="DA12" s="210"/>
      <c r="DB12" s="210"/>
      <c r="DC12" s="210"/>
      <c r="DD12" s="210"/>
      <c r="DE12" s="210"/>
      <c r="DF12" s="210"/>
      <c r="DG12" s="210"/>
      <c r="DH12" s="210"/>
      <c r="DI12" s="210"/>
      <c r="DJ12" s="210"/>
      <c r="DK12" s="210"/>
      <c r="DL12" s="210"/>
      <c r="DM12" s="210"/>
      <c r="DN12" s="210"/>
      <c r="DO12" s="210"/>
      <c r="DP12" s="210"/>
      <c r="DQ12" s="210"/>
      <c r="DR12" s="210"/>
      <c r="DS12" s="210"/>
      <c r="DT12" s="210"/>
      <c r="DU12" s="210"/>
      <c r="DV12" s="210"/>
      <c r="DW12" s="210"/>
      <c r="DX12" s="210"/>
      <c r="DY12" s="210"/>
      <c r="DZ12" s="210"/>
      <c r="EA12" s="210"/>
      <c r="EB12" s="210"/>
      <c r="EC12" s="210"/>
      <c r="ED12" s="210"/>
      <c r="EE12" s="210"/>
      <c r="EF12" s="210"/>
      <c r="EG12" s="210"/>
      <c r="EH12" s="210"/>
      <c r="EI12" s="210"/>
      <c r="EJ12" s="210"/>
      <c r="EK12" s="210"/>
      <c r="EL12" s="210"/>
      <c r="EM12" s="210"/>
      <c r="EN12" s="210"/>
      <c r="EO12" s="210"/>
      <c r="EP12" s="210"/>
      <c r="EQ12" s="210"/>
      <c r="ER12" s="210"/>
      <c r="ES12" s="210"/>
      <c r="ET12" s="210"/>
      <c r="EU12" s="210"/>
      <c r="EV12" s="210"/>
      <c r="EW12" s="210"/>
      <c r="EX12" s="210"/>
      <c r="EY12" s="210"/>
      <c r="EZ12" s="210"/>
      <c r="FA12" s="210"/>
      <c r="FB12" s="210"/>
      <c r="FC12" s="210"/>
      <c r="FD12" s="210"/>
      <c r="FE12" s="210"/>
      <c r="FF12" s="210"/>
      <c r="FG12" s="210"/>
      <c r="FH12" s="210"/>
      <c r="FI12" s="210"/>
      <c r="FJ12" s="210"/>
      <c r="FK12" s="210"/>
      <c r="FL12" s="210"/>
      <c r="FM12" s="210"/>
      <c r="FN12" s="210"/>
      <c r="FO12" s="210"/>
      <c r="FP12" s="210"/>
      <c r="FQ12" s="210"/>
      <c r="FR12" s="210"/>
      <c r="FS12" s="210"/>
      <c r="FT12" s="210"/>
      <c r="FU12" s="210"/>
      <c r="FV12" s="210"/>
      <c r="FW12" s="210"/>
      <c r="FX12" s="210"/>
      <c r="FY12" s="210"/>
      <c r="FZ12" s="210"/>
      <c r="GA12" s="210"/>
      <c r="GB12" s="210"/>
      <c r="GC12" s="210"/>
      <c r="GD12" s="210"/>
      <c r="GE12" s="210"/>
      <c r="GF12" s="210"/>
      <c r="GG12" s="210"/>
      <c r="GH12" s="210"/>
      <c r="GI12" s="210"/>
      <c r="GJ12" s="210"/>
      <c r="GK12" s="210"/>
      <c r="GL12" s="210"/>
      <c r="GM12" s="210"/>
      <c r="GN12" s="210"/>
      <c r="GO12" s="210"/>
      <c r="GP12" s="210"/>
      <c r="GQ12" s="210"/>
      <c r="GR12" s="210"/>
      <c r="GS12" s="210"/>
      <c r="GT12" s="210"/>
      <c r="GU12" s="210"/>
      <c r="GV12" s="210"/>
      <c r="GW12" s="210"/>
      <c r="GX12" s="210"/>
      <c r="GY12" s="210"/>
      <c r="GZ12" s="210"/>
      <c r="HA12" s="210"/>
      <c r="HB12" s="210"/>
      <c r="HC12" s="210"/>
      <c r="HD12" s="210"/>
      <c r="HE12" s="210"/>
      <c r="HF12" s="210"/>
      <c r="HG12" s="210"/>
      <c r="HH12" s="210"/>
      <c r="HI12" s="210"/>
      <c r="HJ12" s="210"/>
      <c r="HK12" s="210"/>
      <c r="HL12" s="210"/>
      <c r="HM12" s="210"/>
      <c r="HN12" s="210"/>
      <c r="HO12" s="210"/>
      <c r="HP12" s="210"/>
      <c r="HQ12" s="210"/>
      <c r="HR12" s="210"/>
      <c r="HS12" s="210"/>
      <c r="HT12" s="210"/>
      <c r="HU12" s="210"/>
      <c r="HV12" s="210"/>
      <c r="HW12" s="210"/>
      <c r="HX12" s="210"/>
      <c r="HY12" s="210"/>
      <c r="HZ12" s="210"/>
      <c r="IA12" s="210"/>
      <c r="IB12" s="210"/>
      <c r="IC12" s="210"/>
      <c r="ID12" s="210"/>
      <c r="IE12" s="210"/>
      <c r="IF12" s="210"/>
      <c r="IG12" s="210"/>
      <c r="IH12" s="210"/>
      <c r="II12" s="210"/>
      <c r="IJ12" s="210"/>
      <c r="IK12" s="210"/>
      <c r="IL12" s="210"/>
      <c r="IM12" s="210"/>
      <c r="IN12" s="210"/>
      <c r="IO12" s="210"/>
      <c r="IP12" s="210"/>
      <c r="IQ12" s="210"/>
      <c r="IR12" s="210"/>
      <c r="IS12" s="210"/>
      <c r="IT12" s="210"/>
      <c r="IU12" s="210"/>
      <c r="IV12" s="210"/>
      <c r="IW12" s="210"/>
    </row>
    <row r="13" spans="1:257" s="216" customFormat="1" ht="18.649999999999999" customHeight="1">
      <c r="A13" s="217" t="s">
        <v>424</v>
      </c>
      <c r="B13" s="218">
        <v>0</v>
      </c>
      <c r="C13" s="218">
        <v>0.5</v>
      </c>
      <c r="D13" s="218">
        <v>1</v>
      </c>
      <c r="E13" s="218">
        <v>2.2000000000000002</v>
      </c>
      <c r="F13" s="218">
        <v>3.6</v>
      </c>
      <c r="G13" s="218">
        <v>5.4</v>
      </c>
      <c r="H13" s="218">
        <v>4.9000000000000004</v>
      </c>
      <c r="I13" s="218">
        <v>5.8</v>
      </c>
      <c r="J13" s="218">
        <v>5.0999999999999996</v>
      </c>
      <c r="K13" s="218">
        <v>7.6</v>
      </c>
      <c r="L13" s="218">
        <v>8.3000000000000007</v>
      </c>
      <c r="M13" s="218">
        <v>8.6999999999999993</v>
      </c>
      <c r="N13" s="218">
        <v>11.2</v>
      </c>
      <c r="O13" s="218">
        <v>11.2</v>
      </c>
      <c r="P13" s="218">
        <v>12.4</v>
      </c>
      <c r="Q13" s="218">
        <v>12.7</v>
      </c>
      <c r="R13" s="218">
        <v>11.5</v>
      </c>
      <c r="S13" s="218">
        <v>11.8</v>
      </c>
      <c r="T13" s="218">
        <v>11.44</v>
      </c>
      <c r="U13" s="218">
        <v>13</v>
      </c>
      <c r="V13" s="218">
        <v>12.4</v>
      </c>
      <c r="W13" s="218">
        <v>12.7</v>
      </c>
      <c r="X13" s="218">
        <v>14.9</v>
      </c>
      <c r="Y13" s="218">
        <v>15.115</v>
      </c>
      <c r="Z13" s="218">
        <v>17.3</v>
      </c>
      <c r="AA13" s="218">
        <v>17.2</v>
      </c>
      <c r="AB13" s="220">
        <v>20.100000000000001</v>
      </c>
      <c r="AC13" s="221">
        <v>19.27</v>
      </c>
      <c r="AD13" s="221">
        <v>19.399999999999999</v>
      </c>
      <c r="AE13" s="221">
        <v>20.77</v>
      </c>
      <c r="AF13" s="221">
        <v>23.300685000000005</v>
      </c>
      <c r="AG13" s="221">
        <v>24.5</v>
      </c>
      <c r="AH13" s="222">
        <v>21.99</v>
      </c>
      <c r="AI13" s="223">
        <v>28.7</v>
      </c>
      <c r="AJ13" s="223">
        <v>31</v>
      </c>
      <c r="AK13" s="224">
        <v>30.930388000000001</v>
      </c>
      <c r="AL13" s="224">
        <v>28.64534832</v>
      </c>
      <c r="AM13" s="224">
        <v>26</v>
      </c>
      <c r="AN13" s="224">
        <v>31.391885770000005</v>
      </c>
      <c r="AO13" s="224">
        <v>26.667754219999999</v>
      </c>
      <c r="AP13" s="224">
        <v>31.852091000000001</v>
      </c>
      <c r="AQ13" s="224">
        <v>30.7</v>
      </c>
      <c r="AR13" s="224">
        <v>33</v>
      </c>
      <c r="AS13" s="224">
        <v>34.9</v>
      </c>
      <c r="AT13" s="224">
        <v>40.200000000000003</v>
      </c>
      <c r="AU13" s="224">
        <v>38.200000000000003</v>
      </c>
      <c r="AV13" s="210"/>
      <c r="AW13" s="210"/>
      <c r="AX13" s="210"/>
      <c r="AY13" s="210"/>
      <c r="AZ13" s="210"/>
      <c r="BA13" s="210"/>
      <c r="BB13" s="210"/>
      <c r="BC13" s="210"/>
      <c r="BD13" s="210"/>
      <c r="BE13" s="210"/>
      <c r="BF13" s="210"/>
      <c r="BG13" s="210"/>
      <c r="BH13" s="210"/>
      <c r="BI13" s="210"/>
      <c r="BJ13" s="210"/>
      <c r="BK13" s="210"/>
      <c r="BL13" s="210"/>
      <c r="BM13" s="210"/>
      <c r="BN13" s="210"/>
      <c r="BO13" s="210"/>
      <c r="BP13" s="210"/>
      <c r="BQ13" s="210"/>
      <c r="BR13" s="210"/>
      <c r="BS13" s="210"/>
      <c r="BT13" s="210"/>
      <c r="BU13" s="210"/>
      <c r="BV13" s="210"/>
      <c r="BW13" s="210"/>
      <c r="BX13" s="210"/>
      <c r="BY13" s="210"/>
      <c r="BZ13" s="210"/>
      <c r="CA13" s="210"/>
      <c r="CB13" s="210"/>
      <c r="CC13" s="210"/>
      <c r="CD13" s="210"/>
      <c r="CE13" s="210"/>
      <c r="CF13" s="210"/>
      <c r="CG13" s="210"/>
      <c r="CH13" s="210"/>
      <c r="CI13" s="210"/>
      <c r="CJ13" s="210"/>
      <c r="CK13" s="210"/>
      <c r="CL13" s="210"/>
      <c r="CM13" s="210"/>
      <c r="CN13" s="210"/>
      <c r="CO13" s="210"/>
      <c r="CP13" s="210"/>
      <c r="CQ13" s="210"/>
      <c r="CR13" s="210"/>
      <c r="CS13" s="210"/>
      <c r="CT13" s="210"/>
      <c r="CU13" s="210"/>
      <c r="CV13" s="210"/>
      <c r="CW13" s="210"/>
      <c r="CX13" s="210"/>
      <c r="CY13" s="210"/>
      <c r="CZ13" s="210"/>
      <c r="DA13" s="210"/>
      <c r="DB13" s="210"/>
      <c r="DC13" s="210"/>
      <c r="DD13" s="210"/>
      <c r="DE13" s="210"/>
      <c r="DF13" s="210"/>
      <c r="DG13" s="210"/>
      <c r="DH13" s="210"/>
      <c r="DI13" s="210"/>
      <c r="DJ13" s="210"/>
      <c r="DK13" s="210"/>
      <c r="DL13" s="210"/>
      <c r="DM13" s="210"/>
      <c r="DN13" s="210"/>
      <c r="DO13" s="210"/>
      <c r="DP13" s="210"/>
      <c r="DQ13" s="210"/>
      <c r="DR13" s="210"/>
      <c r="DS13" s="210"/>
      <c r="DT13" s="210"/>
      <c r="DU13" s="210"/>
      <c r="DV13" s="210"/>
      <c r="DW13" s="210"/>
      <c r="DX13" s="210"/>
      <c r="DY13" s="210"/>
      <c r="DZ13" s="210"/>
      <c r="EA13" s="210"/>
      <c r="EB13" s="210"/>
      <c r="EC13" s="210"/>
      <c r="ED13" s="210"/>
      <c r="EE13" s="210"/>
      <c r="EF13" s="210"/>
      <c r="EG13" s="210"/>
      <c r="EH13" s="210"/>
      <c r="EI13" s="210"/>
      <c r="EJ13" s="210"/>
      <c r="EK13" s="210"/>
      <c r="EL13" s="210"/>
      <c r="EM13" s="210"/>
      <c r="EN13" s="210"/>
      <c r="EO13" s="210"/>
      <c r="EP13" s="210"/>
      <c r="EQ13" s="210"/>
      <c r="ER13" s="210"/>
      <c r="ES13" s="210"/>
      <c r="ET13" s="210"/>
      <c r="EU13" s="210"/>
      <c r="EV13" s="210"/>
      <c r="EW13" s="210"/>
      <c r="EX13" s="210"/>
      <c r="EY13" s="210"/>
      <c r="EZ13" s="210"/>
      <c r="FA13" s="210"/>
      <c r="FB13" s="210"/>
      <c r="FC13" s="210"/>
      <c r="FD13" s="210"/>
      <c r="FE13" s="210"/>
      <c r="FF13" s="210"/>
      <c r="FG13" s="210"/>
      <c r="FH13" s="210"/>
      <c r="FI13" s="210"/>
      <c r="FJ13" s="210"/>
      <c r="FK13" s="210"/>
      <c r="FL13" s="210"/>
      <c r="FM13" s="210"/>
      <c r="FN13" s="210"/>
      <c r="FO13" s="210"/>
      <c r="FP13" s="210"/>
      <c r="FQ13" s="210"/>
      <c r="FR13" s="210"/>
      <c r="FS13" s="210"/>
      <c r="FT13" s="210"/>
      <c r="FU13" s="210"/>
      <c r="FV13" s="210"/>
      <c r="FW13" s="210"/>
      <c r="FX13" s="210"/>
      <c r="FY13" s="210"/>
      <c r="FZ13" s="210"/>
      <c r="GA13" s="210"/>
      <c r="GB13" s="210"/>
      <c r="GC13" s="210"/>
      <c r="GD13" s="210"/>
      <c r="GE13" s="210"/>
      <c r="GF13" s="210"/>
      <c r="GG13" s="210"/>
      <c r="GH13" s="210"/>
      <c r="GI13" s="210"/>
      <c r="GJ13" s="210"/>
      <c r="GK13" s="210"/>
      <c r="GL13" s="210"/>
      <c r="GM13" s="210"/>
      <c r="GN13" s="210"/>
      <c r="GO13" s="210"/>
      <c r="GP13" s="210"/>
      <c r="GQ13" s="210"/>
      <c r="GR13" s="210"/>
      <c r="GS13" s="210"/>
      <c r="GT13" s="210"/>
      <c r="GU13" s="210"/>
      <c r="GV13" s="210"/>
      <c r="GW13" s="210"/>
      <c r="GX13" s="210"/>
      <c r="GY13" s="210"/>
      <c r="GZ13" s="210"/>
      <c r="HA13" s="210"/>
      <c r="HB13" s="210"/>
      <c r="HC13" s="210"/>
      <c r="HD13" s="210"/>
      <c r="HE13" s="210"/>
      <c r="HF13" s="210"/>
      <c r="HG13" s="210"/>
      <c r="HH13" s="210"/>
      <c r="HI13" s="210"/>
      <c r="HJ13" s="210"/>
      <c r="HK13" s="210"/>
      <c r="HL13" s="210"/>
      <c r="HM13" s="210"/>
      <c r="HN13" s="210"/>
      <c r="HO13" s="210"/>
      <c r="HP13" s="210"/>
      <c r="HQ13" s="210"/>
      <c r="HR13" s="210"/>
      <c r="HS13" s="210"/>
      <c r="HT13" s="210"/>
      <c r="HU13" s="210"/>
      <c r="HV13" s="210"/>
      <c r="HW13" s="210"/>
      <c r="HX13" s="210"/>
      <c r="HY13" s="210"/>
      <c r="HZ13" s="210"/>
      <c r="IA13" s="210"/>
      <c r="IB13" s="210"/>
      <c r="IC13" s="210"/>
      <c r="ID13" s="210"/>
      <c r="IE13" s="210"/>
      <c r="IF13" s="210"/>
      <c r="IG13" s="210"/>
      <c r="IH13" s="210"/>
      <c r="II13" s="210"/>
      <c r="IJ13" s="210"/>
      <c r="IK13" s="210"/>
      <c r="IL13" s="210"/>
      <c r="IM13" s="210"/>
      <c r="IN13" s="210"/>
      <c r="IO13" s="210"/>
      <c r="IP13" s="210"/>
      <c r="IQ13" s="210"/>
      <c r="IR13" s="210"/>
      <c r="IS13" s="210"/>
      <c r="IT13" s="210"/>
      <c r="IU13" s="210"/>
      <c r="IV13" s="210"/>
      <c r="IW13" s="210"/>
    </row>
    <row r="14" spans="1:257" s="216" customFormat="1" ht="18.649999999999999" customHeight="1">
      <c r="A14" s="217" t="s">
        <v>350</v>
      </c>
      <c r="B14" s="218">
        <v>15</v>
      </c>
      <c r="C14" s="218">
        <v>5.4</v>
      </c>
      <c r="D14" s="218">
        <v>7.6</v>
      </c>
      <c r="E14" s="218">
        <v>9.1</v>
      </c>
      <c r="F14" s="218">
        <v>10</v>
      </c>
      <c r="G14" s="218">
        <v>11.4</v>
      </c>
      <c r="H14" s="218">
        <v>15.8</v>
      </c>
      <c r="I14" s="218">
        <v>20.7</v>
      </c>
      <c r="J14" s="218">
        <v>10.5</v>
      </c>
      <c r="K14" s="218">
        <v>12.3</v>
      </c>
      <c r="L14" s="218">
        <v>11.5</v>
      </c>
      <c r="M14" s="218">
        <v>11.8</v>
      </c>
      <c r="N14" s="218">
        <v>13.3</v>
      </c>
      <c r="O14" s="218">
        <v>14</v>
      </c>
      <c r="P14" s="218">
        <v>16.899999999999999</v>
      </c>
      <c r="Q14" s="218">
        <v>17.8</v>
      </c>
      <c r="R14" s="218">
        <v>18.2</v>
      </c>
      <c r="S14" s="218">
        <v>18.899999999999999</v>
      </c>
      <c r="T14" s="218">
        <v>18.54</v>
      </c>
      <c r="U14" s="218">
        <v>19.899999999999999</v>
      </c>
      <c r="V14" s="218">
        <v>19.7</v>
      </c>
      <c r="W14" s="218">
        <v>23.1</v>
      </c>
      <c r="X14" s="218">
        <v>28.23</v>
      </c>
      <c r="Y14" s="218">
        <v>30.32</v>
      </c>
      <c r="Z14" s="218">
        <v>32.299999999999997</v>
      </c>
      <c r="AA14" s="218">
        <v>32.5</v>
      </c>
      <c r="AB14" s="220">
        <v>31.8</v>
      </c>
      <c r="AC14" s="221">
        <v>32.9</v>
      </c>
      <c r="AD14" s="221">
        <v>34.4</v>
      </c>
      <c r="AE14" s="221">
        <v>34.299999999999997</v>
      </c>
      <c r="AF14" s="221">
        <v>36.515000000000001</v>
      </c>
      <c r="AG14" s="221">
        <v>40.299999999999997</v>
      </c>
      <c r="AH14" s="222">
        <v>41.1</v>
      </c>
      <c r="AI14" s="223">
        <v>39.200000000000003</v>
      </c>
      <c r="AJ14" s="223">
        <v>47.8</v>
      </c>
      <c r="AK14" s="224">
        <v>46.4</v>
      </c>
      <c r="AL14" s="224">
        <v>48.195</v>
      </c>
      <c r="AM14" s="224">
        <v>46.8</v>
      </c>
      <c r="AN14" s="224">
        <v>47.5</v>
      </c>
      <c r="AO14" s="224">
        <v>48.9</v>
      </c>
      <c r="AP14" s="224">
        <v>46.347048999999998</v>
      </c>
      <c r="AQ14" s="224">
        <v>48.3</v>
      </c>
      <c r="AR14" s="224">
        <v>47.4</v>
      </c>
      <c r="AS14" s="224">
        <v>46</v>
      </c>
      <c r="AT14" s="224">
        <v>51.1</v>
      </c>
      <c r="AU14" s="224">
        <v>50.1</v>
      </c>
      <c r="AV14" s="210"/>
      <c r="AW14" s="210"/>
      <c r="AX14" s="210"/>
      <c r="AY14" s="210"/>
      <c r="AZ14" s="210"/>
      <c r="BA14" s="210"/>
      <c r="BB14" s="210"/>
      <c r="BC14" s="210"/>
      <c r="BD14" s="210"/>
      <c r="BE14" s="210"/>
      <c r="BF14" s="210"/>
      <c r="BG14" s="210"/>
      <c r="BH14" s="210"/>
      <c r="BI14" s="210"/>
      <c r="BJ14" s="210"/>
      <c r="BK14" s="210"/>
      <c r="BL14" s="210"/>
      <c r="BM14" s="210"/>
      <c r="BN14" s="210"/>
      <c r="BO14" s="210"/>
      <c r="BP14" s="210"/>
      <c r="BQ14" s="210"/>
      <c r="BR14" s="210"/>
      <c r="BS14" s="210"/>
      <c r="BT14" s="210"/>
      <c r="BU14" s="210"/>
      <c r="BV14" s="210"/>
      <c r="BW14" s="210"/>
      <c r="BX14" s="210"/>
      <c r="BY14" s="210"/>
      <c r="BZ14" s="210"/>
      <c r="CA14" s="210"/>
      <c r="CB14" s="210"/>
      <c r="CC14" s="210"/>
      <c r="CD14" s="210"/>
      <c r="CE14" s="210"/>
      <c r="CF14" s="210"/>
      <c r="CG14" s="210"/>
      <c r="CH14" s="210"/>
      <c r="CI14" s="210"/>
      <c r="CJ14" s="210"/>
      <c r="CK14" s="210"/>
      <c r="CL14" s="210"/>
      <c r="CM14" s="210"/>
      <c r="CN14" s="210"/>
      <c r="CO14" s="210"/>
      <c r="CP14" s="210"/>
      <c r="CQ14" s="210"/>
      <c r="CR14" s="210"/>
      <c r="CS14" s="210"/>
      <c r="CT14" s="210"/>
      <c r="CU14" s="210"/>
      <c r="CV14" s="210"/>
      <c r="CW14" s="210"/>
      <c r="CX14" s="210"/>
      <c r="CY14" s="210"/>
      <c r="CZ14" s="210"/>
      <c r="DA14" s="210"/>
      <c r="DB14" s="210"/>
      <c r="DC14" s="210"/>
      <c r="DD14" s="210"/>
      <c r="DE14" s="210"/>
      <c r="DF14" s="210"/>
      <c r="DG14" s="210"/>
      <c r="DH14" s="210"/>
      <c r="DI14" s="210"/>
      <c r="DJ14" s="210"/>
      <c r="DK14" s="210"/>
      <c r="DL14" s="210"/>
      <c r="DM14" s="210"/>
      <c r="DN14" s="210"/>
      <c r="DO14" s="210"/>
      <c r="DP14" s="210"/>
      <c r="DQ14" s="210"/>
      <c r="DR14" s="210"/>
      <c r="DS14" s="210"/>
      <c r="DT14" s="210"/>
      <c r="DU14" s="210"/>
      <c r="DV14" s="210"/>
      <c r="DW14" s="210"/>
      <c r="DX14" s="210"/>
      <c r="DY14" s="210"/>
      <c r="DZ14" s="210"/>
      <c r="EA14" s="210"/>
      <c r="EB14" s="210"/>
      <c r="EC14" s="210"/>
      <c r="ED14" s="210"/>
      <c r="EE14" s="210"/>
      <c r="EF14" s="210"/>
      <c r="EG14" s="210"/>
      <c r="EH14" s="210"/>
      <c r="EI14" s="210"/>
      <c r="EJ14" s="210"/>
      <c r="EK14" s="210"/>
      <c r="EL14" s="210"/>
      <c r="EM14" s="210"/>
      <c r="EN14" s="210"/>
      <c r="EO14" s="210"/>
      <c r="EP14" s="210"/>
      <c r="EQ14" s="210"/>
      <c r="ER14" s="210"/>
      <c r="ES14" s="210"/>
      <c r="ET14" s="210"/>
      <c r="EU14" s="210"/>
      <c r="EV14" s="210"/>
      <c r="EW14" s="210"/>
      <c r="EX14" s="210"/>
      <c r="EY14" s="210"/>
      <c r="EZ14" s="210"/>
      <c r="FA14" s="210"/>
      <c r="FB14" s="210"/>
      <c r="FC14" s="210"/>
      <c r="FD14" s="210"/>
      <c r="FE14" s="210"/>
      <c r="FF14" s="210"/>
      <c r="FG14" s="210"/>
      <c r="FH14" s="210"/>
      <c r="FI14" s="210"/>
      <c r="FJ14" s="210"/>
      <c r="FK14" s="210"/>
      <c r="FL14" s="210"/>
      <c r="FM14" s="210"/>
      <c r="FN14" s="210"/>
      <c r="FO14" s="210"/>
      <c r="FP14" s="210"/>
      <c r="FQ14" s="210"/>
      <c r="FR14" s="210"/>
      <c r="FS14" s="210"/>
      <c r="FT14" s="210"/>
      <c r="FU14" s="210"/>
      <c r="FV14" s="210"/>
      <c r="FW14" s="210"/>
      <c r="FX14" s="210"/>
      <c r="FY14" s="210"/>
      <c r="FZ14" s="210"/>
      <c r="GA14" s="210"/>
      <c r="GB14" s="210"/>
      <c r="GC14" s="210"/>
      <c r="GD14" s="210"/>
      <c r="GE14" s="210"/>
      <c r="GF14" s="210"/>
      <c r="GG14" s="210"/>
      <c r="GH14" s="210"/>
      <c r="GI14" s="210"/>
      <c r="GJ14" s="210"/>
      <c r="GK14" s="210"/>
      <c r="GL14" s="210"/>
      <c r="GM14" s="210"/>
      <c r="GN14" s="210"/>
      <c r="GO14" s="210"/>
      <c r="GP14" s="210"/>
      <c r="GQ14" s="210"/>
      <c r="GR14" s="210"/>
      <c r="GS14" s="210"/>
      <c r="GT14" s="210"/>
      <c r="GU14" s="210"/>
      <c r="GV14" s="210"/>
      <c r="GW14" s="210"/>
      <c r="GX14" s="210"/>
      <c r="GY14" s="210"/>
      <c r="GZ14" s="210"/>
      <c r="HA14" s="210"/>
      <c r="HB14" s="210"/>
      <c r="HC14" s="210"/>
      <c r="HD14" s="210"/>
      <c r="HE14" s="210"/>
      <c r="HF14" s="210"/>
      <c r="HG14" s="210"/>
      <c r="HH14" s="210"/>
      <c r="HI14" s="210"/>
      <c r="HJ14" s="210"/>
      <c r="HK14" s="210"/>
      <c r="HL14" s="210"/>
      <c r="HM14" s="210"/>
      <c r="HN14" s="210"/>
      <c r="HO14" s="210"/>
      <c r="HP14" s="210"/>
      <c r="HQ14" s="210"/>
      <c r="HR14" s="210"/>
      <c r="HS14" s="210"/>
      <c r="HT14" s="210"/>
      <c r="HU14" s="210"/>
      <c r="HV14" s="210"/>
      <c r="HW14" s="210"/>
      <c r="HX14" s="210"/>
      <c r="HY14" s="210"/>
      <c r="HZ14" s="210"/>
      <c r="IA14" s="210"/>
      <c r="IB14" s="210"/>
      <c r="IC14" s="210"/>
      <c r="ID14" s="210"/>
      <c r="IE14" s="210"/>
      <c r="IF14" s="210"/>
      <c r="IG14" s="210"/>
      <c r="IH14" s="210"/>
      <c r="II14" s="210"/>
      <c r="IJ14" s="210"/>
      <c r="IK14" s="210"/>
      <c r="IL14" s="210"/>
      <c r="IM14" s="210"/>
      <c r="IN14" s="210"/>
      <c r="IO14" s="210"/>
      <c r="IP14" s="210"/>
      <c r="IQ14" s="210"/>
      <c r="IR14" s="210"/>
      <c r="IS14" s="210"/>
      <c r="IT14" s="210"/>
      <c r="IU14" s="210"/>
      <c r="IV14" s="210"/>
      <c r="IW14" s="210"/>
    </row>
    <row r="15" spans="1:257" s="216" customFormat="1" ht="18.649999999999999" customHeight="1">
      <c r="A15" s="217" t="s">
        <v>351</v>
      </c>
      <c r="B15" s="218">
        <v>0</v>
      </c>
      <c r="C15" s="218">
        <v>0</v>
      </c>
      <c r="D15" s="218">
        <v>0</v>
      </c>
      <c r="E15" s="218">
        <v>0</v>
      </c>
      <c r="F15" s="218">
        <v>0</v>
      </c>
      <c r="G15" s="218">
        <v>0</v>
      </c>
      <c r="H15" s="218">
        <v>0</v>
      </c>
      <c r="I15" s="218">
        <v>0</v>
      </c>
      <c r="J15" s="218">
        <v>0</v>
      </c>
      <c r="K15" s="218">
        <v>0</v>
      </c>
      <c r="L15" s="218">
        <v>0</v>
      </c>
      <c r="M15" s="218">
        <v>0</v>
      </c>
      <c r="N15" s="218">
        <v>0</v>
      </c>
      <c r="O15" s="218">
        <v>1.2</v>
      </c>
      <c r="P15" s="218">
        <v>1.3</v>
      </c>
      <c r="Q15" s="218">
        <v>1.3</v>
      </c>
      <c r="R15" s="218">
        <v>1.5</v>
      </c>
      <c r="S15" s="218">
        <v>1.5</v>
      </c>
      <c r="T15" s="218">
        <v>2.7</v>
      </c>
      <c r="U15" s="218">
        <v>2.6</v>
      </c>
      <c r="V15" s="218">
        <v>1.8</v>
      </c>
      <c r="W15" s="218">
        <v>3</v>
      </c>
      <c r="X15" s="218">
        <v>3.78</v>
      </c>
      <c r="Y15" s="218">
        <v>3.12</v>
      </c>
      <c r="Z15" s="218">
        <v>3.9</v>
      </c>
      <c r="AA15" s="218">
        <v>3.92</v>
      </c>
      <c r="AB15" s="220">
        <v>4.5</v>
      </c>
      <c r="AC15" s="221">
        <v>3.9</v>
      </c>
      <c r="AD15" s="221">
        <v>4.3</v>
      </c>
      <c r="AE15" s="221">
        <v>4.5</v>
      </c>
      <c r="AF15" s="221">
        <v>5.2329999999999997</v>
      </c>
      <c r="AG15" s="221">
        <v>5</v>
      </c>
      <c r="AH15" s="222">
        <v>5.3</v>
      </c>
      <c r="AI15" s="223">
        <v>5.6</v>
      </c>
      <c r="AJ15" s="223">
        <v>6.6</v>
      </c>
      <c r="AK15" s="224">
        <v>2.6</v>
      </c>
      <c r="AL15" s="224">
        <v>5.9850000000000003</v>
      </c>
      <c r="AM15" s="224">
        <v>7</v>
      </c>
      <c r="AN15" s="224">
        <v>5.5</v>
      </c>
      <c r="AO15" s="224">
        <v>8.6999999999999993</v>
      </c>
      <c r="AP15" s="224">
        <v>5.7902050000000003</v>
      </c>
      <c r="AQ15" s="224">
        <v>6.5</v>
      </c>
      <c r="AR15" s="224">
        <v>7.2</v>
      </c>
      <c r="AS15" s="224">
        <v>6.5</v>
      </c>
      <c r="AT15" s="224">
        <v>7.4</v>
      </c>
      <c r="AU15" s="224">
        <v>6.9</v>
      </c>
      <c r="AV15" s="210"/>
      <c r="AW15" s="210"/>
      <c r="AX15" s="210"/>
      <c r="AY15" s="210"/>
      <c r="AZ15" s="210"/>
      <c r="BA15" s="210"/>
      <c r="BB15" s="210"/>
      <c r="BC15" s="210"/>
      <c r="BD15" s="210"/>
      <c r="BE15" s="210"/>
      <c r="BF15" s="210"/>
      <c r="BG15" s="210"/>
      <c r="BH15" s="210"/>
      <c r="BI15" s="210"/>
      <c r="BJ15" s="210"/>
      <c r="BK15" s="210"/>
      <c r="BL15" s="210"/>
      <c r="BM15" s="210"/>
      <c r="BN15" s="210"/>
      <c r="BO15" s="210"/>
      <c r="BP15" s="210"/>
      <c r="BQ15" s="210"/>
      <c r="BR15" s="210"/>
      <c r="BS15" s="210"/>
      <c r="BT15" s="210"/>
      <c r="BU15" s="210"/>
      <c r="BV15" s="210"/>
      <c r="BW15" s="210"/>
      <c r="BX15" s="210"/>
      <c r="BY15" s="210"/>
      <c r="BZ15" s="210"/>
      <c r="CA15" s="210"/>
      <c r="CB15" s="210"/>
      <c r="CC15" s="210"/>
      <c r="CD15" s="210"/>
      <c r="CE15" s="210"/>
      <c r="CF15" s="210"/>
      <c r="CG15" s="210"/>
      <c r="CH15" s="210"/>
      <c r="CI15" s="210"/>
      <c r="CJ15" s="210"/>
      <c r="CK15" s="210"/>
      <c r="CL15" s="210"/>
      <c r="CM15" s="210"/>
      <c r="CN15" s="210"/>
      <c r="CO15" s="210"/>
      <c r="CP15" s="210"/>
      <c r="CQ15" s="210"/>
      <c r="CR15" s="210"/>
      <c r="CS15" s="210"/>
      <c r="CT15" s="210"/>
      <c r="CU15" s="210"/>
      <c r="CV15" s="210"/>
      <c r="CW15" s="210"/>
      <c r="CX15" s="210"/>
      <c r="CY15" s="210"/>
      <c r="CZ15" s="210"/>
      <c r="DA15" s="210"/>
      <c r="DB15" s="210"/>
      <c r="DC15" s="210"/>
      <c r="DD15" s="210"/>
      <c r="DE15" s="210"/>
      <c r="DF15" s="210"/>
      <c r="DG15" s="210"/>
      <c r="DH15" s="210"/>
      <c r="DI15" s="210"/>
      <c r="DJ15" s="210"/>
      <c r="DK15" s="210"/>
      <c r="DL15" s="210"/>
      <c r="DM15" s="210"/>
      <c r="DN15" s="210"/>
      <c r="DO15" s="210"/>
      <c r="DP15" s="210"/>
      <c r="DQ15" s="210"/>
      <c r="DR15" s="210"/>
      <c r="DS15" s="210"/>
      <c r="DT15" s="210"/>
      <c r="DU15" s="210"/>
      <c r="DV15" s="210"/>
      <c r="DW15" s="210"/>
      <c r="DX15" s="210"/>
      <c r="DY15" s="210"/>
      <c r="DZ15" s="210"/>
      <c r="EA15" s="210"/>
      <c r="EB15" s="210"/>
      <c r="EC15" s="210"/>
      <c r="ED15" s="210"/>
      <c r="EE15" s="210"/>
      <c r="EF15" s="210"/>
      <c r="EG15" s="210"/>
      <c r="EH15" s="210"/>
      <c r="EI15" s="210"/>
      <c r="EJ15" s="210"/>
      <c r="EK15" s="210"/>
      <c r="EL15" s="210"/>
      <c r="EM15" s="210"/>
      <c r="EN15" s="210"/>
      <c r="EO15" s="210"/>
      <c r="EP15" s="210"/>
      <c r="EQ15" s="210"/>
      <c r="ER15" s="210"/>
      <c r="ES15" s="210"/>
      <c r="ET15" s="210"/>
      <c r="EU15" s="210"/>
      <c r="EV15" s="210"/>
      <c r="EW15" s="210"/>
      <c r="EX15" s="210"/>
      <c r="EY15" s="210"/>
      <c r="EZ15" s="210"/>
      <c r="FA15" s="210"/>
      <c r="FB15" s="210"/>
      <c r="FC15" s="210"/>
      <c r="FD15" s="210"/>
      <c r="FE15" s="210"/>
      <c r="FF15" s="210"/>
      <c r="FG15" s="210"/>
      <c r="FH15" s="210"/>
      <c r="FI15" s="210"/>
      <c r="FJ15" s="210"/>
      <c r="FK15" s="210"/>
      <c r="FL15" s="210"/>
      <c r="FM15" s="210"/>
      <c r="FN15" s="210"/>
      <c r="FO15" s="210"/>
      <c r="FP15" s="210"/>
      <c r="FQ15" s="210"/>
      <c r="FR15" s="210"/>
      <c r="FS15" s="210"/>
      <c r="FT15" s="210"/>
      <c r="FU15" s="210"/>
      <c r="FV15" s="210"/>
      <c r="FW15" s="210"/>
      <c r="FX15" s="210"/>
      <c r="FY15" s="210"/>
      <c r="FZ15" s="210"/>
      <c r="GA15" s="210"/>
      <c r="GB15" s="210"/>
      <c r="GC15" s="210"/>
      <c r="GD15" s="210"/>
      <c r="GE15" s="210"/>
      <c r="GF15" s="210"/>
      <c r="GG15" s="210"/>
      <c r="GH15" s="210"/>
      <c r="GI15" s="210"/>
      <c r="GJ15" s="210"/>
      <c r="GK15" s="210"/>
      <c r="GL15" s="210"/>
      <c r="GM15" s="210"/>
      <c r="GN15" s="210"/>
      <c r="GO15" s="210"/>
      <c r="GP15" s="210"/>
      <c r="GQ15" s="210"/>
      <c r="GR15" s="210"/>
      <c r="GS15" s="210"/>
      <c r="GT15" s="210"/>
      <c r="GU15" s="210"/>
      <c r="GV15" s="210"/>
      <c r="GW15" s="210"/>
      <c r="GX15" s="210"/>
      <c r="GY15" s="210"/>
      <c r="GZ15" s="210"/>
      <c r="HA15" s="210"/>
      <c r="HB15" s="210"/>
      <c r="HC15" s="210"/>
      <c r="HD15" s="210"/>
      <c r="HE15" s="210"/>
      <c r="HF15" s="210"/>
      <c r="HG15" s="210"/>
      <c r="HH15" s="210"/>
      <c r="HI15" s="210"/>
      <c r="HJ15" s="210"/>
      <c r="HK15" s="210"/>
      <c r="HL15" s="210"/>
      <c r="HM15" s="210"/>
      <c r="HN15" s="210"/>
      <c r="HO15" s="210"/>
      <c r="HP15" s="210"/>
      <c r="HQ15" s="210"/>
      <c r="HR15" s="210"/>
      <c r="HS15" s="210"/>
      <c r="HT15" s="210"/>
      <c r="HU15" s="210"/>
      <c r="HV15" s="210"/>
      <c r="HW15" s="210"/>
      <c r="HX15" s="210"/>
      <c r="HY15" s="210"/>
      <c r="HZ15" s="210"/>
      <c r="IA15" s="210"/>
      <c r="IB15" s="210"/>
      <c r="IC15" s="210"/>
      <c r="ID15" s="210"/>
      <c r="IE15" s="210"/>
      <c r="IF15" s="210"/>
      <c r="IG15" s="210"/>
      <c r="IH15" s="210"/>
      <c r="II15" s="210"/>
      <c r="IJ15" s="210"/>
      <c r="IK15" s="210"/>
      <c r="IL15" s="210"/>
      <c r="IM15" s="210"/>
      <c r="IN15" s="210"/>
      <c r="IO15" s="210"/>
      <c r="IP15" s="210"/>
      <c r="IQ15" s="210"/>
      <c r="IR15" s="210"/>
      <c r="IS15" s="210"/>
      <c r="IT15" s="210"/>
      <c r="IU15" s="210"/>
      <c r="IV15" s="210"/>
      <c r="IW15" s="210"/>
    </row>
    <row r="16" spans="1:257" s="216" customFormat="1" ht="18.649999999999999" customHeight="1" thickBot="1">
      <c r="A16" s="225" t="s">
        <v>352</v>
      </c>
      <c r="B16" s="226">
        <v>0</v>
      </c>
      <c r="C16" s="226">
        <v>0.2</v>
      </c>
      <c r="D16" s="226">
        <v>2.9</v>
      </c>
      <c r="E16" s="226">
        <v>2.9</v>
      </c>
      <c r="F16" s="226">
        <v>2.4</v>
      </c>
      <c r="G16" s="226">
        <v>3.1</v>
      </c>
      <c r="H16" s="226">
        <v>3</v>
      </c>
      <c r="I16" s="226">
        <v>3.2</v>
      </c>
      <c r="J16" s="226">
        <v>3.4</v>
      </c>
      <c r="K16" s="226">
        <v>3.7</v>
      </c>
      <c r="L16" s="226">
        <v>3.6</v>
      </c>
      <c r="M16" s="226">
        <v>3.8</v>
      </c>
      <c r="N16" s="226">
        <v>3.9</v>
      </c>
      <c r="O16" s="226">
        <v>4.0999999999999996</v>
      </c>
      <c r="P16" s="226">
        <v>4.3</v>
      </c>
      <c r="Q16" s="226">
        <v>4.3</v>
      </c>
      <c r="R16" s="226">
        <v>4.2</v>
      </c>
      <c r="S16" s="226">
        <v>3.7</v>
      </c>
      <c r="T16" s="226">
        <v>3.7</v>
      </c>
      <c r="U16" s="226">
        <v>3.4</v>
      </c>
      <c r="V16" s="226">
        <v>3.7</v>
      </c>
      <c r="W16" s="226">
        <v>3.7</v>
      </c>
      <c r="X16" s="226">
        <v>4</v>
      </c>
      <c r="Y16" s="226">
        <v>4</v>
      </c>
      <c r="Z16" s="226">
        <v>3.7</v>
      </c>
      <c r="AA16" s="226">
        <v>4.3</v>
      </c>
      <c r="AB16" s="227">
        <v>4.25</v>
      </c>
      <c r="AC16" s="246">
        <v>4.1950000000000003</v>
      </c>
      <c r="AD16" s="246">
        <f>8.245/2</f>
        <v>4.1224999999999996</v>
      </c>
      <c r="AE16" s="246">
        <v>4.7</v>
      </c>
      <c r="AF16" s="246">
        <v>4.6523023600000002</v>
      </c>
      <c r="AG16" s="246">
        <v>4.4651007800000002</v>
      </c>
      <c r="AH16" s="247">
        <v>4.62</v>
      </c>
      <c r="AI16" s="248">
        <v>5</v>
      </c>
      <c r="AJ16" s="248">
        <v>4.9000000000000004</v>
      </c>
      <c r="AK16" s="249">
        <v>4.9350975000000004</v>
      </c>
      <c r="AL16" s="249">
        <v>5.36</v>
      </c>
      <c r="AM16" s="249">
        <v>5.4</v>
      </c>
      <c r="AN16" s="249">
        <v>5.4847033149999991</v>
      </c>
      <c r="AO16" s="249">
        <v>5.6375000000000002</v>
      </c>
      <c r="AP16" s="249">
        <v>5.59</v>
      </c>
      <c r="AQ16" s="249">
        <v>5.5</v>
      </c>
      <c r="AR16" s="249">
        <v>6</v>
      </c>
      <c r="AS16" s="249">
        <v>5.9</v>
      </c>
      <c r="AT16" s="249">
        <v>5.0999999999999996</v>
      </c>
      <c r="AU16" s="249">
        <v>6.1</v>
      </c>
      <c r="AV16" s="210"/>
      <c r="AW16" s="210"/>
      <c r="AX16" s="210"/>
      <c r="AY16" s="210"/>
      <c r="AZ16" s="210"/>
      <c r="BA16" s="210"/>
      <c r="BB16" s="210"/>
      <c r="BC16" s="210"/>
      <c r="BD16" s="210"/>
      <c r="BE16" s="210"/>
      <c r="BF16" s="210"/>
      <c r="BG16" s="210"/>
      <c r="BH16" s="210"/>
      <c r="BI16" s="210"/>
      <c r="BJ16" s="210"/>
      <c r="BK16" s="210"/>
      <c r="BL16" s="210"/>
      <c r="BM16" s="210"/>
      <c r="BN16" s="210"/>
      <c r="BO16" s="210"/>
      <c r="BP16" s="210"/>
      <c r="BQ16" s="210"/>
      <c r="BR16" s="210"/>
      <c r="BS16" s="210"/>
      <c r="BT16" s="210"/>
      <c r="BU16" s="210"/>
      <c r="BV16" s="210"/>
      <c r="BW16" s="210"/>
      <c r="BX16" s="210"/>
      <c r="BY16" s="210"/>
      <c r="BZ16" s="210"/>
      <c r="CA16" s="210"/>
      <c r="CB16" s="210"/>
      <c r="CC16" s="210"/>
      <c r="CD16" s="210"/>
      <c r="CE16" s="210"/>
      <c r="CF16" s="210"/>
      <c r="CG16" s="210"/>
      <c r="CH16" s="210"/>
      <c r="CI16" s="210"/>
      <c r="CJ16" s="210"/>
      <c r="CK16" s="210"/>
      <c r="CL16" s="210"/>
      <c r="CM16" s="210"/>
      <c r="CN16" s="210"/>
      <c r="CO16" s="210"/>
      <c r="CP16" s="210"/>
      <c r="CQ16" s="210"/>
      <c r="CR16" s="210"/>
      <c r="CS16" s="210"/>
      <c r="CT16" s="210"/>
      <c r="CU16" s="210"/>
      <c r="CV16" s="210"/>
      <c r="CW16" s="210"/>
      <c r="CX16" s="210"/>
      <c r="CY16" s="210"/>
      <c r="CZ16" s="210"/>
      <c r="DA16" s="210"/>
      <c r="DB16" s="210"/>
      <c r="DC16" s="210"/>
      <c r="DD16" s="210"/>
      <c r="DE16" s="210"/>
      <c r="DF16" s="210"/>
      <c r="DG16" s="210"/>
      <c r="DH16" s="210"/>
      <c r="DI16" s="210"/>
      <c r="DJ16" s="210"/>
      <c r="DK16" s="210"/>
      <c r="DL16" s="210"/>
      <c r="DM16" s="210"/>
      <c r="DN16" s="210"/>
      <c r="DO16" s="210"/>
      <c r="DP16" s="210"/>
      <c r="DQ16" s="210"/>
      <c r="DR16" s="210"/>
      <c r="DS16" s="210"/>
      <c r="DT16" s="210"/>
      <c r="DU16" s="210"/>
      <c r="DV16" s="210"/>
      <c r="DW16" s="210"/>
      <c r="DX16" s="210"/>
      <c r="DY16" s="210"/>
      <c r="DZ16" s="210"/>
      <c r="EA16" s="210"/>
      <c r="EB16" s="210"/>
      <c r="EC16" s="210"/>
      <c r="ED16" s="210"/>
      <c r="EE16" s="210"/>
      <c r="EF16" s="210"/>
      <c r="EG16" s="210"/>
      <c r="EH16" s="210"/>
      <c r="EI16" s="210"/>
      <c r="EJ16" s="210"/>
      <c r="EK16" s="210"/>
      <c r="EL16" s="210"/>
      <c r="EM16" s="210"/>
      <c r="EN16" s="210"/>
      <c r="EO16" s="210"/>
      <c r="EP16" s="210"/>
      <c r="EQ16" s="210"/>
      <c r="ER16" s="210"/>
      <c r="ES16" s="210"/>
      <c r="ET16" s="210"/>
      <c r="EU16" s="210"/>
      <c r="EV16" s="210"/>
      <c r="EW16" s="210"/>
      <c r="EX16" s="210"/>
      <c r="EY16" s="210"/>
      <c r="EZ16" s="210"/>
      <c r="FA16" s="210"/>
      <c r="FB16" s="210"/>
      <c r="FC16" s="210"/>
      <c r="FD16" s="210"/>
      <c r="FE16" s="210"/>
      <c r="FF16" s="210"/>
      <c r="FG16" s="210"/>
      <c r="FH16" s="210"/>
      <c r="FI16" s="210"/>
      <c r="FJ16" s="210"/>
      <c r="FK16" s="210"/>
      <c r="FL16" s="210"/>
      <c r="FM16" s="210"/>
      <c r="FN16" s="210"/>
      <c r="FO16" s="210"/>
      <c r="FP16" s="210"/>
      <c r="FQ16" s="210"/>
      <c r="FR16" s="210"/>
      <c r="FS16" s="210"/>
      <c r="FT16" s="210"/>
      <c r="FU16" s="210"/>
      <c r="FV16" s="210"/>
      <c r="FW16" s="210"/>
      <c r="FX16" s="210"/>
      <c r="FY16" s="210"/>
      <c r="FZ16" s="210"/>
      <c r="GA16" s="210"/>
      <c r="GB16" s="210"/>
      <c r="GC16" s="210"/>
      <c r="GD16" s="210"/>
      <c r="GE16" s="210"/>
      <c r="GF16" s="210"/>
      <c r="GG16" s="210"/>
      <c r="GH16" s="210"/>
      <c r="GI16" s="210"/>
      <c r="GJ16" s="210"/>
      <c r="GK16" s="210"/>
      <c r="GL16" s="210"/>
      <c r="GM16" s="210"/>
      <c r="GN16" s="210"/>
      <c r="GO16" s="210"/>
      <c r="GP16" s="210"/>
      <c r="GQ16" s="210"/>
      <c r="GR16" s="210"/>
      <c r="GS16" s="210"/>
      <c r="GT16" s="210"/>
      <c r="GU16" s="210"/>
      <c r="GV16" s="210"/>
      <c r="GW16" s="210"/>
      <c r="GX16" s="210"/>
      <c r="GY16" s="210"/>
      <c r="GZ16" s="210"/>
      <c r="HA16" s="210"/>
      <c r="HB16" s="210"/>
      <c r="HC16" s="210"/>
      <c r="HD16" s="210"/>
      <c r="HE16" s="210"/>
      <c r="HF16" s="210"/>
      <c r="HG16" s="210"/>
      <c r="HH16" s="210"/>
      <c r="HI16" s="210"/>
      <c r="HJ16" s="210"/>
      <c r="HK16" s="210"/>
      <c r="HL16" s="210"/>
      <c r="HM16" s="210"/>
      <c r="HN16" s="210"/>
      <c r="HO16" s="210"/>
      <c r="HP16" s="210"/>
      <c r="HQ16" s="210"/>
      <c r="HR16" s="210"/>
      <c r="HS16" s="210"/>
      <c r="HT16" s="210"/>
      <c r="HU16" s="210"/>
      <c r="HV16" s="210"/>
      <c r="HW16" s="210"/>
      <c r="HX16" s="210"/>
      <c r="HY16" s="210"/>
      <c r="HZ16" s="210"/>
      <c r="IA16" s="210"/>
      <c r="IB16" s="210"/>
      <c r="IC16" s="210"/>
      <c r="ID16" s="210"/>
      <c r="IE16" s="210"/>
      <c r="IF16" s="210"/>
      <c r="IG16" s="210"/>
      <c r="IH16" s="210"/>
      <c r="II16" s="210"/>
      <c r="IJ16" s="210"/>
      <c r="IK16" s="210"/>
      <c r="IL16" s="210"/>
      <c r="IM16" s="210"/>
      <c r="IN16" s="210"/>
      <c r="IO16" s="210"/>
      <c r="IP16" s="210"/>
      <c r="IQ16" s="210"/>
      <c r="IR16" s="210"/>
      <c r="IS16" s="210"/>
      <c r="IT16" s="210"/>
      <c r="IU16" s="210"/>
      <c r="IV16" s="210"/>
      <c r="IW16" s="210"/>
    </row>
    <row r="17" spans="1:257" s="216" customFormat="1" ht="18.649999999999999" customHeight="1" thickTop="1" thickBot="1">
      <c r="A17" s="250" t="s">
        <v>353</v>
      </c>
      <c r="B17" s="251">
        <v>15</v>
      </c>
      <c r="C17" s="251">
        <v>6.1</v>
      </c>
      <c r="D17" s="251">
        <v>11.5</v>
      </c>
      <c r="E17" s="251">
        <v>14.2</v>
      </c>
      <c r="F17" s="251">
        <v>16</v>
      </c>
      <c r="G17" s="251">
        <v>19.899999999999999</v>
      </c>
      <c r="H17" s="251">
        <v>23.7</v>
      </c>
      <c r="I17" s="251">
        <v>29.7</v>
      </c>
      <c r="J17" s="251">
        <v>19</v>
      </c>
      <c r="K17" s="251">
        <v>23.6</v>
      </c>
      <c r="L17" s="251">
        <v>23.4</v>
      </c>
      <c r="M17" s="251">
        <v>24.3</v>
      </c>
      <c r="N17" s="251">
        <v>28.4</v>
      </c>
      <c r="O17" s="251">
        <v>30.5</v>
      </c>
      <c r="P17" s="251">
        <v>34.9</v>
      </c>
      <c r="Q17" s="251">
        <f t="shared" ref="Q17:AM17" si="3">SUM(Q13:Q16)</f>
        <v>36.1</v>
      </c>
      <c r="R17" s="251">
        <f t="shared" si="3"/>
        <v>35.4</v>
      </c>
      <c r="S17" s="251">
        <f t="shared" si="3"/>
        <v>35.900000000000006</v>
      </c>
      <c r="T17" s="251">
        <f t="shared" si="3"/>
        <v>36.380000000000003</v>
      </c>
      <c r="U17" s="251">
        <f t="shared" si="3"/>
        <v>38.9</v>
      </c>
      <c r="V17" s="251">
        <f t="shared" si="3"/>
        <v>37.6</v>
      </c>
      <c r="W17" s="251">
        <f t="shared" si="3"/>
        <v>42.5</v>
      </c>
      <c r="X17" s="251">
        <f t="shared" si="3"/>
        <v>50.910000000000004</v>
      </c>
      <c r="Y17" s="251">
        <f t="shared" si="3"/>
        <v>52.555</v>
      </c>
      <c r="Z17" s="251">
        <f t="shared" si="3"/>
        <v>57.199999999999996</v>
      </c>
      <c r="AA17" s="251">
        <f t="shared" si="3"/>
        <v>57.92</v>
      </c>
      <c r="AB17" s="252">
        <f t="shared" si="3"/>
        <v>60.650000000000006</v>
      </c>
      <c r="AC17" s="252">
        <f t="shared" si="3"/>
        <v>60.265000000000001</v>
      </c>
      <c r="AD17" s="252">
        <f t="shared" si="3"/>
        <v>62.222499999999997</v>
      </c>
      <c r="AE17" s="252">
        <f t="shared" si="3"/>
        <v>64.27</v>
      </c>
      <c r="AF17" s="252">
        <f t="shared" si="3"/>
        <v>69.700987359999999</v>
      </c>
      <c r="AG17" s="252">
        <f t="shared" si="3"/>
        <v>74.265100779999997</v>
      </c>
      <c r="AH17" s="253">
        <f t="shared" si="3"/>
        <v>73.010000000000005</v>
      </c>
      <c r="AI17" s="253">
        <f t="shared" si="3"/>
        <v>78.5</v>
      </c>
      <c r="AJ17" s="253">
        <f t="shared" si="3"/>
        <v>90.3</v>
      </c>
      <c r="AK17" s="253">
        <f t="shared" si="3"/>
        <v>84.865485499999991</v>
      </c>
      <c r="AL17" s="253">
        <f t="shared" si="3"/>
        <v>88.185348320000003</v>
      </c>
      <c r="AM17" s="253">
        <f t="shared" si="3"/>
        <v>85.2</v>
      </c>
      <c r="AN17" s="253">
        <v>89.876589085000006</v>
      </c>
      <c r="AO17" s="253">
        <v>89.905254220000003</v>
      </c>
      <c r="AP17" s="253">
        <f t="shared" ref="AP17:AT17" si="4">SUM(AP13:AP16)</f>
        <v>89.579345000000004</v>
      </c>
      <c r="AQ17" s="253">
        <f t="shared" si="4"/>
        <v>91</v>
      </c>
      <c r="AR17" s="253">
        <f t="shared" si="4"/>
        <v>93.600000000000009</v>
      </c>
      <c r="AS17" s="253">
        <f t="shared" si="4"/>
        <v>93.300000000000011</v>
      </c>
      <c r="AT17" s="253">
        <f t="shared" si="4"/>
        <v>103.80000000000001</v>
      </c>
      <c r="AU17" s="253">
        <f t="shared" ref="AU17" si="5">SUM(AU13:AU16)</f>
        <v>101.30000000000001</v>
      </c>
      <c r="AV17" s="210"/>
      <c r="AW17" s="210"/>
      <c r="AX17" s="210"/>
      <c r="AY17" s="210"/>
      <c r="AZ17" s="210"/>
      <c r="BA17" s="210"/>
      <c r="BB17" s="210"/>
      <c r="BC17" s="210"/>
      <c r="BD17" s="210"/>
      <c r="BE17" s="210"/>
      <c r="BF17" s="210"/>
      <c r="BG17" s="210"/>
      <c r="BH17" s="210"/>
      <c r="BI17" s="210"/>
      <c r="BJ17" s="210"/>
      <c r="BK17" s="210"/>
      <c r="BL17" s="210"/>
      <c r="BM17" s="210"/>
      <c r="BN17" s="210"/>
      <c r="BO17" s="210"/>
      <c r="BP17" s="210"/>
      <c r="BQ17" s="210"/>
      <c r="BR17" s="210"/>
      <c r="BS17" s="210"/>
      <c r="BT17" s="210"/>
      <c r="BU17" s="210"/>
      <c r="BV17" s="210"/>
      <c r="BW17" s="210"/>
      <c r="BX17" s="210"/>
      <c r="BY17" s="210"/>
      <c r="BZ17" s="210"/>
      <c r="CA17" s="210"/>
      <c r="CB17" s="210"/>
      <c r="CC17" s="210"/>
      <c r="CD17" s="210"/>
      <c r="CE17" s="210"/>
      <c r="CF17" s="210"/>
      <c r="CG17" s="210"/>
      <c r="CH17" s="210"/>
      <c r="CI17" s="210"/>
      <c r="CJ17" s="210"/>
      <c r="CK17" s="210"/>
      <c r="CL17" s="210"/>
      <c r="CM17" s="210"/>
      <c r="CN17" s="210"/>
      <c r="CO17" s="210"/>
      <c r="CP17" s="210"/>
      <c r="CQ17" s="210"/>
      <c r="CR17" s="210"/>
      <c r="CS17" s="210"/>
      <c r="CT17" s="210"/>
      <c r="CU17" s="210"/>
      <c r="CV17" s="210"/>
      <c r="CW17" s="210"/>
      <c r="CX17" s="210"/>
      <c r="CY17" s="210"/>
      <c r="CZ17" s="210"/>
      <c r="DA17" s="210"/>
      <c r="DB17" s="210"/>
      <c r="DC17" s="210"/>
      <c r="DD17" s="210"/>
      <c r="DE17" s="210"/>
      <c r="DF17" s="210"/>
      <c r="DG17" s="210"/>
      <c r="DH17" s="210"/>
      <c r="DI17" s="210"/>
      <c r="DJ17" s="210"/>
      <c r="DK17" s="210"/>
      <c r="DL17" s="210"/>
      <c r="DM17" s="210"/>
      <c r="DN17" s="210"/>
      <c r="DO17" s="210"/>
      <c r="DP17" s="210"/>
      <c r="DQ17" s="210"/>
      <c r="DR17" s="210"/>
      <c r="DS17" s="210"/>
      <c r="DT17" s="210"/>
      <c r="DU17" s="210"/>
      <c r="DV17" s="210"/>
      <c r="DW17" s="210"/>
      <c r="DX17" s="210"/>
      <c r="DY17" s="210"/>
      <c r="DZ17" s="210"/>
      <c r="EA17" s="210"/>
      <c r="EB17" s="210"/>
      <c r="EC17" s="210"/>
      <c r="ED17" s="210"/>
      <c r="EE17" s="210"/>
      <c r="EF17" s="210"/>
      <c r="EG17" s="210"/>
      <c r="EH17" s="210"/>
      <c r="EI17" s="210"/>
      <c r="EJ17" s="210"/>
      <c r="EK17" s="210"/>
      <c r="EL17" s="210"/>
      <c r="EM17" s="210"/>
      <c r="EN17" s="210"/>
      <c r="EO17" s="210"/>
      <c r="EP17" s="210"/>
      <c r="EQ17" s="210"/>
      <c r="ER17" s="210"/>
      <c r="ES17" s="210"/>
      <c r="ET17" s="210"/>
      <c r="EU17" s="210"/>
      <c r="EV17" s="210"/>
      <c r="EW17" s="210"/>
      <c r="EX17" s="210"/>
      <c r="EY17" s="210"/>
      <c r="EZ17" s="210"/>
      <c r="FA17" s="210"/>
      <c r="FB17" s="210"/>
      <c r="FC17" s="210"/>
      <c r="FD17" s="210"/>
      <c r="FE17" s="210"/>
      <c r="FF17" s="210"/>
      <c r="FG17" s="210"/>
      <c r="FH17" s="210"/>
      <c r="FI17" s="210"/>
      <c r="FJ17" s="210"/>
      <c r="FK17" s="210"/>
      <c r="FL17" s="210"/>
      <c r="FM17" s="210"/>
      <c r="FN17" s="210"/>
      <c r="FO17" s="210"/>
      <c r="FP17" s="210"/>
      <c r="FQ17" s="210"/>
      <c r="FR17" s="210"/>
      <c r="FS17" s="210"/>
      <c r="FT17" s="210"/>
      <c r="FU17" s="210"/>
      <c r="FV17" s="210"/>
      <c r="FW17" s="210"/>
      <c r="FX17" s="210"/>
      <c r="FY17" s="210"/>
      <c r="FZ17" s="210"/>
      <c r="GA17" s="210"/>
      <c r="GB17" s="210"/>
      <c r="GC17" s="210"/>
      <c r="GD17" s="210"/>
      <c r="GE17" s="210"/>
      <c r="GF17" s="210"/>
      <c r="GG17" s="210"/>
      <c r="GH17" s="210"/>
      <c r="GI17" s="210"/>
      <c r="GJ17" s="210"/>
      <c r="GK17" s="210"/>
      <c r="GL17" s="210"/>
      <c r="GM17" s="210"/>
      <c r="GN17" s="210"/>
      <c r="GO17" s="210"/>
      <c r="GP17" s="210"/>
      <c r="GQ17" s="210"/>
      <c r="GR17" s="210"/>
      <c r="GS17" s="210"/>
      <c r="GT17" s="210"/>
      <c r="GU17" s="210"/>
      <c r="GV17" s="210"/>
      <c r="GW17" s="210"/>
      <c r="GX17" s="210"/>
      <c r="GY17" s="210"/>
      <c r="GZ17" s="210"/>
      <c r="HA17" s="210"/>
      <c r="HB17" s="210"/>
      <c r="HC17" s="210"/>
      <c r="HD17" s="210"/>
      <c r="HE17" s="210"/>
      <c r="HF17" s="210"/>
      <c r="HG17" s="210"/>
      <c r="HH17" s="210"/>
      <c r="HI17" s="210"/>
      <c r="HJ17" s="210"/>
      <c r="HK17" s="210"/>
      <c r="HL17" s="210"/>
      <c r="HM17" s="210"/>
      <c r="HN17" s="210"/>
      <c r="HO17" s="210"/>
      <c r="HP17" s="210"/>
      <c r="HQ17" s="210"/>
      <c r="HR17" s="210"/>
      <c r="HS17" s="210"/>
      <c r="HT17" s="210"/>
      <c r="HU17" s="210"/>
      <c r="HV17" s="210"/>
      <c r="HW17" s="210"/>
      <c r="HX17" s="210"/>
      <c r="HY17" s="210"/>
      <c r="HZ17" s="210"/>
      <c r="IA17" s="210"/>
      <c r="IB17" s="210"/>
      <c r="IC17" s="210"/>
      <c r="ID17" s="210"/>
      <c r="IE17" s="210"/>
      <c r="IF17" s="210"/>
      <c r="IG17" s="210"/>
      <c r="IH17" s="210"/>
      <c r="II17" s="210"/>
      <c r="IJ17" s="210"/>
      <c r="IK17" s="210"/>
      <c r="IL17" s="210"/>
      <c r="IM17" s="210"/>
      <c r="IN17" s="210"/>
      <c r="IO17" s="210"/>
      <c r="IP17" s="210"/>
      <c r="IQ17" s="210"/>
      <c r="IR17" s="210"/>
      <c r="IS17" s="210"/>
      <c r="IT17" s="210"/>
      <c r="IU17" s="210"/>
      <c r="IV17" s="210"/>
      <c r="IW17" s="210"/>
    </row>
    <row r="18" spans="1:257" s="255" customFormat="1" ht="18.649999999999999" customHeight="1" thickBot="1">
      <c r="A18" s="232" t="s">
        <v>354</v>
      </c>
      <c r="B18" s="233">
        <f t="shared" ref="B18:AH18" si="6">B9+B11+B17</f>
        <v>17.3</v>
      </c>
      <c r="C18" s="233">
        <f t="shared" si="6"/>
        <v>8.3999999999999986</v>
      </c>
      <c r="D18" s="233">
        <f t="shared" si="6"/>
        <v>16.100000000000001</v>
      </c>
      <c r="E18" s="233">
        <f t="shared" si="6"/>
        <v>23.299999999999997</v>
      </c>
      <c r="F18" s="233">
        <f t="shared" si="6"/>
        <v>35.6</v>
      </c>
      <c r="G18" s="233">
        <f t="shared" si="6"/>
        <v>35.799999999999997</v>
      </c>
      <c r="H18" s="233">
        <f t="shared" si="6"/>
        <v>43.3</v>
      </c>
      <c r="I18" s="233">
        <f t="shared" si="6"/>
        <v>51.9</v>
      </c>
      <c r="J18" s="233">
        <f t="shared" si="6"/>
        <v>37.799999999999997</v>
      </c>
      <c r="K18" s="233">
        <f t="shared" si="6"/>
        <v>46.6</v>
      </c>
      <c r="L18" s="233">
        <f t="shared" si="6"/>
        <v>56.199999999999996</v>
      </c>
      <c r="M18" s="233">
        <f t="shared" si="6"/>
        <v>57.3</v>
      </c>
      <c r="N18" s="233">
        <f t="shared" si="6"/>
        <v>95.4</v>
      </c>
      <c r="O18" s="233">
        <f t="shared" si="6"/>
        <v>80.099999999999994</v>
      </c>
      <c r="P18" s="233">
        <f t="shared" si="6"/>
        <v>90.8</v>
      </c>
      <c r="Q18" s="233">
        <f t="shared" si="6"/>
        <v>107.5</v>
      </c>
      <c r="R18" s="233">
        <f t="shared" si="6"/>
        <v>103.9</v>
      </c>
      <c r="S18" s="233">
        <f t="shared" si="6"/>
        <v>118.10000000000001</v>
      </c>
      <c r="T18" s="233">
        <f t="shared" si="6"/>
        <v>141.28</v>
      </c>
      <c r="U18" s="233">
        <f t="shared" si="6"/>
        <v>147.1</v>
      </c>
      <c r="V18" s="233">
        <f t="shared" si="6"/>
        <v>145.80000000000001</v>
      </c>
      <c r="W18" s="233">
        <f t="shared" si="6"/>
        <v>146.5</v>
      </c>
      <c r="X18" s="233">
        <f t="shared" si="6"/>
        <v>195.10999999999999</v>
      </c>
      <c r="Y18" s="233">
        <f t="shared" si="6"/>
        <v>199.755</v>
      </c>
      <c r="Z18" s="233">
        <f t="shared" si="6"/>
        <v>202.9</v>
      </c>
      <c r="AA18" s="233">
        <f t="shared" si="6"/>
        <v>193.73000000000002</v>
      </c>
      <c r="AB18" s="234">
        <f t="shared" si="6"/>
        <v>198.55</v>
      </c>
      <c r="AC18" s="234">
        <f t="shared" si="6"/>
        <v>199.74700000000001</v>
      </c>
      <c r="AD18" s="234">
        <f t="shared" si="6"/>
        <v>211.11993393999995</v>
      </c>
      <c r="AE18" s="234">
        <f t="shared" si="6"/>
        <v>242.12944282999996</v>
      </c>
      <c r="AF18" s="234">
        <f t="shared" si="6"/>
        <v>269.28320039000005</v>
      </c>
      <c r="AG18" s="234">
        <f t="shared" si="6"/>
        <v>295.31872501999993</v>
      </c>
      <c r="AH18" s="235">
        <f t="shared" si="6"/>
        <v>321.94</v>
      </c>
      <c r="AI18" s="254">
        <f t="shared" ref="AI18:AM18" si="7">AI9+AI10+AI17</f>
        <v>317.7</v>
      </c>
      <c r="AJ18" s="254">
        <f t="shared" si="7"/>
        <v>322.40148199999999</v>
      </c>
      <c r="AK18" s="254">
        <f t="shared" si="7"/>
        <v>343.16651961999997</v>
      </c>
      <c r="AL18" s="254">
        <f t="shared" si="7"/>
        <v>346.34075089999999</v>
      </c>
      <c r="AM18" s="254">
        <f t="shared" si="7"/>
        <v>339.9</v>
      </c>
      <c r="AN18" s="254">
        <v>348.64765680500011</v>
      </c>
      <c r="AO18" s="254">
        <v>330.29548194</v>
      </c>
      <c r="AP18" s="254">
        <f t="shared" ref="AP18:AT18" si="8">AP9+AP10+AP17</f>
        <v>327.66055675000001</v>
      </c>
      <c r="AQ18" s="254">
        <f t="shared" si="8"/>
        <v>344.6</v>
      </c>
      <c r="AR18" s="254">
        <f t="shared" si="8"/>
        <v>343.23191873000002</v>
      </c>
      <c r="AS18" s="254">
        <f t="shared" si="8"/>
        <v>355.2</v>
      </c>
      <c r="AT18" s="254">
        <f t="shared" si="8"/>
        <v>376</v>
      </c>
      <c r="AU18" s="254">
        <f t="shared" ref="AU18" si="9">AU9+AU10+AU17</f>
        <v>420.2</v>
      </c>
      <c r="AV18" s="210"/>
      <c r="AW18" s="210"/>
      <c r="AX18" s="210"/>
      <c r="AY18" s="210"/>
      <c r="AZ18" s="210"/>
      <c r="BA18" s="210"/>
      <c r="BB18" s="210"/>
      <c r="BC18" s="210"/>
      <c r="BD18" s="210"/>
      <c r="BE18" s="210"/>
      <c r="BF18" s="210"/>
      <c r="BG18" s="210"/>
      <c r="BH18" s="210"/>
      <c r="BI18" s="210"/>
      <c r="BJ18" s="210"/>
      <c r="BK18" s="210"/>
      <c r="BL18" s="210"/>
      <c r="BM18" s="210"/>
      <c r="BN18" s="210"/>
      <c r="BO18" s="210"/>
      <c r="BP18" s="210"/>
      <c r="BQ18" s="210"/>
      <c r="BR18" s="210"/>
      <c r="BS18" s="210"/>
      <c r="BT18" s="210"/>
      <c r="BU18" s="210"/>
      <c r="BV18" s="210"/>
      <c r="BW18" s="210"/>
      <c r="BX18" s="210"/>
      <c r="BY18" s="210"/>
      <c r="BZ18" s="210"/>
      <c r="CA18" s="210"/>
      <c r="CB18" s="210"/>
      <c r="CC18" s="210"/>
      <c r="CD18" s="210"/>
      <c r="CE18" s="210"/>
      <c r="CF18" s="210"/>
      <c r="CG18" s="210"/>
      <c r="CH18" s="210"/>
      <c r="CI18" s="210"/>
      <c r="CJ18" s="210"/>
      <c r="CK18" s="210"/>
      <c r="CL18" s="210"/>
      <c r="CM18" s="210"/>
      <c r="CN18" s="210"/>
      <c r="CO18" s="210"/>
      <c r="CP18" s="210"/>
      <c r="CQ18" s="210"/>
      <c r="CR18" s="210"/>
      <c r="CS18" s="210"/>
      <c r="CT18" s="210"/>
      <c r="CU18" s="210"/>
      <c r="CV18" s="210"/>
      <c r="CW18" s="210"/>
      <c r="CX18" s="210"/>
      <c r="CY18" s="210"/>
      <c r="CZ18" s="210"/>
      <c r="DA18" s="210"/>
      <c r="DB18" s="210"/>
      <c r="DC18" s="210"/>
      <c r="DD18" s="210"/>
      <c r="DE18" s="210"/>
      <c r="DF18" s="210"/>
      <c r="DG18" s="210"/>
      <c r="DH18" s="210"/>
      <c r="DI18" s="210"/>
      <c r="DJ18" s="210"/>
      <c r="DK18" s="210"/>
      <c r="DL18" s="210"/>
      <c r="DM18" s="210"/>
      <c r="DN18" s="210"/>
      <c r="DO18" s="210"/>
      <c r="DP18" s="210"/>
      <c r="DQ18" s="210"/>
      <c r="DR18" s="210"/>
      <c r="DS18" s="210"/>
      <c r="DT18" s="210"/>
      <c r="DU18" s="210"/>
      <c r="DV18" s="210"/>
      <c r="DW18" s="210"/>
      <c r="DX18" s="210"/>
      <c r="DY18" s="210"/>
      <c r="DZ18" s="210"/>
      <c r="EA18" s="210"/>
      <c r="EB18" s="210"/>
      <c r="EC18" s="210"/>
      <c r="ED18" s="210"/>
      <c r="EE18" s="210"/>
      <c r="EF18" s="210"/>
      <c r="EG18" s="210"/>
      <c r="EH18" s="210"/>
      <c r="EI18" s="210"/>
      <c r="EJ18" s="210"/>
      <c r="EK18" s="210"/>
      <c r="EL18" s="210"/>
      <c r="EM18" s="210"/>
      <c r="EN18" s="210"/>
      <c r="EO18" s="210"/>
      <c r="EP18" s="210"/>
      <c r="EQ18" s="210"/>
      <c r="ER18" s="210"/>
      <c r="ES18" s="210"/>
      <c r="ET18" s="210"/>
      <c r="EU18" s="210"/>
      <c r="EV18" s="210"/>
      <c r="EW18" s="210"/>
      <c r="EX18" s="210"/>
      <c r="EY18" s="210"/>
      <c r="EZ18" s="210"/>
      <c r="FA18" s="210"/>
      <c r="FB18" s="210"/>
      <c r="FC18" s="210"/>
      <c r="FD18" s="210"/>
      <c r="FE18" s="210"/>
      <c r="FF18" s="210"/>
      <c r="FG18" s="210"/>
      <c r="FH18" s="210"/>
      <c r="FI18" s="210"/>
      <c r="FJ18" s="210"/>
      <c r="FK18" s="210"/>
      <c r="FL18" s="210"/>
      <c r="FM18" s="210"/>
      <c r="FN18" s="210"/>
      <c r="FO18" s="210"/>
      <c r="FP18" s="210"/>
      <c r="FQ18" s="210"/>
      <c r="FR18" s="210"/>
      <c r="FS18" s="210"/>
      <c r="FT18" s="210"/>
      <c r="FU18" s="210"/>
      <c r="FV18" s="210"/>
      <c r="FW18" s="210"/>
      <c r="FX18" s="210"/>
      <c r="FY18" s="210"/>
      <c r="FZ18" s="210"/>
      <c r="GA18" s="210"/>
      <c r="GB18" s="210"/>
      <c r="GC18" s="210"/>
      <c r="GD18" s="210"/>
      <c r="GE18" s="210"/>
      <c r="GF18" s="210"/>
      <c r="GG18" s="210"/>
      <c r="GH18" s="210"/>
      <c r="GI18" s="210"/>
      <c r="GJ18" s="210"/>
      <c r="GK18" s="210"/>
      <c r="GL18" s="210"/>
      <c r="GM18" s="210"/>
      <c r="GN18" s="210"/>
      <c r="GO18" s="210"/>
      <c r="GP18" s="210"/>
      <c r="GQ18" s="210"/>
      <c r="GR18" s="210"/>
      <c r="GS18" s="210"/>
      <c r="GT18" s="210"/>
      <c r="GU18" s="210"/>
      <c r="GV18" s="210"/>
      <c r="GW18" s="210"/>
      <c r="GX18" s="210"/>
      <c r="GY18" s="210"/>
      <c r="GZ18" s="210"/>
      <c r="HA18" s="210"/>
      <c r="HB18" s="210"/>
      <c r="HC18" s="210"/>
      <c r="HD18" s="210"/>
      <c r="HE18" s="210"/>
      <c r="HF18" s="210"/>
      <c r="HG18" s="210"/>
      <c r="HH18" s="210"/>
      <c r="HI18" s="210"/>
      <c r="HJ18" s="210"/>
      <c r="HK18" s="210"/>
      <c r="HL18" s="210"/>
      <c r="HM18" s="210"/>
      <c r="HN18" s="210"/>
      <c r="HO18" s="210"/>
      <c r="HP18" s="210"/>
      <c r="HQ18" s="210"/>
      <c r="HR18" s="210"/>
      <c r="HS18" s="210"/>
      <c r="HT18" s="210"/>
      <c r="HU18" s="210"/>
      <c r="HV18" s="210"/>
      <c r="HW18" s="210"/>
      <c r="HX18" s="210"/>
      <c r="HY18" s="210"/>
      <c r="HZ18" s="210"/>
      <c r="IA18" s="210"/>
      <c r="IB18" s="210"/>
      <c r="IC18" s="210"/>
      <c r="ID18" s="210"/>
      <c r="IE18" s="210"/>
      <c r="IF18" s="210"/>
      <c r="IG18" s="210"/>
      <c r="IH18" s="210"/>
      <c r="II18" s="210"/>
      <c r="IJ18" s="210"/>
      <c r="IK18" s="210"/>
      <c r="IL18" s="210"/>
      <c r="IM18" s="210"/>
      <c r="IN18" s="210"/>
      <c r="IO18" s="210"/>
      <c r="IP18" s="210"/>
      <c r="IQ18" s="210"/>
      <c r="IR18" s="210"/>
      <c r="IS18" s="210"/>
      <c r="IT18" s="210"/>
      <c r="IU18" s="210"/>
      <c r="IV18" s="210"/>
      <c r="IW18" s="210"/>
    </row>
    <row r="19" spans="1:257" s="216" customFormat="1" ht="18.649999999999999" customHeight="1">
      <c r="A19" s="256" t="s">
        <v>355</v>
      </c>
      <c r="B19" s="238">
        <v>0</v>
      </c>
      <c r="C19" s="238">
        <v>0</v>
      </c>
      <c r="D19" s="238">
        <v>0</v>
      </c>
      <c r="E19" s="238">
        <v>0</v>
      </c>
      <c r="F19" s="238">
        <v>0</v>
      </c>
      <c r="G19" s="238">
        <v>0</v>
      </c>
      <c r="H19" s="238">
        <v>0</v>
      </c>
      <c r="I19" s="238">
        <v>0</v>
      </c>
      <c r="J19" s="238">
        <v>0</v>
      </c>
      <c r="K19" s="238">
        <v>0</v>
      </c>
      <c r="L19" s="238">
        <v>0</v>
      </c>
      <c r="M19" s="238">
        <v>0</v>
      </c>
      <c r="N19" s="238">
        <v>0</v>
      </c>
      <c r="O19" s="238">
        <v>0</v>
      </c>
      <c r="P19" s="238">
        <v>0</v>
      </c>
      <c r="Q19" s="238"/>
      <c r="R19" s="238"/>
      <c r="S19" s="238"/>
      <c r="T19" s="238"/>
      <c r="U19" s="238"/>
      <c r="V19" s="238"/>
      <c r="W19" s="238"/>
      <c r="X19" s="238"/>
      <c r="Y19" s="238"/>
      <c r="Z19" s="238"/>
      <c r="AA19" s="238"/>
      <c r="AB19" s="239"/>
      <c r="AC19" s="240"/>
      <c r="AD19" s="240"/>
      <c r="AE19" s="240"/>
      <c r="AF19" s="240"/>
      <c r="AG19" s="240"/>
      <c r="AH19" s="241"/>
      <c r="AI19" s="240"/>
      <c r="AJ19" s="240"/>
      <c r="AK19" s="240"/>
      <c r="AL19" s="240"/>
      <c r="AM19" s="240"/>
      <c r="AN19" s="240"/>
      <c r="AO19" s="240"/>
      <c r="AP19" s="240"/>
      <c r="AQ19" s="240"/>
      <c r="AR19" s="240"/>
      <c r="AS19" s="240"/>
      <c r="AT19" s="240"/>
      <c r="AU19" s="240"/>
      <c r="AV19" s="210"/>
      <c r="AW19" s="210"/>
      <c r="AX19" s="210"/>
      <c r="AY19" s="210"/>
      <c r="AZ19" s="210"/>
      <c r="BA19" s="210"/>
      <c r="BB19" s="210"/>
      <c r="BC19" s="210"/>
      <c r="BD19" s="210"/>
      <c r="BE19" s="210"/>
      <c r="BF19" s="210"/>
      <c r="BG19" s="210"/>
      <c r="BH19" s="210"/>
      <c r="BI19" s="210"/>
      <c r="BJ19" s="210"/>
      <c r="BK19" s="210"/>
      <c r="BL19" s="210"/>
      <c r="BM19" s="210"/>
      <c r="BN19" s="210"/>
      <c r="BO19" s="210"/>
      <c r="BP19" s="210"/>
      <c r="BQ19" s="210"/>
      <c r="BR19" s="210"/>
      <c r="BS19" s="210"/>
      <c r="BT19" s="210"/>
      <c r="BU19" s="210"/>
      <c r="BV19" s="210"/>
      <c r="BW19" s="210"/>
      <c r="BX19" s="210"/>
      <c r="BY19" s="210"/>
      <c r="BZ19" s="210"/>
      <c r="CA19" s="210"/>
      <c r="CB19" s="210"/>
      <c r="CC19" s="210"/>
      <c r="CD19" s="210"/>
      <c r="CE19" s="210"/>
      <c r="CF19" s="210"/>
      <c r="CG19" s="210"/>
      <c r="CH19" s="210"/>
      <c r="CI19" s="210"/>
      <c r="CJ19" s="210"/>
      <c r="CK19" s="210"/>
      <c r="CL19" s="210"/>
      <c r="CM19" s="210"/>
      <c r="CN19" s="210"/>
      <c r="CO19" s="210"/>
      <c r="CP19" s="210"/>
      <c r="CQ19" s="210"/>
      <c r="CR19" s="210"/>
      <c r="CS19" s="210"/>
      <c r="CT19" s="210"/>
      <c r="CU19" s="210"/>
      <c r="CV19" s="210"/>
      <c r="CW19" s="210"/>
      <c r="CX19" s="210"/>
      <c r="CY19" s="210"/>
      <c r="CZ19" s="210"/>
      <c r="DA19" s="210"/>
      <c r="DB19" s="210"/>
      <c r="DC19" s="210"/>
      <c r="DD19" s="210"/>
      <c r="DE19" s="210"/>
      <c r="DF19" s="210"/>
      <c r="DG19" s="210"/>
      <c r="DH19" s="210"/>
      <c r="DI19" s="210"/>
      <c r="DJ19" s="210"/>
      <c r="DK19" s="210"/>
      <c r="DL19" s="210"/>
      <c r="DM19" s="210"/>
      <c r="DN19" s="210"/>
      <c r="DO19" s="210"/>
      <c r="DP19" s="210"/>
      <c r="DQ19" s="210"/>
      <c r="DR19" s="210"/>
      <c r="DS19" s="210"/>
      <c r="DT19" s="210"/>
      <c r="DU19" s="210"/>
      <c r="DV19" s="210"/>
      <c r="DW19" s="210"/>
      <c r="DX19" s="210"/>
      <c r="DY19" s="210"/>
      <c r="DZ19" s="210"/>
      <c r="EA19" s="210"/>
      <c r="EB19" s="210"/>
      <c r="EC19" s="210"/>
      <c r="ED19" s="210"/>
      <c r="EE19" s="210"/>
      <c r="EF19" s="210"/>
      <c r="EG19" s="210"/>
      <c r="EH19" s="210"/>
      <c r="EI19" s="210"/>
      <c r="EJ19" s="210"/>
      <c r="EK19" s="210"/>
      <c r="EL19" s="210"/>
      <c r="EM19" s="210"/>
      <c r="EN19" s="210"/>
      <c r="EO19" s="210"/>
      <c r="EP19" s="210"/>
      <c r="EQ19" s="210"/>
      <c r="ER19" s="210"/>
      <c r="ES19" s="210"/>
      <c r="ET19" s="210"/>
      <c r="EU19" s="210"/>
      <c r="EV19" s="210"/>
      <c r="EW19" s="210"/>
      <c r="EX19" s="210"/>
      <c r="EY19" s="210"/>
      <c r="EZ19" s="210"/>
      <c r="FA19" s="210"/>
      <c r="FB19" s="210"/>
      <c r="FC19" s="210"/>
      <c r="FD19" s="210"/>
      <c r="FE19" s="210"/>
      <c r="FF19" s="210"/>
      <c r="FG19" s="210"/>
      <c r="FH19" s="210"/>
      <c r="FI19" s="210"/>
      <c r="FJ19" s="210"/>
      <c r="FK19" s="210"/>
      <c r="FL19" s="210"/>
      <c r="FM19" s="210"/>
      <c r="FN19" s="210"/>
      <c r="FO19" s="210"/>
      <c r="FP19" s="210"/>
      <c r="FQ19" s="210"/>
      <c r="FR19" s="210"/>
      <c r="FS19" s="210"/>
      <c r="FT19" s="210"/>
      <c r="FU19" s="210"/>
      <c r="FV19" s="210"/>
      <c r="FW19" s="210"/>
      <c r="FX19" s="210"/>
      <c r="FY19" s="210"/>
      <c r="FZ19" s="210"/>
      <c r="GA19" s="210"/>
      <c r="GB19" s="210"/>
      <c r="GC19" s="210"/>
      <c r="GD19" s="210"/>
      <c r="GE19" s="210"/>
      <c r="GF19" s="210"/>
      <c r="GG19" s="210"/>
      <c r="GH19" s="210"/>
      <c r="GI19" s="210"/>
      <c r="GJ19" s="210"/>
      <c r="GK19" s="210"/>
      <c r="GL19" s="210"/>
      <c r="GM19" s="210"/>
      <c r="GN19" s="210"/>
      <c r="GO19" s="210"/>
      <c r="GP19" s="210"/>
      <c r="GQ19" s="210"/>
      <c r="GR19" s="210"/>
      <c r="GS19" s="210"/>
      <c r="GT19" s="210"/>
      <c r="GU19" s="210"/>
      <c r="GV19" s="210"/>
      <c r="GW19" s="210"/>
      <c r="GX19" s="210"/>
      <c r="GY19" s="210"/>
      <c r="GZ19" s="210"/>
      <c r="HA19" s="210"/>
      <c r="HB19" s="210"/>
      <c r="HC19" s="210"/>
      <c r="HD19" s="210"/>
      <c r="HE19" s="210"/>
      <c r="HF19" s="210"/>
      <c r="HG19" s="210"/>
      <c r="HH19" s="210"/>
      <c r="HI19" s="210"/>
      <c r="HJ19" s="210"/>
      <c r="HK19" s="210"/>
      <c r="HL19" s="210"/>
      <c r="HM19" s="210"/>
      <c r="HN19" s="210"/>
      <c r="HO19" s="210"/>
      <c r="HP19" s="210"/>
      <c r="HQ19" s="210"/>
      <c r="HR19" s="210"/>
      <c r="HS19" s="210"/>
      <c r="HT19" s="210"/>
      <c r="HU19" s="210"/>
      <c r="HV19" s="210"/>
      <c r="HW19" s="210"/>
      <c r="HX19" s="210"/>
      <c r="HY19" s="210"/>
      <c r="HZ19" s="210"/>
      <c r="IA19" s="210"/>
      <c r="IB19" s="210"/>
      <c r="IC19" s="210"/>
      <c r="ID19" s="210"/>
      <c r="IE19" s="210"/>
      <c r="IF19" s="210"/>
      <c r="IG19" s="210"/>
      <c r="IH19" s="210"/>
      <c r="II19" s="210"/>
      <c r="IJ19" s="210"/>
      <c r="IK19" s="210"/>
      <c r="IL19" s="210"/>
      <c r="IM19" s="210"/>
      <c r="IN19" s="210"/>
      <c r="IO19" s="210"/>
      <c r="IP19" s="210"/>
      <c r="IQ19" s="210"/>
      <c r="IR19" s="210"/>
      <c r="IS19" s="210"/>
      <c r="IT19" s="210"/>
      <c r="IU19" s="210"/>
      <c r="IV19" s="210"/>
      <c r="IW19" s="210"/>
    </row>
    <row r="20" spans="1:257" s="216" customFormat="1" ht="18.649999999999999" customHeight="1">
      <c r="A20" s="257" t="s">
        <v>356</v>
      </c>
      <c r="B20" s="218">
        <v>15</v>
      </c>
      <c r="C20" s="218">
        <v>6.4</v>
      </c>
      <c r="D20" s="218">
        <v>9.1999999999999993</v>
      </c>
      <c r="E20" s="218">
        <v>12.1</v>
      </c>
      <c r="F20" s="218">
        <v>12.7</v>
      </c>
      <c r="G20" s="218">
        <v>15.3</v>
      </c>
      <c r="H20" s="218">
        <v>17.100000000000001</v>
      </c>
      <c r="I20" s="218">
        <v>22.2</v>
      </c>
      <c r="J20" s="218">
        <v>24.3</v>
      </c>
      <c r="K20" s="218">
        <v>24.5</v>
      </c>
      <c r="L20" s="218">
        <v>26</v>
      </c>
      <c r="M20" s="218">
        <v>29.2</v>
      </c>
      <c r="N20" s="218">
        <v>31.4</v>
      </c>
      <c r="O20" s="218">
        <v>40.6</v>
      </c>
      <c r="P20" s="218">
        <v>46.1</v>
      </c>
      <c r="Q20" s="218">
        <v>44.9</v>
      </c>
      <c r="R20" s="218">
        <v>51.1</v>
      </c>
      <c r="S20" s="218">
        <v>52.4</v>
      </c>
      <c r="T20" s="218">
        <v>48.9</v>
      </c>
      <c r="U20" s="218">
        <v>49.4</v>
      </c>
      <c r="V20" s="218">
        <v>48.4</v>
      </c>
      <c r="W20" s="218">
        <v>49.1</v>
      </c>
      <c r="X20" s="218">
        <v>48.5</v>
      </c>
      <c r="Y20" s="218">
        <v>49.9</v>
      </c>
      <c r="Z20" s="218">
        <v>53.3</v>
      </c>
      <c r="AA20" s="218">
        <v>56.4</v>
      </c>
      <c r="AB20" s="220">
        <v>53.4</v>
      </c>
      <c r="AC20" s="221">
        <v>76.009</v>
      </c>
      <c r="AD20" s="221">
        <v>76.900000000000006</v>
      </c>
      <c r="AE20" s="221">
        <v>78.7</v>
      </c>
      <c r="AF20" s="221">
        <v>80.530576881176245</v>
      </c>
      <c r="AG20" s="221">
        <v>79.209488511332921</v>
      </c>
      <c r="AH20" s="222">
        <v>80.599999999999994</v>
      </c>
      <c r="AI20" s="223">
        <v>89.1</v>
      </c>
      <c r="AJ20" s="223">
        <v>83.4</v>
      </c>
      <c r="AK20" s="224">
        <v>89.190742819737665</v>
      </c>
      <c r="AL20" s="224">
        <v>85.597791098136184</v>
      </c>
      <c r="AM20" s="224">
        <v>58.6</v>
      </c>
      <c r="AN20" s="224">
        <v>40.96293249063028</v>
      </c>
      <c r="AO20" s="224">
        <v>39.749498006875612</v>
      </c>
      <c r="AP20" s="224">
        <v>32.529644248456414</v>
      </c>
      <c r="AQ20" s="224">
        <v>29.3</v>
      </c>
      <c r="AR20" s="224">
        <v>29.4</v>
      </c>
      <c r="AS20" s="224">
        <v>30.3</v>
      </c>
      <c r="AT20" s="224">
        <v>24.7</v>
      </c>
      <c r="AU20" s="224">
        <v>22</v>
      </c>
      <c r="AV20" s="210"/>
      <c r="AW20" s="210"/>
      <c r="AX20" s="210"/>
      <c r="AY20" s="210"/>
      <c r="AZ20" s="210"/>
      <c r="BA20" s="210"/>
      <c r="BB20" s="210"/>
      <c r="BC20" s="210"/>
      <c r="BD20" s="210"/>
      <c r="BE20" s="210"/>
      <c r="BF20" s="210"/>
      <c r="BG20" s="210"/>
      <c r="BH20" s="210"/>
      <c r="BI20" s="210"/>
      <c r="BJ20" s="210"/>
      <c r="BK20" s="210"/>
      <c r="BL20" s="210"/>
      <c r="BM20" s="210"/>
      <c r="BN20" s="210"/>
      <c r="BO20" s="210"/>
      <c r="BP20" s="210"/>
      <c r="BQ20" s="210"/>
      <c r="BR20" s="210"/>
      <c r="BS20" s="210"/>
      <c r="BT20" s="210"/>
      <c r="BU20" s="210"/>
      <c r="BV20" s="210"/>
      <c r="BW20" s="210"/>
      <c r="BX20" s="210"/>
      <c r="BY20" s="210"/>
      <c r="BZ20" s="210"/>
      <c r="CA20" s="210"/>
      <c r="CB20" s="210"/>
      <c r="CC20" s="210"/>
      <c r="CD20" s="210"/>
      <c r="CE20" s="210"/>
      <c r="CF20" s="210"/>
      <c r="CG20" s="210"/>
      <c r="CH20" s="210"/>
      <c r="CI20" s="210"/>
      <c r="CJ20" s="210"/>
      <c r="CK20" s="210"/>
      <c r="CL20" s="210"/>
      <c r="CM20" s="210"/>
      <c r="CN20" s="210"/>
      <c r="CO20" s="210"/>
      <c r="CP20" s="210"/>
      <c r="CQ20" s="210"/>
      <c r="CR20" s="210"/>
      <c r="CS20" s="210"/>
      <c r="CT20" s="210"/>
      <c r="CU20" s="210"/>
      <c r="CV20" s="210"/>
      <c r="CW20" s="210"/>
      <c r="CX20" s="210"/>
      <c r="CY20" s="210"/>
      <c r="CZ20" s="210"/>
      <c r="DA20" s="210"/>
      <c r="DB20" s="210"/>
      <c r="DC20" s="210"/>
      <c r="DD20" s="210"/>
      <c r="DE20" s="210"/>
      <c r="DF20" s="210"/>
      <c r="DG20" s="210"/>
      <c r="DH20" s="210"/>
      <c r="DI20" s="210"/>
      <c r="DJ20" s="210"/>
      <c r="DK20" s="210"/>
      <c r="DL20" s="210"/>
      <c r="DM20" s="210"/>
      <c r="DN20" s="210"/>
      <c r="DO20" s="210"/>
      <c r="DP20" s="210"/>
      <c r="DQ20" s="210"/>
      <c r="DR20" s="210"/>
      <c r="DS20" s="210"/>
      <c r="DT20" s="210"/>
      <c r="DU20" s="210"/>
      <c r="DV20" s="210"/>
      <c r="DW20" s="210"/>
      <c r="DX20" s="210"/>
      <c r="DY20" s="210"/>
      <c r="DZ20" s="210"/>
      <c r="EA20" s="210"/>
      <c r="EB20" s="210"/>
      <c r="EC20" s="210"/>
      <c r="ED20" s="210"/>
      <c r="EE20" s="210"/>
      <c r="EF20" s="210"/>
      <c r="EG20" s="210"/>
      <c r="EH20" s="210"/>
      <c r="EI20" s="210"/>
      <c r="EJ20" s="210"/>
      <c r="EK20" s="210"/>
      <c r="EL20" s="210"/>
      <c r="EM20" s="210"/>
      <c r="EN20" s="210"/>
      <c r="EO20" s="210"/>
      <c r="EP20" s="210"/>
      <c r="EQ20" s="210"/>
      <c r="ER20" s="210"/>
      <c r="ES20" s="210"/>
      <c r="ET20" s="210"/>
      <c r="EU20" s="210"/>
      <c r="EV20" s="210"/>
      <c r="EW20" s="210"/>
      <c r="EX20" s="210"/>
      <c r="EY20" s="210"/>
      <c r="EZ20" s="210"/>
      <c r="FA20" s="210"/>
      <c r="FB20" s="210"/>
      <c r="FC20" s="210"/>
      <c r="FD20" s="210"/>
      <c r="FE20" s="210"/>
      <c r="FF20" s="210"/>
      <c r="FG20" s="210"/>
      <c r="FH20" s="210"/>
      <c r="FI20" s="210"/>
      <c r="FJ20" s="210"/>
      <c r="FK20" s="210"/>
      <c r="FL20" s="210"/>
      <c r="FM20" s="210"/>
      <c r="FN20" s="210"/>
      <c r="FO20" s="210"/>
      <c r="FP20" s="210"/>
      <c r="FQ20" s="210"/>
      <c r="FR20" s="210"/>
      <c r="FS20" s="210"/>
      <c r="FT20" s="210"/>
      <c r="FU20" s="210"/>
      <c r="FV20" s="210"/>
      <c r="FW20" s="210"/>
      <c r="FX20" s="210"/>
      <c r="FY20" s="210"/>
      <c r="FZ20" s="210"/>
      <c r="GA20" s="210"/>
      <c r="GB20" s="210"/>
      <c r="GC20" s="210"/>
      <c r="GD20" s="210"/>
      <c r="GE20" s="210"/>
      <c r="GF20" s="210"/>
      <c r="GG20" s="210"/>
      <c r="GH20" s="210"/>
      <c r="GI20" s="210"/>
      <c r="GJ20" s="210"/>
      <c r="GK20" s="210"/>
      <c r="GL20" s="210"/>
      <c r="GM20" s="210"/>
      <c r="GN20" s="210"/>
      <c r="GO20" s="210"/>
      <c r="GP20" s="210"/>
      <c r="GQ20" s="210"/>
      <c r="GR20" s="210"/>
      <c r="GS20" s="210"/>
      <c r="GT20" s="210"/>
      <c r="GU20" s="210"/>
      <c r="GV20" s="210"/>
      <c r="GW20" s="210"/>
      <c r="GX20" s="210"/>
      <c r="GY20" s="210"/>
      <c r="GZ20" s="210"/>
      <c r="HA20" s="210"/>
      <c r="HB20" s="210"/>
      <c r="HC20" s="210"/>
      <c r="HD20" s="210"/>
      <c r="HE20" s="210"/>
      <c r="HF20" s="210"/>
      <c r="HG20" s="210"/>
      <c r="HH20" s="210"/>
      <c r="HI20" s="210"/>
      <c r="HJ20" s="210"/>
      <c r="HK20" s="210"/>
      <c r="HL20" s="210"/>
      <c r="HM20" s="210"/>
      <c r="HN20" s="210"/>
      <c r="HO20" s="210"/>
      <c r="HP20" s="210"/>
      <c r="HQ20" s="210"/>
      <c r="HR20" s="210"/>
      <c r="HS20" s="210"/>
      <c r="HT20" s="210"/>
      <c r="HU20" s="210"/>
      <c r="HV20" s="210"/>
      <c r="HW20" s="210"/>
      <c r="HX20" s="210"/>
      <c r="HY20" s="210"/>
      <c r="HZ20" s="210"/>
      <c r="IA20" s="210"/>
      <c r="IB20" s="210"/>
      <c r="IC20" s="210"/>
      <c r="ID20" s="210"/>
      <c r="IE20" s="210"/>
      <c r="IF20" s="210"/>
      <c r="IG20" s="210"/>
      <c r="IH20" s="210"/>
      <c r="II20" s="210"/>
      <c r="IJ20" s="210"/>
      <c r="IK20" s="210"/>
      <c r="IL20" s="210"/>
      <c r="IM20" s="210"/>
      <c r="IN20" s="210"/>
      <c r="IO20" s="210"/>
      <c r="IP20" s="210"/>
      <c r="IQ20" s="210"/>
      <c r="IR20" s="210"/>
      <c r="IS20" s="210"/>
      <c r="IT20" s="210"/>
      <c r="IU20" s="210"/>
      <c r="IV20" s="210"/>
      <c r="IW20" s="210"/>
    </row>
    <row r="21" spans="1:257" s="216" customFormat="1" ht="18.649999999999999" customHeight="1">
      <c r="A21" s="257" t="s">
        <v>357</v>
      </c>
      <c r="B21" s="218">
        <v>0</v>
      </c>
      <c r="C21" s="218">
        <v>0</v>
      </c>
      <c r="D21" s="218">
        <v>0</v>
      </c>
      <c r="E21" s="218">
        <v>0</v>
      </c>
      <c r="F21" s="218">
        <v>0</v>
      </c>
      <c r="G21" s="218">
        <v>0.1</v>
      </c>
      <c r="H21" s="218">
        <v>0.5</v>
      </c>
      <c r="I21" s="218">
        <v>0.8</v>
      </c>
      <c r="J21" s="218">
        <v>1.1000000000000001</v>
      </c>
      <c r="K21" s="218">
        <v>1.7</v>
      </c>
      <c r="L21" s="218">
        <v>2.4</v>
      </c>
      <c r="M21" s="218">
        <v>3.6</v>
      </c>
      <c r="N21" s="218">
        <v>4.8</v>
      </c>
      <c r="O21" s="218">
        <v>5.5</v>
      </c>
      <c r="P21" s="218">
        <v>6.8</v>
      </c>
      <c r="Q21" s="218">
        <v>8.5</v>
      </c>
      <c r="R21" s="218">
        <v>10.6</v>
      </c>
      <c r="S21" s="218">
        <v>12.4</v>
      </c>
      <c r="T21" s="218">
        <v>14.1</v>
      </c>
      <c r="U21" s="218">
        <v>15.3</v>
      </c>
      <c r="V21" s="218">
        <v>16.100000000000001</v>
      </c>
      <c r="W21" s="218">
        <v>16.8</v>
      </c>
      <c r="X21" s="218">
        <v>17.2</v>
      </c>
      <c r="Y21" s="218">
        <v>17.399999999999999</v>
      </c>
      <c r="Z21" s="218">
        <v>17.5</v>
      </c>
      <c r="AA21" s="218">
        <v>17.399999999999999</v>
      </c>
      <c r="AB21" s="220">
        <v>17.399999999999999</v>
      </c>
      <c r="AC21" s="221">
        <v>22.885000000000002</v>
      </c>
      <c r="AD21" s="221">
        <v>24.4</v>
      </c>
      <c r="AE21" s="221">
        <v>24.6</v>
      </c>
      <c r="AF21" s="221">
        <v>24.957999999999998</v>
      </c>
      <c r="AG21" s="221">
        <v>28.347999999999999</v>
      </c>
      <c r="AH21" s="222">
        <v>30.2</v>
      </c>
      <c r="AI21" s="223">
        <v>35.700000000000003</v>
      </c>
      <c r="AJ21" s="223">
        <v>38.700000000000003</v>
      </c>
      <c r="AK21" s="224">
        <v>41.33590118</v>
      </c>
      <c r="AL21" s="224">
        <v>42.480182859999999</v>
      </c>
      <c r="AM21" s="224">
        <v>42.5</v>
      </c>
      <c r="AN21" s="224">
        <v>43.360067620000002</v>
      </c>
      <c r="AO21" s="224">
        <v>45.052117350000003</v>
      </c>
      <c r="AP21" s="224">
        <v>46.68507893999999</v>
      </c>
      <c r="AQ21" s="224">
        <v>47.4</v>
      </c>
      <c r="AR21" s="224">
        <v>56</v>
      </c>
      <c r="AS21" s="224">
        <v>54.9</v>
      </c>
      <c r="AT21" s="224">
        <v>54.3</v>
      </c>
      <c r="AU21" s="224">
        <v>54.2</v>
      </c>
      <c r="AV21" s="210"/>
      <c r="AW21" s="210"/>
      <c r="AX21" s="210"/>
      <c r="AY21" s="210"/>
      <c r="AZ21" s="210"/>
      <c r="BA21" s="210"/>
      <c r="BB21" s="210"/>
      <c r="BC21" s="210"/>
      <c r="BD21" s="210"/>
      <c r="BE21" s="210"/>
      <c r="BF21" s="210"/>
      <c r="BG21" s="210"/>
      <c r="BH21" s="210"/>
      <c r="BI21" s="210"/>
      <c r="BJ21" s="210"/>
      <c r="BK21" s="210"/>
      <c r="BL21" s="210"/>
      <c r="BM21" s="210"/>
      <c r="BN21" s="210"/>
      <c r="BO21" s="210"/>
      <c r="BP21" s="210"/>
      <c r="BQ21" s="210"/>
      <c r="BR21" s="210"/>
      <c r="BS21" s="210"/>
      <c r="BT21" s="210"/>
      <c r="BU21" s="210"/>
      <c r="BV21" s="210"/>
      <c r="BW21" s="210"/>
      <c r="BX21" s="210"/>
      <c r="BY21" s="210"/>
      <c r="BZ21" s="210"/>
      <c r="CA21" s="210"/>
      <c r="CB21" s="210"/>
      <c r="CC21" s="210"/>
      <c r="CD21" s="210"/>
      <c r="CE21" s="210"/>
      <c r="CF21" s="210"/>
      <c r="CG21" s="210"/>
      <c r="CH21" s="210"/>
      <c r="CI21" s="210"/>
      <c r="CJ21" s="210"/>
      <c r="CK21" s="210"/>
      <c r="CL21" s="210"/>
      <c r="CM21" s="210"/>
      <c r="CN21" s="210"/>
      <c r="CO21" s="210"/>
      <c r="CP21" s="210"/>
      <c r="CQ21" s="210"/>
      <c r="CR21" s="210"/>
      <c r="CS21" s="210"/>
      <c r="CT21" s="210"/>
      <c r="CU21" s="210"/>
      <c r="CV21" s="210"/>
      <c r="CW21" s="210"/>
      <c r="CX21" s="210"/>
      <c r="CY21" s="210"/>
      <c r="CZ21" s="210"/>
      <c r="DA21" s="210"/>
      <c r="DB21" s="210"/>
      <c r="DC21" s="210"/>
      <c r="DD21" s="210"/>
      <c r="DE21" s="210"/>
      <c r="DF21" s="210"/>
      <c r="DG21" s="210"/>
      <c r="DH21" s="210"/>
      <c r="DI21" s="210"/>
      <c r="DJ21" s="210"/>
      <c r="DK21" s="210"/>
      <c r="DL21" s="210"/>
      <c r="DM21" s="210"/>
      <c r="DN21" s="210"/>
      <c r="DO21" s="210"/>
      <c r="DP21" s="210"/>
      <c r="DQ21" s="210"/>
      <c r="DR21" s="210"/>
      <c r="DS21" s="210"/>
      <c r="DT21" s="210"/>
      <c r="DU21" s="210"/>
      <c r="DV21" s="210"/>
      <c r="DW21" s="210"/>
      <c r="DX21" s="210"/>
      <c r="DY21" s="210"/>
      <c r="DZ21" s="210"/>
      <c r="EA21" s="210"/>
      <c r="EB21" s="210"/>
      <c r="EC21" s="210"/>
      <c r="ED21" s="210"/>
      <c r="EE21" s="210"/>
      <c r="EF21" s="210"/>
      <c r="EG21" s="210"/>
      <c r="EH21" s="210"/>
      <c r="EI21" s="210"/>
      <c r="EJ21" s="210"/>
      <c r="EK21" s="210"/>
      <c r="EL21" s="210"/>
      <c r="EM21" s="210"/>
      <c r="EN21" s="210"/>
      <c r="EO21" s="210"/>
      <c r="EP21" s="210"/>
      <c r="EQ21" s="210"/>
      <c r="ER21" s="210"/>
      <c r="ES21" s="210"/>
      <c r="ET21" s="210"/>
      <c r="EU21" s="210"/>
      <c r="EV21" s="210"/>
      <c r="EW21" s="210"/>
      <c r="EX21" s="210"/>
      <c r="EY21" s="210"/>
      <c r="EZ21" s="210"/>
      <c r="FA21" s="210"/>
      <c r="FB21" s="210"/>
      <c r="FC21" s="210"/>
      <c r="FD21" s="210"/>
      <c r="FE21" s="210"/>
      <c r="FF21" s="210"/>
      <c r="FG21" s="210"/>
      <c r="FH21" s="210"/>
      <c r="FI21" s="210"/>
      <c r="FJ21" s="210"/>
      <c r="FK21" s="210"/>
      <c r="FL21" s="210"/>
      <c r="FM21" s="210"/>
      <c r="FN21" s="210"/>
      <c r="FO21" s="210"/>
      <c r="FP21" s="210"/>
      <c r="FQ21" s="210"/>
      <c r="FR21" s="210"/>
      <c r="FS21" s="210"/>
      <c r="FT21" s="210"/>
      <c r="FU21" s="210"/>
      <c r="FV21" s="210"/>
      <c r="FW21" s="210"/>
      <c r="FX21" s="210"/>
      <c r="FY21" s="210"/>
      <c r="FZ21" s="210"/>
      <c r="GA21" s="210"/>
      <c r="GB21" s="210"/>
      <c r="GC21" s="210"/>
      <c r="GD21" s="210"/>
      <c r="GE21" s="210"/>
      <c r="GF21" s="210"/>
      <c r="GG21" s="210"/>
      <c r="GH21" s="210"/>
      <c r="GI21" s="210"/>
      <c r="GJ21" s="210"/>
      <c r="GK21" s="210"/>
      <c r="GL21" s="210"/>
      <c r="GM21" s="210"/>
      <c r="GN21" s="210"/>
      <c r="GO21" s="210"/>
      <c r="GP21" s="210"/>
      <c r="GQ21" s="210"/>
      <c r="GR21" s="210"/>
      <c r="GS21" s="210"/>
      <c r="GT21" s="210"/>
      <c r="GU21" s="210"/>
      <c r="GV21" s="210"/>
      <c r="GW21" s="210"/>
      <c r="GX21" s="210"/>
      <c r="GY21" s="210"/>
      <c r="GZ21" s="210"/>
      <c r="HA21" s="210"/>
      <c r="HB21" s="210"/>
      <c r="HC21" s="210"/>
      <c r="HD21" s="210"/>
      <c r="HE21" s="210"/>
      <c r="HF21" s="210"/>
      <c r="HG21" s="210"/>
      <c r="HH21" s="210"/>
      <c r="HI21" s="210"/>
      <c r="HJ21" s="210"/>
      <c r="HK21" s="210"/>
      <c r="HL21" s="210"/>
      <c r="HM21" s="210"/>
      <c r="HN21" s="210"/>
      <c r="HO21" s="210"/>
      <c r="HP21" s="210"/>
      <c r="HQ21" s="210"/>
      <c r="HR21" s="210"/>
      <c r="HS21" s="210"/>
      <c r="HT21" s="210"/>
      <c r="HU21" s="210"/>
      <c r="HV21" s="210"/>
      <c r="HW21" s="210"/>
      <c r="HX21" s="210"/>
      <c r="HY21" s="210"/>
      <c r="HZ21" s="210"/>
      <c r="IA21" s="210"/>
      <c r="IB21" s="210"/>
      <c r="IC21" s="210"/>
      <c r="ID21" s="210"/>
      <c r="IE21" s="210"/>
      <c r="IF21" s="210"/>
      <c r="IG21" s="210"/>
      <c r="IH21" s="210"/>
      <c r="II21" s="210"/>
      <c r="IJ21" s="210"/>
      <c r="IK21" s="210"/>
      <c r="IL21" s="210"/>
      <c r="IM21" s="210"/>
      <c r="IN21" s="210"/>
      <c r="IO21" s="210"/>
      <c r="IP21" s="210"/>
      <c r="IQ21" s="210"/>
      <c r="IR21" s="210"/>
      <c r="IS21" s="210"/>
      <c r="IT21" s="210"/>
      <c r="IU21" s="210"/>
      <c r="IV21" s="210"/>
      <c r="IW21" s="210"/>
    </row>
    <row r="22" spans="1:257" s="216" customFormat="1" ht="18.649999999999999" customHeight="1">
      <c r="A22" s="258" t="s">
        <v>358</v>
      </c>
      <c r="B22" s="226">
        <v>9</v>
      </c>
      <c r="C22" s="226">
        <v>2.4</v>
      </c>
      <c r="D22" s="226">
        <v>3.2</v>
      </c>
      <c r="E22" s="226">
        <v>3.8</v>
      </c>
      <c r="F22" s="226">
        <v>3.9</v>
      </c>
      <c r="G22" s="226">
        <v>4.3</v>
      </c>
      <c r="H22" s="226">
        <v>4.5</v>
      </c>
      <c r="I22" s="226">
        <v>5.5</v>
      </c>
      <c r="J22" s="226">
        <v>5.6</v>
      </c>
      <c r="K22" s="226">
        <v>5.7</v>
      </c>
      <c r="L22" s="226">
        <v>5.9</v>
      </c>
      <c r="M22" s="226">
        <v>5.4</v>
      </c>
      <c r="N22" s="226">
        <v>5.7</v>
      </c>
      <c r="O22" s="226">
        <v>7.5</v>
      </c>
      <c r="P22" s="226">
        <v>8.4</v>
      </c>
      <c r="Q22" s="226">
        <v>10.199999999999999</v>
      </c>
      <c r="R22" s="226">
        <v>11.4</v>
      </c>
      <c r="S22" s="226">
        <v>11.5</v>
      </c>
      <c r="T22" s="226">
        <v>11.1</v>
      </c>
      <c r="U22" s="226">
        <v>11.4</v>
      </c>
      <c r="V22" s="226">
        <v>11.8</v>
      </c>
      <c r="W22" s="226">
        <v>12.3</v>
      </c>
      <c r="X22" s="226">
        <v>12.5</v>
      </c>
      <c r="Y22" s="226">
        <v>13.2</v>
      </c>
      <c r="Z22" s="226">
        <v>14.6</v>
      </c>
      <c r="AA22" s="226">
        <v>15.9</v>
      </c>
      <c r="AB22" s="220">
        <v>16.7</v>
      </c>
      <c r="AC22" s="221">
        <v>14.016</v>
      </c>
      <c r="AD22" s="221">
        <v>14.9</v>
      </c>
      <c r="AE22" s="221">
        <v>16.7</v>
      </c>
      <c r="AF22" s="221">
        <v>18.027533333333334</v>
      </c>
      <c r="AG22" s="221">
        <v>19.615093333333334</v>
      </c>
      <c r="AH22" s="222">
        <v>20.7</v>
      </c>
      <c r="AI22" s="223">
        <v>18.600000000000001</v>
      </c>
      <c r="AJ22" s="223">
        <v>19.2</v>
      </c>
      <c r="AK22" s="224">
        <v>20.052135293333333</v>
      </c>
      <c r="AL22" s="224">
        <v>20.139013176666666</v>
      </c>
      <c r="AM22" s="224">
        <v>20.3</v>
      </c>
      <c r="AN22" s="224">
        <v>20.750098586666667</v>
      </c>
      <c r="AO22" s="224">
        <v>21.025147253333333</v>
      </c>
      <c r="AP22" s="224">
        <v>21.130393066666663</v>
      </c>
      <c r="AQ22" s="224">
        <v>22</v>
      </c>
      <c r="AR22" s="224">
        <v>22</v>
      </c>
      <c r="AS22" s="224">
        <v>22.1</v>
      </c>
      <c r="AT22" s="224">
        <v>22.2</v>
      </c>
      <c r="AU22" s="224">
        <v>22.2</v>
      </c>
      <c r="AV22" s="210"/>
      <c r="AW22" s="210"/>
      <c r="AX22" s="210"/>
      <c r="AY22" s="210"/>
      <c r="AZ22" s="210"/>
      <c r="BA22" s="210"/>
      <c r="BB22" s="210"/>
      <c r="BC22" s="210"/>
      <c r="BD22" s="210"/>
      <c r="BE22" s="210"/>
      <c r="BF22" s="210"/>
      <c r="BG22" s="210"/>
      <c r="BH22" s="210"/>
      <c r="BI22" s="210"/>
      <c r="BJ22" s="210"/>
      <c r="BK22" s="210"/>
      <c r="BL22" s="210"/>
      <c r="BM22" s="210"/>
      <c r="BN22" s="210"/>
      <c r="BO22" s="210"/>
      <c r="BP22" s="210"/>
      <c r="BQ22" s="210"/>
      <c r="BR22" s="210"/>
      <c r="BS22" s="210"/>
      <c r="BT22" s="210"/>
      <c r="BU22" s="210"/>
      <c r="BV22" s="210"/>
      <c r="BW22" s="210"/>
      <c r="BX22" s="210"/>
      <c r="BY22" s="210"/>
      <c r="BZ22" s="210"/>
      <c r="CA22" s="210"/>
      <c r="CB22" s="210"/>
      <c r="CC22" s="210"/>
      <c r="CD22" s="210"/>
      <c r="CE22" s="210"/>
      <c r="CF22" s="210"/>
      <c r="CG22" s="210"/>
      <c r="CH22" s="210"/>
      <c r="CI22" s="210"/>
      <c r="CJ22" s="210"/>
      <c r="CK22" s="210"/>
      <c r="CL22" s="210"/>
      <c r="CM22" s="210"/>
      <c r="CN22" s="210"/>
      <c r="CO22" s="210"/>
      <c r="CP22" s="210"/>
      <c r="CQ22" s="210"/>
      <c r="CR22" s="210"/>
      <c r="CS22" s="210"/>
      <c r="CT22" s="210"/>
      <c r="CU22" s="210"/>
      <c r="CV22" s="210"/>
      <c r="CW22" s="210"/>
      <c r="CX22" s="210"/>
      <c r="CY22" s="210"/>
      <c r="CZ22" s="210"/>
      <c r="DA22" s="210"/>
      <c r="DB22" s="210"/>
      <c r="DC22" s="210"/>
      <c r="DD22" s="210"/>
      <c r="DE22" s="210"/>
      <c r="DF22" s="210"/>
      <c r="DG22" s="210"/>
      <c r="DH22" s="210"/>
      <c r="DI22" s="210"/>
      <c r="DJ22" s="210"/>
      <c r="DK22" s="210"/>
      <c r="DL22" s="210"/>
      <c r="DM22" s="210"/>
      <c r="DN22" s="210"/>
      <c r="DO22" s="210"/>
      <c r="DP22" s="210"/>
      <c r="DQ22" s="210"/>
      <c r="DR22" s="210"/>
      <c r="DS22" s="210"/>
      <c r="DT22" s="210"/>
      <c r="DU22" s="210"/>
      <c r="DV22" s="210"/>
      <c r="DW22" s="210"/>
      <c r="DX22" s="210"/>
      <c r="DY22" s="210"/>
      <c r="DZ22" s="210"/>
      <c r="EA22" s="210"/>
      <c r="EB22" s="210"/>
      <c r="EC22" s="210"/>
      <c r="ED22" s="210"/>
      <c r="EE22" s="210"/>
      <c r="EF22" s="210"/>
      <c r="EG22" s="210"/>
      <c r="EH22" s="210"/>
      <c r="EI22" s="210"/>
      <c r="EJ22" s="210"/>
      <c r="EK22" s="210"/>
      <c r="EL22" s="210"/>
      <c r="EM22" s="210"/>
      <c r="EN22" s="210"/>
      <c r="EO22" s="210"/>
      <c r="EP22" s="210"/>
      <c r="EQ22" s="210"/>
      <c r="ER22" s="210"/>
      <c r="ES22" s="210"/>
      <c r="ET22" s="210"/>
      <c r="EU22" s="210"/>
      <c r="EV22" s="210"/>
      <c r="EW22" s="210"/>
      <c r="EX22" s="210"/>
      <c r="EY22" s="210"/>
      <c r="EZ22" s="210"/>
      <c r="FA22" s="210"/>
      <c r="FB22" s="210"/>
      <c r="FC22" s="210"/>
      <c r="FD22" s="210"/>
      <c r="FE22" s="210"/>
      <c r="FF22" s="210"/>
      <c r="FG22" s="210"/>
      <c r="FH22" s="210"/>
      <c r="FI22" s="210"/>
      <c r="FJ22" s="210"/>
      <c r="FK22" s="210"/>
      <c r="FL22" s="210"/>
      <c r="FM22" s="210"/>
      <c r="FN22" s="210"/>
      <c r="FO22" s="210"/>
      <c r="FP22" s="210"/>
      <c r="FQ22" s="210"/>
      <c r="FR22" s="210"/>
      <c r="FS22" s="210"/>
      <c r="FT22" s="210"/>
      <c r="FU22" s="210"/>
      <c r="FV22" s="210"/>
      <c r="FW22" s="210"/>
      <c r="FX22" s="210"/>
      <c r="FY22" s="210"/>
      <c r="FZ22" s="210"/>
      <c r="GA22" s="210"/>
      <c r="GB22" s="210"/>
      <c r="GC22" s="210"/>
      <c r="GD22" s="210"/>
      <c r="GE22" s="210"/>
      <c r="GF22" s="210"/>
      <c r="GG22" s="210"/>
      <c r="GH22" s="210"/>
      <c r="GI22" s="210"/>
      <c r="GJ22" s="210"/>
      <c r="GK22" s="210"/>
      <c r="GL22" s="210"/>
      <c r="GM22" s="210"/>
      <c r="GN22" s="210"/>
      <c r="GO22" s="210"/>
      <c r="GP22" s="210"/>
      <c r="GQ22" s="210"/>
      <c r="GR22" s="210"/>
      <c r="GS22" s="210"/>
      <c r="GT22" s="210"/>
      <c r="GU22" s="210"/>
      <c r="GV22" s="210"/>
      <c r="GW22" s="210"/>
      <c r="GX22" s="210"/>
      <c r="GY22" s="210"/>
      <c r="GZ22" s="210"/>
      <c r="HA22" s="210"/>
      <c r="HB22" s="210"/>
      <c r="HC22" s="210"/>
      <c r="HD22" s="210"/>
      <c r="HE22" s="210"/>
      <c r="HF22" s="210"/>
      <c r="HG22" s="210"/>
      <c r="HH22" s="210"/>
      <c r="HI22" s="210"/>
      <c r="HJ22" s="210"/>
      <c r="HK22" s="210"/>
      <c r="HL22" s="210"/>
      <c r="HM22" s="210"/>
      <c r="HN22" s="210"/>
      <c r="HO22" s="210"/>
      <c r="HP22" s="210"/>
      <c r="HQ22" s="210"/>
      <c r="HR22" s="210"/>
      <c r="HS22" s="210"/>
      <c r="HT22" s="210"/>
      <c r="HU22" s="210"/>
      <c r="HV22" s="210"/>
      <c r="HW22" s="210"/>
      <c r="HX22" s="210"/>
      <c r="HY22" s="210"/>
      <c r="HZ22" s="210"/>
      <c r="IA22" s="210"/>
      <c r="IB22" s="210"/>
      <c r="IC22" s="210"/>
      <c r="ID22" s="210"/>
      <c r="IE22" s="210"/>
      <c r="IF22" s="210"/>
      <c r="IG22" s="210"/>
      <c r="IH22" s="210"/>
      <c r="II22" s="210"/>
      <c r="IJ22" s="210"/>
      <c r="IK22" s="210"/>
      <c r="IL22" s="210"/>
      <c r="IM22" s="210"/>
      <c r="IN22" s="210"/>
      <c r="IO22" s="210"/>
      <c r="IP22" s="210"/>
      <c r="IQ22" s="210"/>
      <c r="IR22" s="210"/>
      <c r="IS22" s="210"/>
      <c r="IT22" s="210"/>
      <c r="IU22" s="210"/>
      <c r="IV22" s="210"/>
      <c r="IW22" s="210"/>
    </row>
    <row r="23" spans="1:257" s="237" customFormat="1" ht="18.649999999999999" customHeight="1" thickBot="1">
      <c r="A23" s="259" t="s">
        <v>359</v>
      </c>
      <c r="B23" s="260">
        <f t="shared" ref="B23:AM23" si="10">SUM(B20:B22)</f>
        <v>24</v>
      </c>
      <c r="C23" s="260">
        <f t="shared" si="10"/>
        <v>8.8000000000000007</v>
      </c>
      <c r="D23" s="260">
        <f t="shared" si="10"/>
        <v>12.399999999999999</v>
      </c>
      <c r="E23" s="260">
        <f t="shared" si="10"/>
        <v>15.899999999999999</v>
      </c>
      <c r="F23" s="260">
        <f t="shared" si="10"/>
        <v>16.599999999999998</v>
      </c>
      <c r="G23" s="260">
        <f t="shared" si="10"/>
        <v>19.7</v>
      </c>
      <c r="H23" s="260">
        <f t="shared" si="10"/>
        <v>22.1</v>
      </c>
      <c r="I23" s="260">
        <f t="shared" si="10"/>
        <v>28.5</v>
      </c>
      <c r="J23" s="260">
        <f t="shared" si="10"/>
        <v>31</v>
      </c>
      <c r="K23" s="260">
        <f t="shared" si="10"/>
        <v>31.9</v>
      </c>
      <c r="L23" s="260">
        <f t="shared" si="10"/>
        <v>34.299999999999997</v>
      </c>
      <c r="M23" s="260">
        <f t="shared" si="10"/>
        <v>38.199999999999996</v>
      </c>
      <c r="N23" s="260">
        <f t="shared" si="10"/>
        <v>41.9</v>
      </c>
      <c r="O23" s="260">
        <f t="shared" si="10"/>
        <v>53.6</v>
      </c>
      <c r="P23" s="260">
        <f t="shared" si="10"/>
        <v>61.3</v>
      </c>
      <c r="Q23" s="260">
        <f t="shared" si="10"/>
        <v>63.599999999999994</v>
      </c>
      <c r="R23" s="260">
        <f t="shared" si="10"/>
        <v>73.100000000000009</v>
      </c>
      <c r="S23" s="260">
        <f t="shared" si="10"/>
        <v>76.3</v>
      </c>
      <c r="T23" s="260">
        <f t="shared" si="10"/>
        <v>74.099999999999994</v>
      </c>
      <c r="U23" s="260">
        <f t="shared" si="10"/>
        <v>76.100000000000009</v>
      </c>
      <c r="V23" s="260">
        <f t="shared" si="10"/>
        <v>76.3</v>
      </c>
      <c r="W23" s="260">
        <f t="shared" si="10"/>
        <v>78.2</v>
      </c>
      <c r="X23" s="260">
        <f t="shared" si="10"/>
        <v>78.2</v>
      </c>
      <c r="Y23" s="260">
        <f t="shared" si="10"/>
        <v>80.5</v>
      </c>
      <c r="Z23" s="260">
        <f t="shared" si="10"/>
        <v>85.399999999999991</v>
      </c>
      <c r="AA23" s="260">
        <f t="shared" si="10"/>
        <v>89.7</v>
      </c>
      <c r="AB23" s="261">
        <f t="shared" si="10"/>
        <v>87.5</v>
      </c>
      <c r="AC23" s="261">
        <f t="shared" si="10"/>
        <v>112.91000000000001</v>
      </c>
      <c r="AD23" s="261">
        <f t="shared" si="10"/>
        <v>116.20000000000002</v>
      </c>
      <c r="AE23" s="261">
        <f t="shared" si="10"/>
        <v>120.00000000000001</v>
      </c>
      <c r="AF23" s="261">
        <f t="shared" si="10"/>
        <v>123.51611021450958</v>
      </c>
      <c r="AG23" s="261">
        <f t="shared" si="10"/>
        <v>127.17258184466625</v>
      </c>
      <c r="AH23" s="262">
        <f t="shared" si="10"/>
        <v>131.5</v>
      </c>
      <c r="AI23" s="261">
        <f t="shared" si="10"/>
        <v>143.4</v>
      </c>
      <c r="AJ23" s="261">
        <f t="shared" si="10"/>
        <v>141.30000000000001</v>
      </c>
      <c r="AK23" s="261">
        <f t="shared" si="10"/>
        <v>150.57877929307099</v>
      </c>
      <c r="AL23" s="261">
        <f t="shared" si="10"/>
        <v>148.21698713480282</v>
      </c>
      <c r="AM23" s="261">
        <f t="shared" si="10"/>
        <v>121.39999999999999</v>
      </c>
      <c r="AN23" s="261">
        <v>105.07309869729696</v>
      </c>
      <c r="AO23" s="261">
        <v>105.82676261020895</v>
      </c>
      <c r="AP23" s="261">
        <f t="shared" ref="AP23:AT23" si="11">SUM(AP20:AP22)</f>
        <v>100.34511625512306</v>
      </c>
      <c r="AQ23" s="261">
        <f t="shared" si="11"/>
        <v>98.7</v>
      </c>
      <c r="AR23" s="261">
        <f t="shared" si="11"/>
        <v>107.4</v>
      </c>
      <c r="AS23" s="261">
        <f t="shared" si="11"/>
        <v>107.30000000000001</v>
      </c>
      <c r="AT23" s="261">
        <f t="shared" si="11"/>
        <v>101.2</v>
      </c>
      <c r="AU23" s="261">
        <f t="shared" ref="AU23" si="12">SUM(AU20:AU22)</f>
        <v>98.4</v>
      </c>
      <c r="AV23" s="210"/>
      <c r="AW23" s="210"/>
      <c r="AX23" s="210"/>
      <c r="AY23" s="210"/>
      <c r="AZ23" s="210"/>
      <c r="BA23" s="210"/>
      <c r="BB23" s="210"/>
      <c r="BC23" s="210"/>
      <c r="BD23" s="210"/>
      <c r="BE23" s="210"/>
      <c r="BF23" s="210"/>
      <c r="BG23" s="210"/>
      <c r="BH23" s="210"/>
      <c r="BI23" s="210"/>
      <c r="BJ23" s="210"/>
      <c r="BK23" s="210"/>
      <c r="BL23" s="210"/>
      <c r="BM23" s="210"/>
      <c r="BN23" s="210"/>
      <c r="BO23" s="210"/>
      <c r="BP23" s="210"/>
      <c r="BQ23" s="210"/>
      <c r="BR23" s="210"/>
      <c r="BS23" s="210"/>
      <c r="BT23" s="210"/>
      <c r="BU23" s="210"/>
      <c r="BV23" s="210"/>
      <c r="BW23" s="210"/>
      <c r="BX23" s="210"/>
      <c r="BY23" s="210"/>
      <c r="BZ23" s="210"/>
      <c r="CA23" s="210"/>
      <c r="CB23" s="210"/>
      <c r="CC23" s="210"/>
      <c r="CD23" s="210"/>
      <c r="CE23" s="210"/>
      <c r="CF23" s="210"/>
      <c r="CG23" s="210"/>
      <c r="CH23" s="210"/>
      <c r="CI23" s="210"/>
      <c r="CJ23" s="210"/>
      <c r="CK23" s="210"/>
      <c r="CL23" s="210"/>
      <c r="CM23" s="210"/>
      <c r="CN23" s="210"/>
      <c r="CO23" s="210"/>
      <c r="CP23" s="210"/>
      <c r="CQ23" s="210"/>
      <c r="CR23" s="210"/>
      <c r="CS23" s="210"/>
      <c r="CT23" s="210"/>
      <c r="CU23" s="210"/>
      <c r="CV23" s="210"/>
      <c r="CW23" s="210"/>
      <c r="CX23" s="210"/>
      <c r="CY23" s="210"/>
      <c r="CZ23" s="210"/>
      <c r="DA23" s="210"/>
      <c r="DB23" s="210"/>
      <c r="DC23" s="210"/>
      <c r="DD23" s="210"/>
      <c r="DE23" s="210"/>
      <c r="DF23" s="210"/>
      <c r="DG23" s="210"/>
      <c r="DH23" s="210"/>
      <c r="DI23" s="210"/>
      <c r="DJ23" s="210"/>
      <c r="DK23" s="210"/>
      <c r="DL23" s="210"/>
      <c r="DM23" s="210"/>
      <c r="DN23" s="210"/>
      <c r="DO23" s="210"/>
      <c r="DP23" s="210"/>
      <c r="DQ23" s="210"/>
      <c r="DR23" s="210"/>
      <c r="DS23" s="210"/>
      <c r="DT23" s="210"/>
      <c r="DU23" s="210"/>
      <c r="DV23" s="210"/>
      <c r="DW23" s="210"/>
      <c r="DX23" s="210"/>
      <c r="DY23" s="210"/>
      <c r="DZ23" s="210"/>
      <c r="EA23" s="210"/>
      <c r="EB23" s="210"/>
      <c r="EC23" s="210"/>
      <c r="ED23" s="210"/>
      <c r="EE23" s="210"/>
      <c r="EF23" s="210"/>
      <c r="EG23" s="210"/>
      <c r="EH23" s="210"/>
      <c r="EI23" s="210"/>
      <c r="EJ23" s="210"/>
      <c r="EK23" s="210"/>
      <c r="EL23" s="210"/>
      <c r="EM23" s="210"/>
      <c r="EN23" s="210"/>
      <c r="EO23" s="210"/>
      <c r="EP23" s="210"/>
      <c r="EQ23" s="210"/>
      <c r="ER23" s="210"/>
      <c r="ES23" s="210"/>
      <c r="ET23" s="210"/>
      <c r="EU23" s="210"/>
      <c r="EV23" s="210"/>
      <c r="EW23" s="210"/>
      <c r="EX23" s="210"/>
      <c r="EY23" s="210"/>
      <c r="EZ23" s="210"/>
      <c r="FA23" s="210"/>
      <c r="FB23" s="210"/>
      <c r="FC23" s="210"/>
      <c r="FD23" s="210"/>
      <c r="FE23" s="210"/>
      <c r="FF23" s="210"/>
      <c r="FG23" s="210"/>
      <c r="FH23" s="210"/>
      <c r="FI23" s="210"/>
      <c r="FJ23" s="210"/>
      <c r="FK23" s="210"/>
      <c r="FL23" s="210"/>
      <c r="FM23" s="210"/>
      <c r="FN23" s="210"/>
      <c r="FO23" s="210"/>
      <c r="FP23" s="210"/>
      <c r="FQ23" s="210"/>
      <c r="FR23" s="210"/>
      <c r="FS23" s="210"/>
      <c r="FT23" s="210"/>
      <c r="FU23" s="210"/>
      <c r="FV23" s="210"/>
      <c r="FW23" s="210"/>
      <c r="FX23" s="210"/>
      <c r="FY23" s="210"/>
      <c r="FZ23" s="210"/>
      <c r="GA23" s="210"/>
      <c r="GB23" s="210"/>
      <c r="GC23" s="210"/>
      <c r="GD23" s="210"/>
      <c r="GE23" s="210"/>
      <c r="GF23" s="210"/>
      <c r="GG23" s="210"/>
      <c r="GH23" s="210"/>
      <c r="GI23" s="210"/>
      <c r="GJ23" s="210"/>
      <c r="GK23" s="210"/>
      <c r="GL23" s="210"/>
      <c r="GM23" s="210"/>
      <c r="GN23" s="210"/>
      <c r="GO23" s="210"/>
      <c r="GP23" s="210"/>
      <c r="GQ23" s="210"/>
      <c r="GR23" s="210"/>
      <c r="GS23" s="210"/>
      <c r="GT23" s="210"/>
      <c r="GU23" s="210"/>
      <c r="GV23" s="210"/>
      <c r="GW23" s="210"/>
      <c r="GX23" s="210"/>
      <c r="GY23" s="210"/>
      <c r="GZ23" s="210"/>
      <c r="HA23" s="210"/>
      <c r="HB23" s="210"/>
      <c r="HC23" s="210"/>
      <c r="HD23" s="210"/>
      <c r="HE23" s="210"/>
      <c r="HF23" s="210"/>
      <c r="HG23" s="210"/>
      <c r="HH23" s="210"/>
      <c r="HI23" s="210"/>
      <c r="HJ23" s="210"/>
      <c r="HK23" s="210"/>
      <c r="HL23" s="210"/>
      <c r="HM23" s="210"/>
      <c r="HN23" s="210"/>
      <c r="HO23" s="210"/>
      <c r="HP23" s="210"/>
      <c r="HQ23" s="210"/>
      <c r="HR23" s="210"/>
      <c r="HS23" s="210"/>
      <c r="HT23" s="210"/>
      <c r="HU23" s="210"/>
      <c r="HV23" s="210"/>
      <c r="HW23" s="210"/>
      <c r="HX23" s="210"/>
      <c r="HY23" s="210"/>
      <c r="HZ23" s="210"/>
      <c r="IA23" s="210"/>
      <c r="IB23" s="210"/>
      <c r="IC23" s="210"/>
      <c r="ID23" s="210"/>
      <c r="IE23" s="210"/>
      <c r="IF23" s="210"/>
      <c r="IG23" s="210"/>
      <c r="IH23" s="210"/>
      <c r="II23" s="210"/>
      <c r="IJ23" s="210"/>
      <c r="IK23" s="210"/>
      <c r="IL23" s="210"/>
      <c r="IM23" s="210"/>
      <c r="IN23" s="210"/>
      <c r="IO23" s="210"/>
      <c r="IP23" s="210"/>
      <c r="IQ23" s="210"/>
      <c r="IR23" s="210"/>
      <c r="IS23" s="210"/>
      <c r="IT23" s="210"/>
      <c r="IU23" s="210"/>
      <c r="IV23" s="210"/>
      <c r="IW23" s="210"/>
    </row>
    <row r="24" spans="1:257" s="237" customFormat="1" ht="18.649999999999999" customHeight="1" thickBot="1">
      <c r="A24" s="232" t="s">
        <v>360</v>
      </c>
      <c r="B24" s="233">
        <f t="shared" ref="B24:AM24" si="13">B18+B23</f>
        <v>41.3</v>
      </c>
      <c r="C24" s="233">
        <f t="shared" si="13"/>
        <v>17.2</v>
      </c>
      <c r="D24" s="233">
        <f t="shared" si="13"/>
        <v>28.5</v>
      </c>
      <c r="E24" s="233">
        <f t="shared" si="13"/>
        <v>39.199999999999996</v>
      </c>
      <c r="F24" s="233">
        <f t="shared" si="13"/>
        <v>52.2</v>
      </c>
      <c r="G24" s="233">
        <f t="shared" si="13"/>
        <v>55.5</v>
      </c>
      <c r="H24" s="233">
        <f t="shared" si="13"/>
        <v>65.400000000000006</v>
      </c>
      <c r="I24" s="233">
        <f t="shared" si="13"/>
        <v>80.400000000000006</v>
      </c>
      <c r="J24" s="233">
        <f t="shared" si="13"/>
        <v>68.8</v>
      </c>
      <c r="K24" s="233">
        <f t="shared" si="13"/>
        <v>78.5</v>
      </c>
      <c r="L24" s="233">
        <f t="shared" si="13"/>
        <v>90.5</v>
      </c>
      <c r="M24" s="233">
        <f t="shared" si="13"/>
        <v>95.5</v>
      </c>
      <c r="N24" s="233">
        <f t="shared" si="13"/>
        <v>137.30000000000001</v>
      </c>
      <c r="O24" s="233">
        <f t="shared" si="13"/>
        <v>133.69999999999999</v>
      </c>
      <c r="P24" s="233">
        <f t="shared" si="13"/>
        <v>152.1</v>
      </c>
      <c r="Q24" s="233">
        <f t="shared" si="13"/>
        <v>171.1</v>
      </c>
      <c r="R24" s="233">
        <f t="shared" si="13"/>
        <v>177</v>
      </c>
      <c r="S24" s="233">
        <f t="shared" si="13"/>
        <v>194.4</v>
      </c>
      <c r="T24" s="233">
        <f t="shared" si="13"/>
        <v>215.38</v>
      </c>
      <c r="U24" s="233">
        <f t="shared" si="13"/>
        <v>223.2</v>
      </c>
      <c r="V24" s="233">
        <f t="shared" si="13"/>
        <v>222.10000000000002</v>
      </c>
      <c r="W24" s="233">
        <f t="shared" si="13"/>
        <v>224.7</v>
      </c>
      <c r="X24" s="233">
        <f t="shared" si="13"/>
        <v>273.31</v>
      </c>
      <c r="Y24" s="233">
        <f t="shared" si="13"/>
        <v>280.255</v>
      </c>
      <c r="Z24" s="233">
        <f t="shared" si="13"/>
        <v>288.3</v>
      </c>
      <c r="AA24" s="233">
        <f t="shared" si="13"/>
        <v>283.43</v>
      </c>
      <c r="AB24" s="234">
        <f t="shared" si="13"/>
        <v>286.05</v>
      </c>
      <c r="AC24" s="234">
        <f t="shared" si="13"/>
        <v>312.65700000000004</v>
      </c>
      <c r="AD24" s="234">
        <f t="shared" si="13"/>
        <v>327.31993393999994</v>
      </c>
      <c r="AE24" s="234">
        <f t="shared" si="13"/>
        <v>362.12944282999996</v>
      </c>
      <c r="AF24" s="234">
        <f t="shared" si="13"/>
        <v>392.79931060450963</v>
      </c>
      <c r="AG24" s="234">
        <f t="shared" si="13"/>
        <v>422.49130686466617</v>
      </c>
      <c r="AH24" s="235">
        <f t="shared" si="13"/>
        <v>453.44</v>
      </c>
      <c r="AI24" s="235">
        <f t="shared" si="13"/>
        <v>461.1</v>
      </c>
      <c r="AJ24" s="235">
        <f t="shared" si="13"/>
        <v>463.701482</v>
      </c>
      <c r="AK24" s="235">
        <f t="shared" si="13"/>
        <v>493.745298913071</v>
      </c>
      <c r="AL24" s="235">
        <f t="shared" si="13"/>
        <v>494.55773803480281</v>
      </c>
      <c r="AM24" s="235">
        <f t="shared" si="13"/>
        <v>461.29999999999995</v>
      </c>
      <c r="AN24" s="235">
        <v>453.72075550229704</v>
      </c>
      <c r="AO24" s="235">
        <v>436.12224455020896</v>
      </c>
      <c r="AP24" s="235">
        <f t="shared" ref="AP24:AT24" si="14">AP18+AP23</f>
        <v>428.00567300512307</v>
      </c>
      <c r="AQ24" s="235">
        <f t="shared" si="14"/>
        <v>443.3</v>
      </c>
      <c r="AR24" s="235">
        <f t="shared" si="14"/>
        <v>450.63191873000005</v>
      </c>
      <c r="AS24" s="235">
        <f t="shared" si="14"/>
        <v>462.5</v>
      </c>
      <c r="AT24" s="235">
        <f t="shared" si="14"/>
        <v>477.2</v>
      </c>
      <c r="AU24" s="235">
        <f t="shared" ref="AU24" si="15">AU18+AU23</f>
        <v>518.6</v>
      </c>
      <c r="AV24" s="210"/>
      <c r="AW24" s="210"/>
      <c r="AX24" s="210"/>
      <c r="AY24" s="210"/>
      <c r="AZ24" s="210"/>
      <c r="BA24" s="210"/>
      <c r="BB24" s="210"/>
      <c r="BC24" s="210"/>
      <c r="BD24" s="210"/>
      <c r="BE24" s="210"/>
      <c r="BF24" s="210"/>
      <c r="BG24" s="210"/>
      <c r="BH24" s="210"/>
      <c r="BI24" s="210"/>
      <c r="BJ24" s="210"/>
      <c r="BK24" s="210"/>
      <c r="BL24" s="210"/>
      <c r="BM24" s="210"/>
      <c r="BN24" s="210"/>
      <c r="BO24" s="210"/>
      <c r="BP24" s="210"/>
      <c r="BQ24" s="210"/>
      <c r="BR24" s="210"/>
      <c r="BS24" s="210"/>
      <c r="BT24" s="210"/>
      <c r="BU24" s="210"/>
      <c r="BV24" s="210"/>
      <c r="BW24" s="210"/>
      <c r="BX24" s="210"/>
      <c r="BY24" s="210"/>
      <c r="BZ24" s="210"/>
      <c r="CA24" s="210"/>
      <c r="CB24" s="210"/>
      <c r="CC24" s="210"/>
      <c r="CD24" s="210"/>
      <c r="CE24" s="210"/>
      <c r="CF24" s="210"/>
      <c r="CG24" s="210"/>
      <c r="CH24" s="210"/>
      <c r="CI24" s="210"/>
      <c r="CJ24" s="210"/>
      <c r="CK24" s="210"/>
      <c r="CL24" s="210"/>
      <c r="CM24" s="210"/>
      <c r="CN24" s="210"/>
      <c r="CO24" s="210"/>
      <c r="CP24" s="210"/>
      <c r="CQ24" s="210"/>
      <c r="CR24" s="210"/>
      <c r="CS24" s="210"/>
      <c r="CT24" s="210"/>
      <c r="CU24" s="210"/>
      <c r="CV24" s="210"/>
      <c r="CW24" s="210"/>
      <c r="CX24" s="210"/>
      <c r="CY24" s="210"/>
      <c r="CZ24" s="210"/>
      <c r="DA24" s="210"/>
      <c r="DB24" s="210"/>
      <c r="DC24" s="210"/>
      <c r="DD24" s="210"/>
      <c r="DE24" s="210"/>
      <c r="DF24" s="210"/>
      <c r="DG24" s="210"/>
      <c r="DH24" s="210"/>
      <c r="DI24" s="210"/>
      <c r="DJ24" s="210"/>
      <c r="DK24" s="210"/>
      <c r="DL24" s="210"/>
      <c r="DM24" s="210"/>
      <c r="DN24" s="210"/>
      <c r="DO24" s="210"/>
      <c r="DP24" s="210"/>
      <c r="DQ24" s="210"/>
      <c r="DR24" s="210"/>
      <c r="DS24" s="210"/>
      <c r="DT24" s="210"/>
      <c r="DU24" s="210"/>
      <c r="DV24" s="210"/>
      <c r="DW24" s="210"/>
      <c r="DX24" s="210"/>
      <c r="DY24" s="210"/>
      <c r="DZ24" s="210"/>
      <c r="EA24" s="210"/>
      <c r="EB24" s="210"/>
      <c r="EC24" s="210"/>
      <c r="ED24" s="210"/>
      <c r="EE24" s="210"/>
      <c r="EF24" s="210"/>
      <c r="EG24" s="210"/>
      <c r="EH24" s="210"/>
      <c r="EI24" s="210"/>
      <c r="EJ24" s="210"/>
      <c r="EK24" s="210"/>
      <c r="EL24" s="210"/>
      <c r="EM24" s="210"/>
      <c r="EN24" s="210"/>
      <c r="EO24" s="210"/>
      <c r="EP24" s="210"/>
      <c r="EQ24" s="210"/>
      <c r="ER24" s="210"/>
      <c r="ES24" s="210"/>
      <c r="ET24" s="210"/>
      <c r="EU24" s="210"/>
      <c r="EV24" s="210"/>
      <c r="EW24" s="210"/>
      <c r="EX24" s="210"/>
      <c r="EY24" s="210"/>
      <c r="EZ24" s="210"/>
      <c r="FA24" s="210"/>
      <c r="FB24" s="210"/>
      <c r="FC24" s="210"/>
      <c r="FD24" s="210"/>
      <c r="FE24" s="210"/>
      <c r="FF24" s="210"/>
      <c r="FG24" s="210"/>
      <c r="FH24" s="210"/>
      <c r="FI24" s="210"/>
      <c r="FJ24" s="210"/>
      <c r="FK24" s="210"/>
      <c r="FL24" s="210"/>
      <c r="FM24" s="210"/>
      <c r="FN24" s="210"/>
      <c r="FO24" s="210"/>
      <c r="FP24" s="210"/>
      <c r="FQ24" s="210"/>
      <c r="FR24" s="210"/>
      <c r="FS24" s="210"/>
      <c r="FT24" s="210"/>
      <c r="FU24" s="210"/>
      <c r="FV24" s="210"/>
      <c r="FW24" s="210"/>
      <c r="FX24" s="210"/>
      <c r="FY24" s="210"/>
      <c r="FZ24" s="210"/>
      <c r="GA24" s="210"/>
      <c r="GB24" s="210"/>
      <c r="GC24" s="210"/>
      <c r="GD24" s="210"/>
      <c r="GE24" s="210"/>
      <c r="GF24" s="210"/>
      <c r="GG24" s="210"/>
      <c r="GH24" s="210"/>
      <c r="GI24" s="210"/>
      <c r="GJ24" s="210"/>
      <c r="GK24" s="210"/>
      <c r="GL24" s="210"/>
      <c r="GM24" s="210"/>
      <c r="GN24" s="210"/>
      <c r="GO24" s="210"/>
      <c r="GP24" s="210"/>
      <c r="GQ24" s="210"/>
      <c r="GR24" s="210"/>
      <c r="GS24" s="210"/>
      <c r="GT24" s="210"/>
      <c r="GU24" s="210"/>
      <c r="GV24" s="210"/>
      <c r="GW24" s="210"/>
      <c r="GX24" s="210"/>
      <c r="GY24" s="210"/>
      <c r="GZ24" s="210"/>
      <c r="HA24" s="210"/>
      <c r="HB24" s="210"/>
      <c r="HC24" s="210"/>
      <c r="HD24" s="210"/>
      <c r="HE24" s="210"/>
      <c r="HF24" s="210"/>
      <c r="HG24" s="210"/>
      <c r="HH24" s="210"/>
      <c r="HI24" s="210"/>
      <c r="HJ24" s="210"/>
      <c r="HK24" s="210"/>
      <c r="HL24" s="210"/>
      <c r="HM24" s="210"/>
      <c r="HN24" s="210"/>
      <c r="HO24" s="210"/>
      <c r="HP24" s="210"/>
      <c r="HQ24" s="210"/>
      <c r="HR24" s="210"/>
      <c r="HS24" s="210"/>
      <c r="HT24" s="210"/>
      <c r="HU24" s="210"/>
      <c r="HV24" s="210"/>
      <c r="HW24" s="210"/>
      <c r="HX24" s="210"/>
      <c r="HY24" s="210"/>
      <c r="HZ24" s="210"/>
      <c r="IA24" s="210"/>
      <c r="IB24" s="210"/>
      <c r="IC24" s="210"/>
      <c r="ID24" s="210"/>
      <c r="IE24" s="210"/>
      <c r="IF24" s="210"/>
      <c r="IG24" s="210"/>
      <c r="IH24" s="210"/>
      <c r="II24" s="210"/>
      <c r="IJ24" s="210"/>
      <c r="IK24" s="210"/>
      <c r="IL24" s="210"/>
      <c r="IM24" s="210"/>
      <c r="IN24" s="210"/>
      <c r="IO24" s="210"/>
      <c r="IP24" s="210"/>
      <c r="IQ24" s="210"/>
      <c r="IR24" s="210"/>
      <c r="IS24" s="210"/>
      <c r="IT24" s="210"/>
      <c r="IU24" s="210"/>
      <c r="IV24" s="210"/>
      <c r="IW24" s="210"/>
    </row>
    <row r="25" spans="1:257" s="237" customFormat="1" ht="18.649999999999999" customHeight="1">
      <c r="A25" s="211" t="s">
        <v>361</v>
      </c>
      <c r="B25" s="263">
        <v>0</v>
      </c>
      <c r="C25" s="263">
        <v>0</v>
      </c>
      <c r="D25" s="263">
        <v>0</v>
      </c>
      <c r="E25" s="263">
        <v>0</v>
      </c>
      <c r="F25" s="263">
        <v>0</v>
      </c>
      <c r="G25" s="263">
        <v>0</v>
      </c>
      <c r="H25" s="263">
        <v>0</v>
      </c>
      <c r="I25" s="263">
        <v>0</v>
      </c>
      <c r="J25" s="263">
        <v>0</v>
      </c>
      <c r="K25" s="263">
        <v>0</v>
      </c>
      <c r="L25" s="263">
        <v>0</v>
      </c>
      <c r="M25" s="263">
        <v>0</v>
      </c>
      <c r="N25" s="263">
        <v>0</v>
      </c>
      <c r="O25" s="263">
        <v>0</v>
      </c>
      <c r="P25" s="263">
        <v>0</v>
      </c>
      <c r="Q25" s="263"/>
      <c r="R25" s="263"/>
      <c r="S25" s="263"/>
      <c r="T25" s="263"/>
      <c r="U25" s="263"/>
      <c r="V25" s="263"/>
      <c r="W25" s="263"/>
      <c r="X25" s="263"/>
      <c r="Y25" s="263"/>
      <c r="Z25" s="263"/>
      <c r="AA25" s="263"/>
      <c r="AB25" s="264"/>
      <c r="AC25" s="215"/>
      <c r="AD25" s="215"/>
      <c r="AE25" s="215"/>
      <c r="AF25" s="215"/>
      <c r="AG25" s="215"/>
      <c r="AH25" s="244"/>
      <c r="AI25" s="215"/>
      <c r="AJ25" s="215"/>
      <c r="AK25" s="215"/>
      <c r="AL25" s="215"/>
      <c r="AM25" s="215"/>
      <c r="AN25" s="215"/>
      <c r="AO25" s="215"/>
      <c r="AP25" s="215"/>
      <c r="AQ25" s="215"/>
      <c r="AR25" s="215"/>
      <c r="AS25" s="215"/>
      <c r="AT25" s="215"/>
      <c r="AU25" s="215"/>
      <c r="AV25" s="210"/>
      <c r="AW25" s="210"/>
      <c r="AX25" s="210"/>
      <c r="AY25" s="210"/>
      <c r="AZ25" s="210"/>
      <c r="BA25" s="210"/>
      <c r="BB25" s="210"/>
      <c r="BC25" s="210"/>
      <c r="BD25" s="210"/>
      <c r="BE25" s="210"/>
      <c r="BF25" s="210"/>
      <c r="BG25" s="210"/>
      <c r="BH25" s="210"/>
      <c r="BI25" s="210"/>
      <c r="BJ25" s="210"/>
      <c r="BK25" s="210"/>
      <c r="BL25" s="210"/>
      <c r="BM25" s="210"/>
      <c r="BN25" s="210"/>
      <c r="BO25" s="210"/>
      <c r="BP25" s="210"/>
      <c r="BQ25" s="210"/>
      <c r="BR25" s="210"/>
      <c r="BS25" s="210"/>
      <c r="BT25" s="210"/>
      <c r="BU25" s="210"/>
      <c r="BV25" s="210"/>
      <c r="BW25" s="210"/>
      <c r="BX25" s="210"/>
      <c r="BY25" s="210"/>
      <c r="BZ25" s="210"/>
      <c r="CA25" s="210"/>
      <c r="CB25" s="210"/>
      <c r="CC25" s="210"/>
      <c r="CD25" s="210"/>
      <c r="CE25" s="210"/>
      <c r="CF25" s="210"/>
      <c r="CG25" s="210"/>
      <c r="CH25" s="210"/>
      <c r="CI25" s="210"/>
      <c r="CJ25" s="210"/>
      <c r="CK25" s="210"/>
      <c r="CL25" s="210"/>
      <c r="CM25" s="210"/>
      <c r="CN25" s="210"/>
      <c r="CO25" s="210"/>
      <c r="CP25" s="210"/>
      <c r="CQ25" s="210"/>
      <c r="CR25" s="210"/>
      <c r="CS25" s="210"/>
      <c r="CT25" s="210"/>
      <c r="CU25" s="210"/>
      <c r="CV25" s="210"/>
      <c r="CW25" s="210"/>
      <c r="CX25" s="210"/>
      <c r="CY25" s="210"/>
      <c r="CZ25" s="210"/>
      <c r="DA25" s="210"/>
      <c r="DB25" s="210"/>
      <c r="DC25" s="210"/>
      <c r="DD25" s="210"/>
      <c r="DE25" s="210"/>
      <c r="DF25" s="210"/>
      <c r="DG25" s="210"/>
      <c r="DH25" s="210"/>
      <c r="DI25" s="210"/>
      <c r="DJ25" s="210"/>
      <c r="DK25" s="210"/>
      <c r="DL25" s="210"/>
      <c r="DM25" s="210"/>
      <c r="DN25" s="210"/>
      <c r="DO25" s="210"/>
      <c r="DP25" s="210"/>
      <c r="DQ25" s="210"/>
      <c r="DR25" s="210"/>
      <c r="DS25" s="210"/>
      <c r="DT25" s="210"/>
      <c r="DU25" s="210"/>
      <c r="DV25" s="210"/>
      <c r="DW25" s="210"/>
      <c r="DX25" s="210"/>
      <c r="DY25" s="210"/>
      <c r="DZ25" s="210"/>
      <c r="EA25" s="210"/>
      <c r="EB25" s="210"/>
      <c r="EC25" s="210"/>
      <c r="ED25" s="210"/>
      <c r="EE25" s="210"/>
      <c r="EF25" s="210"/>
      <c r="EG25" s="210"/>
      <c r="EH25" s="210"/>
      <c r="EI25" s="210"/>
      <c r="EJ25" s="210"/>
      <c r="EK25" s="210"/>
      <c r="EL25" s="210"/>
      <c r="EM25" s="210"/>
      <c r="EN25" s="210"/>
      <c r="EO25" s="210"/>
      <c r="EP25" s="210"/>
      <c r="EQ25" s="210"/>
      <c r="ER25" s="210"/>
      <c r="ES25" s="210"/>
      <c r="ET25" s="210"/>
      <c r="EU25" s="210"/>
      <c r="EV25" s="210"/>
      <c r="EW25" s="210"/>
      <c r="EX25" s="210"/>
      <c r="EY25" s="210"/>
      <c r="EZ25" s="210"/>
      <c r="FA25" s="210"/>
      <c r="FB25" s="210"/>
      <c r="FC25" s="210"/>
      <c r="FD25" s="210"/>
      <c r="FE25" s="210"/>
      <c r="FF25" s="210"/>
      <c r="FG25" s="210"/>
      <c r="FH25" s="210"/>
      <c r="FI25" s="210"/>
      <c r="FJ25" s="210"/>
      <c r="FK25" s="210"/>
      <c r="FL25" s="210"/>
      <c r="FM25" s="210"/>
      <c r="FN25" s="210"/>
      <c r="FO25" s="210"/>
      <c r="FP25" s="210"/>
      <c r="FQ25" s="210"/>
      <c r="FR25" s="210"/>
      <c r="FS25" s="210"/>
      <c r="FT25" s="210"/>
      <c r="FU25" s="210"/>
      <c r="FV25" s="210"/>
      <c r="FW25" s="210"/>
      <c r="FX25" s="210"/>
      <c r="FY25" s="210"/>
      <c r="FZ25" s="210"/>
      <c r="GA25" s="210"/>
      <c r="GB25" s="210"/>
      <c r="GC25" s="210"/>
      <c r="GD25" s="210"/>
      <c r="GE25" s="210"/>
      <c r="GF25" s="210"/>
      <c r="GG25" s="210"/>
      <c r="GH25" s="210"/>
      <c r="GI25" s="210"/>
      <c r="GJ25" s="210"/>
      <c r="GK25" s="210"/>
      <c r="GL25" s="210"/>
      <c r="GM25" s="210"/>
      <c r="GN25" s="210"/>
      <c r="GO25" s="210"/>
      <c r="GP25" s="210"/>
      <c r="GQ25" s="210"/>
      <c r="GR25" s="210"/>
      <c r="GS25" s="210"/>
      <c r="GT25" s="210"/>
      <c r="GU25" s="210"/>
      <c r="GV25" s="210"/>
      <c r="GW25" s="210"/>
      <c r="GX25" s="210"/>
      <c r="GY25" s="210"/>
      <c r="GZ25" s="210"/>
      <c r="HA25" s="210"/>
      <c r="HB25" s="210"/>
      <c r="HC25" s="210"/>
      <c r="HD25" s="210"/>
      <c r="HE25" s="210"/>
      <c r="HF25" s="210"/>
      <c r="HG25" s="210"/>
      <c r="HH25" s="210"/>
      <c r="HI25" s="210"/>
      <c r="HJ25" s="210"/>
      <c r="HK25" s="210"/>
      <c r="HL25" s="210"/>
      <c r="HM25" s="210"/>
      <c r="HN25" s="210"/>
      <c r="HO25" s="210"/>
      <c r="HP25" s="210"/>
      <c r="HQ25" s="210"/>
      <c r="HR25" s="210"/>
      <c r="HS25" s="210"/>
      <c r="HT25" s="210"/>
      <c r="HU25" s="210"/>
      <c r="HV25" s="210"/>
      <c r="HW25" s="210"/>
      <c r="HX25" s="210"/>
      <c r="HY25" s="210"/>
      <c r="HZ25" s="210"/>
      <c r="IA25" s="210"/>
      <c r="IB25" s="210"/>
      <c r="IC25" s="210"/>
      <c r="ID25" s="210"/>
      <c r="IE25" s="210"/>
      <c r="IF25" s="210"/>
      <c r="IG25" s="210"/>
      <c r="IH25" s="210"/>
      <c r="II25" s="210"/>
      <c r="IJ25" s="210"/>
      <c r="IK25" s="210"/>
      <c r="IL25" s="210"/>
      <c r="IM25" s="210"/>
      <c r="IN25" s="210"/>
      <c r="IO25" s="210"/>
      <c r="IP25" s="210"/>
      <c r="IQ25" s="210"/>
      <c r="IR25" s="210"/>
      <c r="IS25" s="210"/>
      <c r="IT25" s="210"/>
      <c r="IU25" s="210"/>
      <c r="IV25" s="210"/>
      <c r="IW25" s="210"/>
    </row>
    <row r="26" spans="1:257" s="237" customFormat="1" ht="18.649999999999999" customHeight="1">
      <c r="A26" s="242" t="s">
        <v>423</v>
      </c>
      <c r="B26" s="218">
        <v>0</v>
      </c>
      <c r="C26" s="218">
        <v>3</v>
      </c>
      <c r="D26" s="218">
        <v>14</v>
      </c>
      <c r="E26" s="218">
        <v>1</v>
      </c>
      <c r="F26" s="218">
        <v>8</v>
      </c>
      <c r="G26" s="218">
        <v>27</v>
      </c>
      <c r="H26" s="218">
        <v>19</v>
      </c>
      <c r="I26" s="218">
        <v>9</v>
      </c>
      <c r="J26" s="218">
        <v>10</v>
      </c>
      <c r="K26" s="218">
        <v>15</v>
      </c>
      <c r="L26" s="218">
        <v>15</v>
      </c>
      <c r="M26" s="218">
        <v>15</v>
      </c>
      <c r="N26" s="218">
        <v>23</v>
      </c>
      <c r="O26" s="218">
        <v>45</v>
      </c>
      <c r="P26" s="218">
        <v>62</v>
      </c>
      <c r="Q26" s="218">
        <v>7.1</v>
      </c>
      <c r="R26" s="218">
        <v>81.7</v>
      </c>
      <c r="S26" s="218">
        <v>107.8</v>
      </c>
      <c r="T26" s="218">
        <v>116.5</v>
      </c>
      <c r="U26" s="218">
        <v>197.8</v>
      </c>
      <c r="V26" s="218">
        <v>193.1</v>
      </c>
      <c r="W26" s="218">
        <v>115.9</v>
      </c>
      <c r="X26" s="218">
        <v>12.6</v>
      </c>
      <c r="Y26" s="218">
        <v>79.2</v>
      </c>
      <c r="Z26" s="218">
        <v>21.7</v>
      </c>
      <c r="AA26" s="218">
        <v>182.1</v>
      </c>
      <c r="AB26" s="220">
        <v>397.43809968000011</v>
      </c>
      <c r="AC26" s="221">
        <v>282.625</v>
      </c>
      <c r="AD26" s="221">
        <v>273.51942685714278</v>
      </c>
      <c r="AE26" s="221">
        <v>142.81399999999999</v>
      </c>
      <c r="AF26" s="221">
        <v>99.430963576774104</v>
      </c>
      <c r="AG26" s="221">
        <v>156.68200350000001</v>
      </c>
      <c r="AH26" s="222">
        <v>152.19999999999999</v>
      </c>
      <c r="AI26" s="223">
        <v>135.50800000000001</v>
      </c>
      <c r="AJ26" s="223">
        <v>122.74434447903229</v>
      </c>
      <c r="AK26" s="224">
        <v>195.79544710838707</v>
      </c>
      <c r="AL26" s="224">
        <v>76.641885441290313</v>
      </c>
      <c r="AM26" s="224">
        <v>9.6</v>
      </c>
      <c r="AN26" s="224">
        <v>2.9</v>
      </c>
      <c r="AO26" s="224">
        <v>174.36280763741945</v>
      </c>
      <c r="AP26" s="224">
        <v>33.426027722903228</v>
      </c>
      <c r="AQ26" s="224">
        <v>190.6</v>
      </c>
      <c r="AR26" s="224">
        <v>251.92</v>
      </c>
      <c r="AS26" s="224">
        <v>89.3</v>
      </c>
      <c r="AT26" s="224">
        <v>36.6</v>
      </c>
      <c r="AU26" s="224">
        <v>126.6</v>
      </c>
      <c r="AV26" s="210"/>
      <c r="AW26" s="210"/>
      <c r="AX26" s="210"/>
      <c r="AY26" s="210"/>
      <c r="AZ26" s="210"/>
      <c r="BA26" s="210"/>
      <c r="BB26" s="210"/>
      <c r="BC26" s="210"/>
      <c r="BD26" s="210"/>
      <c r="BE26" s="210"/>
      <c r="BF26" s="210"/>
      <c r="BG26" s="210"/>
      <c r="BH26" s="210"/>
      <c r="BI26" s="210"/>
      <c r="BJ26" s="210"/>
      <c r="BK26" s="210"/>
      <c r="BL26" s="210"/>
      <c r="BM26" s="210"/>
      <c r="BN26" s="210"/>
      <c r="BO26" s="210"/>
      <c r="BP26" s="210"/>
      <c r="BQ26" s="210"/>
      <c r="BR26" s="210"/>
      <c r="BS26" s="210"/>
      <c r="BT26" s="210"/>
      <c r="BU26" s="210"/>
      <c r="BV26" s="210"/>
      <c r="BW26" s="210"/>
      <c r="BX26" s="210"/>
      <c r="BY26" s="210"/>
      <c r="BZ26" s="210"/>
      <c r="CA26" s="210"/>
      <c r="CB26" s="210"/>
      <c r="CC26" s="210"/>
      <c r="CD26" s="210"/>
      <c r="CE26" s="210"/>
      <c r="CF26" s="210"/>
      <c r="CG26" s="210"/>
      <c r="CH26" s="210"/>
      <c r="CI26" s="210"/>
      <c r="CJ26" s="210"/>
      <c r="CK26" s="210"/>
      <c r="CL26" s="210"/>
      <c r="CM26" s="210"/>
      <c r="CN26" s="210"/>
      <c r="CO26" s="210"/>
      <c r="CP26" s="210"/>
      <c r="CQ26" s="210"/>
      <c r="CR26" s="210"/>
      <c r="CS26" s="210"/>
      <c r="CT26" s="210"/>
      <c r="CU26" s="210"/>
      <c r="CV26" s="210"/>
      <c r="CW26" s="210"/>
      <c r="CX26" s="210"/>
      <c r="CY26" s="210"/>
      <c r="CZ26" s="210"/>
      <c r="DA26" s="210"/>
      <c r="DB26" s="210"/>
      <c r="DC26" s="210"/>
      <c r="DD26" s="210"/>
      <c r="DE26" s="210"/>
      <c r="DF26" s="210"/>
      <c r="DG26" s="210"/>
      <c r="DH26" s="210"/>
      <c r="DI26" s="210"/>
      <c r="DJ26" s="210"/>
      <c r="DK26" s="210"/>
      <c r="DL26" s="210"/>
      <c r="DM26" s="210"/>
      <c r="DN26" s="210"/>
      <c r="DO26" s="210"/>
      <c r="DP26" s="210"/>
      <c r="DQ26" s="210"/>
      <c r="DR26" s="210"/>
      <c r="DS26" s="210"/>
      <c r="DT26" s="210"/>
      <c r="DU26" s="210"/>
      <c r="DV26" s="210"/>
      <c r="DW26" s="210"/>
      <c r="DX26" s="210"/>
      <c r="DY26" s="210"/>
      <c r="DZ26" s="210"/>
      <c r="EA26" s="210"/>
      <c r="EB26" s="210"/>
      <c r="EC26" s="210"/>
      <c r="ED26" s="210"/>
      <c r="EE26" s="210"/>
      <c r="EF26" s="210"/>
      <c r="EG26" s="210"/>
      <c r="EH26" s="210"/>
      <c r="EI26" s="210"/>
      <c r="EJ26" s="210"/>
      <c r="EK26" s="210"/>
      <c r="EL26" s="210"/>
      <c r="EM26" s="210"/>
      <c r="EN26" s="210"/>
      <c r="EO26" s="210"/>
      <c r="EP26" s="210"/>
      <c r="EQ26" s="210"/>
      <c r="ER26" s="210"/>
      <c r="ES26" s="210"/>
      <c r="ET26" s="210"/>
      <c r="EU26" s="210"/>
      <c r="EV26" s="210"/>
      <c r="EW26" s="210"/>
      <c r="EX26" s="210"/>
      <c r="EY26" s="210"/>
      <c r="EZ26" s="210"/>
      <c r="FA26" s="210"/>
      <c r="FB26" s="210"/>
      <c r="FC26" s="210"/>
      <c r="FD26" s="210"/>
      <c r="FE26" s="210"/>
      <c r="FF26" s="210"/>
      <c r="FG26" s="210"/>
      <c r="FH26" s="210"/>
      <c r="FI26" s="210"/>
      <c r="FJ26" s="210"/>
      <c r="FK26" s="210"/>
      <c r="FL26" s="210"/>
      <c r="FM26" s="210"/>
      <c r="FN26" s="210"/>
      <c r="FO26" s="210"/>
      <c r="FP26" s="210"/>
      <c r="FQ26" s="210"/>
      <c r="FR26" s="210"/>
      <c r="FS26" s="210"/>
      <c r="FT26" s="210"/>
      <c r="FU26" s="210"/>
      <c r="FV26" s="210"/>
      <c r="FW26" s="210"/>
      <c r="FX26" s="210"/>
      <c r="FY26" s="210"/>
      <c r="FZ26" s="210"/>
      <c r="GA26" s="210"/>
      <c r="GB26" s="210"/>
      <c r="GC26" s="210"/>
      <c r="GD26" s="210"/>
      <c r="GE26" s="210"/>
      <c r="GF26" s="210"/>
      <c r="GG26" s="210"/>
      <c r="GH26" s="210"/>
      <c r="GI26" s="210"/>
      <c r="GJ26" s="210"/>
      <c r="GK26" s="210"/>
      <c r="GL26" s="210"/>
      <c r="GM26" s="210"/>
      <c r="GN26" s="210"/>
      <c r="GO26" s="210"/>
      <c r="GP26" s="210"/>
      <c r="GQ26" s="210"/>
      <c r="GR26" s="210"/>
      <c r="GS26" s="210"/>
      <c r="GT26" s="210"/>
      <c r="GU26" s="210"/>
      <c r="GV26" s="210"/>
      <c r="GW26" s="210"/>
      <c r="GX26" s="210"/>
      <c r="GY26" s="210"/>
      <c r="GZ26" s="210"/>
      <c r="HA26" s="210"/>
      <c r="HB26" s="210"/>
      <c r="HC26" s="210"/>
      <c r="HD26" s="210"/>
      <c r="HE26" s="210"/>
      <c r="HF26" s="210"/>
      <c r="HG26" s="210"/>
      <c r="HH26" s="210"/>
      <c r="HI26" s="210"/>
      <c r="HJ26" s="210"/>
      <c r="HK26" s="210"/>
      <c r="HL26" s="210"/>
      <c r="HM26" s="210"/>
      <c r="HN26" s="210"/>
      <c r="HO26" s="210"/>
      <c r="HP26" s="210"/>
      <c r="HQ26" s="210"/>
      <c r="HR26" s="210"/>
      <c r="HS26" s="210"/>
      <c r="HT26" s="210"/>
      <c r="HU26" s="210"/>
      <c r="HV26" s="210"/>
      <c r="HW26" s="210"/>
      <c r="HX26" s="210"/>
      <c r="HY26" s="210"/>
      <c r="HZ26" s="210"/>
      <c r="IA26" s="210"/>
      <c r="IB26" s="210"/>
      <c r="IC26" s="210"/>
      <c r="ID26" s="210"/>
      <c r="IE26" s="210"/>
      <c r="IF26" s="210"/>
      <c r="IG26" s="210"/>
      <c r="IH26" s="210"/>
      <c r="II26" s="210"/>
      <c r="IJ26" s="210"/>
      <c r="IK26" s="210"/>
      <c r="IL26" s="210"/>
      <c r="IM26" s="210"/>
      <c r="IN26" s="210"/>
      <c r="IO26" s="210"/>
      <c r="IP26" s="210"/>
      <c r="IQ26" s="210"/>
      <c r="IR26" s="210"/>
      <c r="IS26" s="210"/>
      <c r="IT26" s="210"/>
      <c r="IU26" s="210"/>
      <c r="IV26" s="210"/>
      <c r="IW26" s="210"/>
    </row>
    <row r="27" spans="1:257" s="216" customFormat="1" ht="18.649999999999999" customHeight="1" thickBot="1">
      <c r="A27" s="242" t="s">
        <v>362</v>
      </c>
      <c r="B27" s="226">
        <v>0</v>
      </c>
      <c r="C27" s="226">
        <v>0</v>
      </c>
      <c r="D27" s="226">
        <v>0</v>
      </c>
      <c r="E27" s="226">
        <v>0</v>
      </c>
      <c r="F27" s="226">
        <v>12</v>
      </c>
      <c r="G27" s="226">
        <v>17</v>
      </c>
      <c r="H27" s="226">
        <v>74</v>
      </c>
      <c r="I27" s="226">
        <v>11</v>
      </c>
      <c r="J27" s="226">
        <v>40</v>
      </c>
      <c r="K27" s="226">
        <v>40</v>
      </c>
      <c r="L27" s="226">
        <v>40</v>
      </c>
      <c r="M27" s="226">
        <v>40</v>
      </c>
      <c r="N27" s="226">
        <v>59</v>
      </c>
      <c r="O27" s="226">
        <v>104</v>
      </c>
      <c r="P27" s="265">
        <v>111.7</v>
      </c>
      <c r="Q27" s="265">
        <v>63.5</v>
      </c>
      <c r="R27" s="265">
        <v>0</v>
      </c>
      <c r="S27" s="265">
        <v>0</v>
      </c>
      <c r="T27" s="265">
        <v>5.4</v>
      </c>
      <c r="U27" s="265">
        <v>47.6</v>
      </c>
      <c r="V27" s="265">
        <v>64.8</v>
      </c>
      <c r="W27" s="265">
        <v>1389.6</v>
      </c>
      <c r="X27" s="265">
        <v>147.80000000000001</v>
      </c>
      <c r="Y27" s="265">
        <v>171.1</v>
      </c>
      <c r="Z27" s="265">
        <v>191</v>
      </c>
      <c r="AA27" s="265">
        <v>110.8</v>
      </c>
      <c r="AB27" s="227">
        <v>168.17764031279995</v>
      </c>
      <c r="AC27" s="246">
        <v>120.69</v>
      </c>
      <c r="AD27" s="246">
        <v>274.94753118857147</v>
      </c>
      <c r="AE27" s="246">
        <v>240.31142110419358</v>
      </c>
      <c r="AF27" s="246">
        <v>310.06640616322585</v>
      </c>
      <c r="AG27" s="246">
        <v>70.690476160000003</v>
      </c>
      <c r="AH27" s="247">
        <v>38.450000000000003</v>
      </c>
      <c r="AI27" s="266">
        <v>85.804000000000002</v>
      </c>
      <c r="AJ27" s="266">
        <v>196.15177862000002</v>
      </c>
      <c r="AK27" s="249">
        <v>67.48132308645161</v>
      </c>
      <c r="AL27" s="249">
        <v>50.291036205161291</v>
      </c>
      <c r="AM27" s="249">
        <v>-20.536000000000001</v>
      </c>
      <c r="AN27" s="249">
        <v>24.260660996129033</v>
      </c>
      <c r="AO27" s="249">
        <v>177.62201441999997</v>
      </c>
      <c r="AP27" s="249">
        <v>150.01999826999997</v>
      </c>
      <c r="AQ27" s="249">
        <v>110.6</v>
      </c>
      <c r="AR27" s="249">
        <v>237.9</v>
      </c>
      <c r="AS27" s="249">
        <v>879.3</v>
      </c>
      <c r="AT27" s="249">
        <v>856.2</v>
      </c>
      <c r="AU27" s="249">
        <v>364</v>
      </c>
      <c r="AV27" s="210"/>
      <c r="AW27" s="210"/>
      <c r="AX27" s="210"/>
      <c r="AY27" s="210"/>
      <c r="AZ27" s="210"/>
      <c r="BA27" s="210"/>
      <c r="BB27" s="210"/>
      <c r="BC27" s="210"/>
      <c r="BD27" s="210"/>
      <c r="BE27" s="210"/>
      <c r="BF27" s="210"/>
      <c r="BG27" s="210"/>
      <c r="BH27" s="210"/>
      <c r="BI27" s="210"/>
      <c r="BJ27" s="210"/>
      <c r="BK27" s="210"/>
      <c r="BL27" s="210"/>
      <c r="BM27" s="210"/>
      <c r="BN27" s="210"/>
      <c r="BO27" s="210"/>
      <c r="BP27" s="210"/>
      <c r="BQ27" s="210"/>
      <c r="BR27" s="210"/>
      <c r="BS27" s="210"/>
      <c r="BT27" s="210"/>
      <c r="BU27" s="210"/>
      <c r="BV27" s="210"/>
      <c r="BW27" s="210"/>
      <c r="BX27" s="210"/>
      <c r="BY27" s="210"/>
      <c r="BZ27" s="210"/>
      <c r="CA27" s="210"/>
      <c r="CB27" s="210"/>
      <c r="CC27" s="210"/>
      <c r="CD27" s="210"/>
      <c r="CE27" s="210"/>
      <c r="CF27" s="210"/>
      <c r="CG27" s="210"/>
      <c r="CH27" s="210"/>
      <c r="CI27" s="210"/>
      <c r="CJ27" s="210"/>
      <c r="CK27" s="210"/>
      <c r="CL27" s="210"/>
      <c r="CM27" s="210"/>
      <c r="CN27" s="210"/>
      <c r="CO27" s="210"/>
      <c r="CP27" s="210"/>
      <c r="CQ27" s="210"/>
      <c r="CR27" s="210"/>
      <c r="CS27" s="210"/>
      <c r="CT27" s="210"/>
      <c r="CU27" s="210"/>
      <c r="CV27" s="210"/>
      <c r="CW27" s="210"/>
      <c r="CX27" s="210"/>
      <c r="CY27" s="210"/>
      <c r="CZ27" s="210"/>
      <c r="DA27" s="210"/>
      <c r="DB27" s="210"/>
      <c r="DC27" s="210"/>
      <c r="DD27" s="210"/>
      <c r="DE27" s="210"/>
      <c r="DF27" s="210"/>
      <c r="DG27" s="210"/>
      <c r="DH27" s="210"/>
      <c r="DI27" s="210"/>
      <c r="DJ27" s="210"/>
      <c r="DK27" s="210"/>
      <c r="DL27" s="210"/>
      <c r="DM27" s="210"/>
      <c r="DN27" s="210"/>
      <c r="DO27" s="210"/>
      <c r="DP27" s="210"/>
      <c r="DQ27" s="210"/>
      <c r="DR27" s="210"/>
      <c r="DS27" s="210"/>
      <c r="DT27" s="210"/>
      <c r="DU27" s="210"/>
      <c r="DV27" s="210"/>
      <c r="DW27" s="210"/>
      <c r="DX27" s="210"/>
      <c r="DY27" s="210"/>
      <c r="DZ27" s="210"/>
      <c r="EA27" s="210"/>
      <c r="EB27" s="210"/>
      <c r="EC27" s="210"/>
      <c r="ED27" s="210"/>
      <c r="EE27" s="210"/>
      <c r="EF27" s="210"/>
      <c r="EG27" s="210"/>
      <c r="EH27" s="210"/>
      <c r="EI27" s="210"/>
      <c r="EJ27" s="210"/>
      <c r="EK27" s="210"/>
      <c r="EL27" s="210"/>
      <c r="EM27" s="210"/>
      <c r="EN27" s="210"/>
      <c r="EO27" s="210"/>
      <c r="EP27" s="210"/>
      <c r="EQ27" s="210"/>
      <c r="ER27" s="210"/>
      <c r="ES27" s="210"/>
      <c r="ET27" s="210"/>
      <c r="EU27" s="210"/>
      <c r="EV27" s="210"/>
      <c r="EW27" s="210"/>
      <c r="EX27" s="210"/>
      <c r="EY27" s="210"/>
      <c r="EZ27" s="210"/>
      <c r="FA27" s="210"/>
      <c r="FB27" s="210"/>
      <c r="FC27" s="210"/>
      <c r="FD27" s="210"/>
      <c r="FE27" s="210"/>
      <c r="FF27" s="210"/>
      <c r="FG27" s="210"/>
      <c r="FH27" s="210"/>
      <c r="FI27" s="210"/>
      <c r="FJ27" s="210"/>
      <c r="FK27" s="210"/>
      <c r="FL27" s="210"/>
      <c r="FM27" s="210"/>
      <c r="FN27" s="210"/>
      <c r="FO27" s="210"/>
      <c r="FP27" s="210"/>
      <c r="FQ27" s="210"/>
      <c r="FR27" s="210"/>
      <c r="FS27" s="210"/>
      <c r="FT27" s="210"/>
      <c r="FU27" s="210"/>
      <c r="FV27" s="210"/>
      <c r="FW27" s="210"/>
      <c r="FX27" s="210"/>
      <c r="FY27" s="210"/>
      <c r="FZ27" s="210"/>
      <c r="GA27" s="210"/>
      <c r="GB27" s="210"/>
      <c r="GC27" s="210"/>
      <c r="GD27" s="210"/>
      <c r="GE27" s="210"/>
      <c r="GF27" s="210"/>
      <c r="GG27" s="210"/>
      <c r="GH27" s="210"/>
      <c r="GI27" s="210"/>
      <c r="GJ27" s="210"/>
      <c r="GK27" s="210"/>
      <c r="GL27" s="210"/>
      <c r="GM27" s="210"/>
      <c r="GN27" s="210"/>
      <c r="GO27" s="210"/>
      <c r="GP27" s="210"/>
      <c r="GQ27" s="210"/>
      <c r="GR27" s="210"/>
      <c r="GS27" s="210"/>
      <c r="GT27" s="210"/>
      <c r="GU27" s="210"/>
      <c r="GV27" s="210"/>
      <c r="GW27" s="210"/>
      <c r="GX27" s="210"/>
      <c r="GY27" s="210"/>
      <c r="GZ27" s="210"/>
      <c r="HA27" s="210"/>
      <c r="HB27" s="210"/>
      <c r="HC27" s="210"/>
      <c r="HD27" s="210"/>
      <c r="HE27" s="210"/>
      <c r="HF27" s="210"/>
      <c r="HG27" s="210"/>
      <c r="HH27" s="210"/>
      <c r="HI27" s="210"/>
      <c r="HJ27" s="210"/>
      <c r="HK27" s="210"/>
      <c r="HL27" s="210"/>
      <c r="HM27" s="210"/>
      <c r="HN27" s="210"/>
      <c r="HO27" s="210"/>
      <c r="HP27" s="210"/>
      <c r="HQ27" s="210"/>
      <c r="HR27" s="210"/>
      <c r="HS27" s="210"/>
      <c r="HT27" s="210"/>
      <c r="HU27" s="210"/>
      <c r="HV27" s="210"/>
      <c r="HW27" s="210"/>
      <c r="HX27" s="210"/>
      <c r="HY27" s="210"/>
      <c r="HZ27" s="210"/>
      <c r="IA27" s="210"/>
      <c r="IB27" s="210"/>
      <c r="IC27" s="210"/>
      <c r="ID27" s="210"/>
      <c r="IE27" s="210"/>
      <c r="IF27" s="210"/>
      <c r="IG27" s="210"/>
      <c r="IH27" s="210"/>
      <c r="II27" s="210"/>
      <c r="IJ27" s="210"/>
      <c r="IK27" s="210"/>
      <c r="IL27" s="210"/>
      <c r="IM27" s="210"/>
      <c r="IN27" s="210"/>
      <c r="IO27" s="210"/>
      <c r="IP27" s="210"/>
      <c r="IQ27" s="210"/>
      <c r="IR27" s="210"/>
      <c r="IS27" s="210"/>
      <c r="IT27" s="210"/>
      <c r="IU27" s="210"/>
      <c r="IV27" s="210"/>
      <c r="IW27" s="210"/>
    </row>
    <row r="28" spans="1:257" s="237" customFormat="1" ht="18.649999999999999" customHeight="1" thickTop="1" thickBot="1">
      <c r="A28" s="267" t="s">
        <v>425</v>
      </c>
      <c r="B28" s="268">
        <f t="shared" ref="B28:AM28" si="16">B26+B27</f>
        <v>0</v>
      </c>
      <c r="C28" s="268">
        <f t="shared" si="16"/>
        <v>3</v>
      </c>
      <c r="D28" s="268">
        <f t="shared" si="16"/>
        <v>14</v>
      </c>
      <c r="E28" s="268">
        <f t="shared" si="16"/>
        <v>1</v>
      </c>
      <c r="F28" s="268">
        <f t="shared" si="16"/>
        <v>20</v>
      </c>
      <c r="G28" s="268">
        <f t="shared" si="16"/>
        <v>44</v>
      </c>
      <c r="H28" s="268">
        <f t="shared" si="16"/>
        <v>93</v>
      </c>
      <c r="I28" s="268">
        <f t="shared" si="16"/>
        <v>20</v>
      </c>
      <c r="J28" s="268">
        <f t="shared" si="16"/>
        <v>50</v>
      </c>
      <c r="K28" s="268">
        <f t="shared" si="16"/>
        <v>55</v>
      </c>
      <c r="L28" s="268">
        <f t="shared" si="16"/>
        <v>55</v>
      </c>
      <c r="M28" s="268">
        <f t="shared" si="16"/>
        <v>55</v>
      </c>
      <c r="N28" s="268">
        <f t="shared" si="16"/>
        <v>82</v>
      </c>
      <c r="O28" s="268">
        <f t="shared" si="16"/>
        <v>149</v>
      </c>
      <c r="P28" s="268">
        <f t="shared" si="16"/>
        <v>173.7</v>
      </c>
      <c r="Q28" s="268">
        <f t="shared" si="16"/>
        <v>70.599999999999994</v>
      </c>
      <c r="R28" s="268">
        <f t="shared" si="16"/>
        <v>81.7</v>
      </c>
      <c r="S28" s="268">
        <f t="shared" si="16"/>
        <v>107.8</v>
      </c>
      <c r="T28" s="268">
        <f t="shared" si="16"/>
        <v>121.9</v>
      </c>
      <c r="U28" s="268">
        <f t="shared" si="16"/>
        <v>245.4</v>
      </c>
      <c r="V28" s="268">
        <f t="shared" si="16"/>
        <v>257.89999999999998</v>
      </c>
      <c r="W28" s="268">
        <f t="shared" si="16"/>
        <v>1505.5</v>
      </c>
      <c r="X28" s="268">
        <f t="shared" si="16"/>
        <v>160.4</v>
      </c>
      <c r="Y28" s="268">
        <f t="shared" si="16"/>
        <v>250.3</v>
      </c>
      <c r="Z28" s="268">
        <f t="shared" si="16"/>
        <v>212.7</v>
      </c>
      <c r="AA28" s="268">
        <f t="shared" si="16"/>
        <v>292.89999999999998</v>
      </c>
      <c r="AB28" s="269">
        <f t="shared" si="16"/>
        <v>565.61573999280006</v>
      </c>
      <c r="AC28" s="269">
        <f t="shared" si="16"/>
        <v>403.315</v>
      </c>
      <c r="AD28" s="269">
        <f t="shared" si="16"/>
        <v>548.46695804571425</v>
      </c>
      <c r="AE28" s="269">
        <f t="shared" si="16"/>
        <v>383.12542110419361</v>
      </c>
      <c r="AF28" s="269">
        <f t="shared" si="16"/>
        <v>409.49736973999995</v>
      </c>
      <c r="AG28" s="269">
        <f t="shared" si="16"/>
        <v>227.37247966000001</v>
      </c>
      <c r="AH28" s="270">
        <f t="shared" si="16"/>
        <v>190.64999999999998</v>
      </c>
      <c r="AI28" s="270">
        <f t="shared" si="16"/>
        <v>221.31200000000001</v>
      </c>
      <c r="AJ28" s="270">
        <f t="shared" si="16"/>
        <v>318.89612309903231</v>
      </c>
      <c r="AK28" s="270">
        <f t="shared" si="16"/>
        <v>263.27677019483866</v>
      </c>
      <c r="AL28" s="270">
        <f t="shared" si="16"/>
        <v>126.9329216464516</v>
      </c>
      <c r="AM28" s="270">
        <f t="shared" si="16"/>
        <v>-10.936000000000002</v>
      </c>
      <c r="AN28" s="270">
        <v>27.160660996129032</v>
      </c>
      <c r="AO28" s="270">
        <v>351.98482205741942</v>
      </c>
      <c r="AP28" s="270">
        <f t="shared" ref="AP28:AT28" si="17">AP26+AP27</f>
        <v>183.4460259929032</v>
      </c>
      <c r="AQ28" s="270">
        <f t="shared" si="17"/>
        <v>301.2</v>
      </c>
      <c r="AR28" s="270">
        <f t="shared" si="17"/>
        <v>489.82</v>
      </c>
      <c r="AS28" s="270">
        <f t="shared" si="17"/>
        <v>968.59999999999991</v>
      </c>
      <c r="AT28" s="270">
        <f t="shared" si="17"/>
        <v>892.80000000000007</v>
      </c>
      <c r="AU28" s="270">
        <f t="shared" ref="AU28" si="18">AU26+AU27</f>
        <v>490.6</v>
      </c>
      <c r="AV28" s="210"/>
      <c r="AW28" s="210"/>
      <c r="AX28" s="210"/>
      <c r="AY28" s="210"/>
      <c r="AZ28" s="210"/>
      <c r="BA28" s="210"/>
      <c r="BB28" s="210"/>
      <c r="BC28" s="210"/>
      <c r="BD28" s="210"/>
      <c r="BE28" s="210"/>
      <c r="BF28" s="210"/>
      <c r="BG28" s="210"/>
      <c r="BH28" s="210"/>
      <c r="BI28" s="210"/>
      <c r="BJ28" s="210"/>
      <c r="BK28" s="210"/>
      <c r="BL28" s="210"/>
      <c r="BM28" s="210"/>
      <c r="BN28" s="210"/>
      <c r="BO28" s="210"/>
      <c r="BP28" s="210"/>
      <c r="BQ28" s="210"/>
      <c r="BR28" s="210"/>
      <c r="BS28" s="210"/>
      <c r="BT28" s="210"/>
      <c r="BU28" s="210"/>
      <c r="BV28" s="210"/>
      <c r="BW28" s="210"/>
      <c r="BX28" s="210"/>
      <c r="BY28" s="210"/>
      <c r="BZ28" s="210"/>
      <c r="CA28" s="210"/>
      <c r="CB28" s="210"/>
      <c r="CC28" s="210"/>
      <c r="CD28" s="210"/>
      <c r="CE28" s="210"/>
      <c r="CF28" s="210"/>
      <c r="CG28" s="210"/>
      <c r="CH28" s="210"/>
      <c r="CI28" s="210"/>
      <c r="CJ28" s="210"/>
      <c r="CK28" s="210"/>
      <c r="CL28" s="210"/>
      <c r="CM28" s="210"/>
      <c r="CN28" s="210"/>
      <c r="CO28" s="210"/>
      <c r="CP28" s="210"/>
      <c r="CQ28" s="210"/>
      <c r="CR28" s="210"/>
      <c r="CS28" s="210"/>
      <c r="CT28" s="210"/>
      <c r="CU28" s="210"/>
      <c r="CV28" s="210"/>
      <c r="CW28" s="210"/>
      <c r="CX28" s="210"/>
      <c r="CY28" s="210"/>
      <c r="CZ28" s="210"/>
      <c r="DA28" s="210"/>
      <c r="DB28" s="210"/>
      <c r="DC28" s="210"/>
      <c r="DD28" s="210"/>
      <c r="DE28" s="210"/>
      <c r="DF28" s="210"/>
      <c r="DG28" s="210"/>
      <c r="DH28" s="210"/>
      <c r="DI28" s="210"/>
      <c r="DJ28" s="210"/>
      <c r="DK28" s="210"/>
      <c r="DL28" s="210"/>
      <c r="DM28" s="210"/>
      <c r="DN28" s="210"/>
      <c r="DO28" s="210"/>
      <c r="DP28" s="210"/>
      <c r="DQ28" s="210"/>
      <c r="DR28" s="210"/>
      <c r="DS28" s="210"/>
      <c r="DT28" s="210"/>
      <c r="DU28" s="210"/>
      <c r="DV28" s="210"/>
      <c r="DW28" s="210"/>
      <c r="DX28" s="210"/>
      <c r="DY28" s="210"/>
      <c r="DZ28" s="210"/>
      <c r="EA28" s="210"/>
      <c r="EB28" s="210"/>
      <c r="EC28" s="210"/>
      <c r="ED28" s="210"/>
      <c r="EE28" s="210"/>
      <c r="EF28" s="210"/>
      <c r="EG28" s="210"/>
      <c r="EH28" s="210"/>
      <c r="EI28" s="210"/>
      <c r="EJ28" s="210"/>
      <c r="EK28" s="210"/>
      <c r="EL28" s="210"/>
      <c r="EM28" s="210"/>
      <c r="EN28" s="210"/>
      <c r="EO28" s="210"/>
      <c r="EP28" s="210"/>
      <c r="EQ28" s="210"/>
      <c r="ER28" s="210"/>
      <c r="ES28" s="210"/>
      <c r="ET28" s="210"/>
      <c r="EU28" s="210"/>
      <c r="EV28" s="210"/>
      <c r="EW28" s="210"/>
      <c r="EX28" s="210"/>
      <c r="EY28" s="210"/>
      <c r="EZ28" s="210"/>
      <c r="FA28" s="210"/>
      <c r="FB28" s="210"/>
      <c r="FC28" s="210"/>
      <c r="FD28" s="210"/>
      <c r="FE28" s="210"/>
      <c r="FF28" s="210"/>
      <c r="FG28" s="210"/>
      <c r="FH28" s="210"/>
      <c r="FI28" s="210"/>
      <c r="FJ28" s="210"/>
      <c r="FK28" s="210"/>
      <c r="FL28" s="210"/>
      <c r="FM28" s="210"/>
      <c r="FN28" s="210"/>
      <c r="FO28" s="210"/>
      <c r="FP28" s="210"/>
      <c r="FQ28" s="210"/>
      <c r="FR28" s="210"/>
      <c r="FS28" s="210"/>
      <c r="FT28" s="210"/>
      <c r="FU28" s="210"/>
      <c r="FV28" s="210"/>
      <c r="FW28" s="210"/>
      <c r="FX28" s="210"/>
      <c r="FY28" s="210"/>
      <c r="FZ28" s="210"/>
      <c r="GA28" s="210"/>
      <c r="GB28" s="210"/>
      <c r="GC28" s="210"/>
      <c r="GD28" s="210"/>
      <c r="GE28" s="210"/>
      <c r="GF28" s="210"/>
      <c r="GG28" s="210"/>
      <c r="GH28" s="210"/>
      <c r="GI28" s="210"/>
      <c r="GJ28" s="210"/>
      <c r="GK28" s="210"/>
      <c r="GL28" s="210"/>
      <c r="GM28" s="210"/>
      <c r="GN28" s="210"/>
      <c r="GO28" s="210"/>
      <c r="GP28" s="210"/>
      <c r="GQ28" s="210"/>
      <c r="GR28" s="210"/>
      <c r="GS28" s="210"/>
      <c r="GT28" s="210"/>
      <c r="GU28" s="210"/>
      <c r="GV28" s="210"/>
      <c r="GW28" s="210"/>
      <c r="GX28" s="210"/>
      <c r="GY28" s="210"/>
      <c r="GZ28" s="210"/>
      <c r="HA28" s="210"/>
      <c r="HB28" s="210"/>
      <c r="HC28" s="210"/>
      <c r="HD28" s="210"/>
      <c r="HE28" s="210"/>
      <c r="HF28" s="210"/>
      <c r="HG28" s="210"/>
      <c r="HH28" s="210"/>
      <c r="HI28" s="210"/>
      <c r="HJ28" s="210"/>
      <c r="HK28" s="210"/>
      <c r="HL28" s="210"/>
      <c r="HM28" s="210"/>
      <c r="HN28" s="210"/>
      <c r="HO28" s="210"/>
      <c r="HP28" s="210"/>
      <c r="HQ28" s="210"/>
      <c r="HR28" s="210"/>
      <c r="HS28" s="210"/>
      <c r="HT28" s="210"/>
      <c r="HU28" s="210"/>
      <c r="HV28" s="210"/>
      <c r="HW28" s="210"/>
      <c r="HX28" s="210"/>
      <c r="HY28" s="210"/>
      <c r="HZ28" s="210"/>
      <c r="IA28" s="210"/>
      <c r="IB28" s="210"/>
      <c r="IC28" s="210"/>
      <c r="ID28" s="210"/>
      <c r="IE28" s="210"/>
      <c r="IF28" s="210"/>
      <c r="IG28" s="210"/>
      <c r="IH28" s="210"/>
      <c r="II28" s="210"/>
      <c r="IJ28" s="210"/>
      <c r="IK28" s="210"/>
      <c r="IL28" s="210"/>
      <c r="IM28" s="210"/>
      <c r="IN28" s="210"/>
      <c r="IO28" s="210"/>
      <c r="IP28" s="210"/>
      <c r="IQ28" s="210"/>
      <c r="IR28" s="210"/>
      <c r="IS28" s="210"/>
      <c r="IT28" s="210"/>
      <c r="IU28" s="210"/>
      <c r="IV28" s="210"/>
      <c r="IW28" s="210"/>
    </row>
    <row r="29" spans="1:257" s="237" customFormat="1" ht="18.649999999999999" customHeight="1" thickBot="1">
      <c r="A29" s="271" t="s">
        <v>426</v>
      </c>
      <c r="B29" s="272">
        <f t="shared" ref="B29:AM29" si="19">B24+B28</f>
        <v>41.3</v>
      </c>
      <c r="C29" s="272">
        <f t="shared" si="19"/>
        <v>20.2</v>
      </c>
      <c r="D29" s="272">
        <f t="shared" si="19"/>
        <v>42.5</v>
      </c>
      <c r="E29" s="272">
        <f t="shared" si="19"/>
        <v>40.199999999999996</v>
      </c>
      <c r="F29" s="272">
        <f t="shared" si="19"/>
        <v>72.2</v>
      </c>
      <c r="G29" s="272">
        <f t="shared" si="19"/>
        <v>99.5</v>
      </c>
      <c r="H29" s="272">
        <f t="shared" si="19"/>
        <v>158.4</v>
      </c>
      <c r="I29" s="272">
        <f t="shared" si="19"/>
        <v>100.4</v>
      </c>
      <c r="J29" s="272">
        <f t="shared" si="19"/>
        <v>118.8</v>
      </c>
      <c r="K29" s="272">
        <f t="shared" si="19"/>
        <v>133.5</v>
      </c>
      <c r="L29" s="272">
        <f t="shared" si="19"/>
        <v>145.5</v>
      </c>
      <c r="M29" s="272">
        <f t="shared" si="19"/>
        <v>150.5</v>
      </c>
      <c r="N29" s="272">
        <f t="shared" si="19"/>
        <v>219.3</v>
      </c>
      <c r="O29" s="272">
        <f t="shared" si="19"/>
        <v>282.7</v>
      </c>
      <c r="P29" s="272">
        <f t="shared" si="19"/>
        <v>325.79999999999995</v>
      </c>
      <c r="Q29" s="272">
        <f t="shared" si="19"/>
        <v>241.7</v>
      </c>
      <c r="R29" s="272">
        <f t="shared" si="19"/>
        <v>258.7</v>
      </c>
      <c r="S29" s="272">
        <f t="shared" si="19"/>
        <v>302.2</v>
      </c>
      <c r="T29" s="272">
        <f t="shared" si="19"/>
        <v>337.28</v>
      </c>
      <c r="U29" s="272">
        <f t="shared" si="19"/>
        <v>468.6</v>
      </c>
      <c r="V29" s="272">
        <f t="shared" si="19"/>
        <v>480</v>
      </c>
      <c r="W29" s="272">
        <f t="shared" si="19"/>
        <v>1730.2</v>
      </c>
      <c r="X29" s="272">
        <f t="shared" si="19"/>
        <v>433.71000000000004</v>
      </c>
      <c r="Y29" s="272">
        <f t="shared" si="19"/>
        <v>530.55500000000006</v>
      </c>
      <c r="Z29" s="272">
        <f t="shared" si="19"/>
        <v>501</v>
      </c>
      <c r="AA29" s="272">
        <f t="shared" si="19"/>
        <v>576.32999999999993</v>
      </c>
      <c r="AB29" s="273">
        <f t="shared" si="19"/>
        <v>851.66573999280013</v>
      </c>
      <c r="AC29" s="274">
        <f t="shared" si="19"/>
        <v>715.97199999999998</v>
      </c>
      <c r="AD29" s="274">
        <f t="shared" si="19"/>
        <v>875.78689198571419</v>
      </c>
      <c r="AE29" s="274">
        <f t="shared" si="19"/>
        <v>745.25486393419351</v>
      </c>
      <c r="AF29" s="274">
        <f t="shared" si="19"/>
        <v>802.29668034450958</v>
      </c>
      <c r="AG29" s="274">
        <f t="shared" si="19"/>
        <v>649.86378652466624</v>
      </c>
      <c r="AH29" s="275">
        <f t="shared" si="19"/>
        <v>644.08999999999992</v>
      </c>
      <c r="AI29" s="275">
        <f t="shared" si="19"/>
        <v>682.41200000000003</v>
      </c>
      <c r="AJ29" s="275">
        <f t="shared" si="19"/>
        <v>782.59760509903231</v>
      </c>
      <c r="AK29" s="275">
        <f t="shared" si="19"/>
        <v>757.0220691079096</v>
      </c>
      <c r="AL29" s="275">
        <f t="shared" si="19"/>
        <v>621.49065968125444</v>
      </c>
      <c r="AM29" s="275">
        <f t="shared" si="19"/>
        <v>450.36399999999998</v>
      </c>
      <c r="AN29" s="275">
        <v>480.88141649842606</v>
      </c>
      <c r="AO29" s="275">
        <v>788.10706660762844</v>
      </c>
      <c r="AP29" s="275">
        <f t="shared" ref="AP29:AT29" si="20">AP24+AP28</f>
        <v>611.45169899802625</v>
      </c>
      <c r="AQ29" s="275">
        <f t="shared" si="20"/>
        <v>744.5</v>
      </c>
      <c r="AR29" s="275">
        <f t="shared" si="20"/>
        <v>940.45191872999999</v>
      </c>
      <c r="AS29" s="275">
        <f t="shared" si="20"/>
        <v>1431.1</v>
      </c>
      <c r="AT29" s="275">
        <f t="shared" si="20"/>
        <v>1370</v>
      </c>
      <c r="AU29" s="275">
        <f t="shared" ref="AU29" si="21">AU24+AU28</f>
        <v>1009.2</v>
      </c>
      <c r="AV29" s="210"/>
      <c r="AW29" s="210"/>
      <c r="AX29" s="210"/>
      <c r="AY29" s="210"/>
      <c r="AZ29" s="210"/>
      <c r="BA29" s="210"/>
      <c r="BB29" s="210"/>
      <c r="BC29" s="210"/>
      <c r="BD29" s="210"/>
      <c r="BE29" s="210"/>
      <c r="BF29" s="210"/>
      <c r="BG29" s="210"/>
      <c r="BH29" s="210"/>
      <c r="BI29" s="210"/>
      <c r="BJ29" s="210"/>
      <c r="BK29" s="210"/>
      <c r="BL29" s="210"/>
      <c r="BM29" s="210"/>
      <c r="BN29" s="210"/>
      <c r="BO29" s="210"/>
      <c r="BP29" s="210"/>
      <c r="BQ29" s="210"/>
      <c r="BR29" s="210"/>
      <c r="BS29" s="210"/>
      <c r="BT29" s="210"/>
      <c r="BU29" s="210"/>
      <c r="BV29" s="210"/>
      <c r="BW29" s="210"/>
      <c r="BX29" s="210"/>
      <c r="BY29" s="210"/>
      <c r="BZ29" s="210"/>
      <c r="CA29" s="210"/>
      <c r="CB29" s="210"/>
      <c r="CC29" s="210"/>
      <c r="CD29" s="210"/>
      <c r="CE29" s="210"/>
      <c r="CF29" s="210"/>
      <c r="CG29" s="210"/>
      <c r="CH29" s="210"/>
      <c r="CI29" s="210"/>
      <c r="CJ29" s="210"/>
      <c r="CK29" s="210"/>
      <c r="CL29" s="210"/>
      <c r="CM29" s="210"/>
      <c r="CN29" s="210"/>
      <c r="CO29" s="210"/>
      <c r="CP29" s="210"/>
      <c r="CQ29" s="210"/>
      <c r="CR29" s="210"/>
      <c r="CS29" s="210"/>
      <c r="CT29" s="210"/>
      <c r="CU29" s="210"/>
      <c r="CV29" s="210"/>
      <c r="CW29" s="210"/>
      <c r="CX29" s="210"/>
      <c r="CY29" s="210"/>
      <c r="CZ29" s="210"/>
      <c r="DA29" s="210"/>
      <c r="DB29" s="210"/>
      <c r="DC29" s="210"/>
      <c r="DD29" s="210"/>
      <c r="DE29" s="210"/>
      <c r="DF29" s="210"/>
      <c r="DG29" s="210"/>
      <c r="DH29" s="210"/>
      <c r="DI29" s="210"/>
      <c r="DJ29" s="210"/>
      <c r="DK29" s="210"/>
      <c r="DL29" s="210"/>
      <c r="DM29" s="210"/>
      <c r="DN29" s="210"/>
      <c r="DO29" s="210"/>
      <c r="DP29" s="210"/>
      <c r="DQ29" s="210"/>
      <c r="DR29" s="210"/>
      <c r="DS29" s="210"/>
      <c r="DT29" s="210"/>
      <c r="DU29" s="210"/>
      <c r="DV29" s="210"/>
      <c r="DW29" s="210"/>
      <c r="DX29" s="210"/>
      <c r="DY29" s="210"/>
      <c r="DZ29" s="210"/>
      <c r="EA29" s="210"/>
      <c r="EB29" s="210"/>
      <c r="EC29" s="210"/>
      <c r="ED29" s="210"/>
      <c r="EE29" s="210"/>
      <c r="EF29" s="210"/>
      <c r="EG29" s="210"/>
      <c r="EH29" s="210"/>
      <c r="EI29" s="210"/>
      <c r="EJ29" s="210"/>
      <c r="EK29" s="210"/>
      <c r="EL29" s="210"/>
      <c r="EM29" s="210"/>
      <c r="EN29" s="210"/>
      <c r="EO29" s="210"/>
      <c r="EP29" s="210"/>
      <c r="EQ29" s="210"/>
      <c r="ER29" s="210"/>
      <c r="ES29" s="210"/>
      <c r="ET29" s="210"/>
      <c r="EU29" s="210"/>
      <c r="EV29" s="210"/>
      <c r="EW29" s="210"/>
      <c r="EX29" s="210"/>
      <c r="EY29" s="210"/>
      <c r="EZ29" s="210"/>
      <c r="FA29" s="210"/>
      <c r="FB29" s="210"/>
      <c r="FC29" s="210"/>
      <c r="FD29" s="210"/>
      <c r="FE29" s="210"/>
      <c r="FF29" s="210"/>
      <c r="FG29" s="210"/>
      <c r="FH29" s="210"/>
      <c r="FI29" s="210"/>
      <c r="FJ29" s="210"/>
      <c r="FK29" s="210"/>
      <c r="FL29" s="210"/>
      <c r="FM29" s="210"/>
      <c r="FN29" s="210"/>
      <c r="FO29" s="210"/>
      <c r="FP29" s="210"/>
      <c r="FQ29" s="210"/>
      <c r="FR29" s="210"/>
      <c r="FS29" s="210"/>
      <c r="FT29" s="210"/>
      <c r="FU29" s="210"/>
      <c r="FV29" s="210"/>
      <c r="FW29" s="210"/>
      <c r="FX29" s="210"/>
      <c r="FY29" s="210"/>
      <c r="FZ29" s="210"/>
      <c r="GA29" s="210"/>
      <c r="GB29" s="210"/>
      <c r="GC29" s="210"/>
      <c r="GD29" s="210"/>
      <c r="GE29" s="210"/>
      <c r="GF29" s="210"/>
      <c r="GG29" s="210"/>
      <c r="GH29" s="210"/>
      <c r="GI29" s="210"/>
      <c r="GJ29" s="210"/>
      <c r="GK29" s="210"/>
      <c r="GL29" s="210"/>
      <c r="GM29" s="210"/>
      <c r="GN29" s="210"/>
      <c r="GO29" s="210"/>
      <c r="GP29" s="210"/>
      <c r="GQ29" s="210"/>
      <c r="GR29" s="210"/>
      <c r="GS29" s="210"/>
      <c r="GT29" s="210"/>
      <c r="GU29" s="210"/>
      <c r="GV29" s="210"/>
      <c r="GW29" s="210"/>
      <c r="GX29" s="210"/>
      <c r="GY29" s="210"/>
      <c r="GZ29" s="210"/>
      <c r="HA29" s="210"/>
      <c r="HB29" s="210"/>
      <c r="HC29" s="210"/>
      <c r="HD29" s="210"/>
      <c r="HE29" s="210"/>
      <c r="HF29" s="210"/>
      <c r="HG29" s="210"/>
      <c r="HH29" s="210"/>
      <c r="HI29" s="210"/>
      <c r="HJ29" s="210"/>
      <c r="HK29" s="210"/>
      <c r="HL29" s="210"/>
      <c r="HM29" s="210"/>
      <c r="HN29" s="210"/>
      <c r="HO29" s="210"/>
      <c r="HP29" s="210"/>
      <c r="HQ29" s="210"/>
      <c r="HR29" s="210"/>
      <c r="HS29" s="210"/>
      <c r="HT29" s="210"/>
      <c r="HU29" s="210"/>
      <c r="HV29" s="210"/>
      <c r="HW29" s="210"/>
      <c r="HX29" s="210"/>
      <c r="HY29" s="210"/>
      <c r="HZ29" s="210"/>
      <c r="IA29" s="210"/>
      <c r="IB29" s="210"/>
      <c r="IC29" s="210"/>
      <c r="ID29" s="210"/>
      <c r="IE29" s="210"/>
      <c r="IF29" s="210"/>
      <c r="IG29" s="210"/>
      <c r="IH29" s="210"/>
      <c r="II29" s="210"/>
      <c r="IJ29" s="210"/>
      <c r="IK29" s="210"/>
      <c r="IL29" s="210"/>
      <c r="IM29" s="210"/>
      <c r="IN29" s="210"/>
      <c r="IO29" s="210"/>
      <c r="IP29" s="210"/>
      <c r="IQ29" s="210"/>
      <c r="IR29" s="210"/>
      <c r="IS29" s="210"/>
      <c r="IT29" s="210"/>
      <c r="IU29" s="210"/>
      <c r="IV29" s="210"/>
      <c r="IW29" s="210"/>
    </row>
    <row r="30" spans="1:257" s="237" customFormat="1" ht="18.649999999999999" customHeight="1">
      <c r="A30" s="276" t="s">
        <v>363</v>
      </c>
      <c r="B30" s="277">
        <v>0</v>
      </c>
      <c r="C30" s="277">
        <v>0</v>
      </c>
      <c r="D30" s="277">
        <v>0</v>
      </c>
      <c r="E30" s="277">
        <v>0</v>
      </c>
      <c r="F30" s="277">
        <v>0</v>
      </c>
      <c r="G30" s="277">
        <v>0</v>
      </c>
      <c r="H30" s="277">
        <v>0</v>
      </c>
      <c r="I30" s="277">
        <v>0</v>
      </c>
      <c r="J30" s="277">
        <v>0</v>
      </c>
      <c r="K30" s="277">
        <v>0</v>
      </c>
      <c r="L30" s="277">
        <v>0</v>
      </c>
      <c r="M30" s="277">
        <v>0</v>
      </c>
      <c r="N30" s="277">
        <v>0</v>
      </c>
      <c r="O30" s="277">
        <v>0</v>
      </c>
      <c r="P30" s="277">
        <v>0</v>
      </c>
      <c r="Q30" s="277"/>
      <c r="R30" s="277"/>
      <c r="S30" s="277"/>
      <c r="T30" s="277"/>
      <c r="U30" s="277"/>
      <c r="V30" s="277"/>
      <c r="W30" s="277"/>
      <c r="X30" s="277"/>
      <c r="Y30" s="277"/>
      <c r="Z30" s="277"/>
      <c r="AA30" s="277"/>
      <c r="AB30" s="264"/>
      <c r="AC30" s="278"/>
      <c r="AD30" s="278"/>
      <c r="AE30" s="278"/>
      <c r="AF30" s="278"/>
      <c r="AG30" s="278"/>
      <c r="AH30" s="279"/>
      <c r="AI30" s="278"/>
      <c r="AJ30" s="278"/>
      <c r="AK30" s="278"/>
      <c r="AL30" s="278"/>
      <c r="AM30" s="278"/>
      <c r="AN30" s="278"/>
      <c r="AO30" s="278"/>
      <c r="AP30" s="278"/>
      <c r="AQ30" s="278"/>
      <c r="AR30" s="278"/>
      <c r="AS30" s="278"/>
      <c r="AT30" s="278"/>
      <c r="AU30" s="278"/>
      <c r="AV30" s="210"/>
      <c r="AW30" s="210"/>
      <c r="AX30" s="210"/>
      <c r="AY30" s="210"/>
      <c r="AZ30" s="210"/>
      <c r="BA30" s="210"/>
      <c r="BB30" s="210"/>
      <c r="BC30" s="210"/>
      <c r="BD30" s="210"/>
      <c r="BE30" s="210"/>
      <c r="BF30" s="210"/>
      <c r="BG30" s="210"/>
      <c r="BH30" s="210"/>
      <c r="BI30" s="210"/>
      <c r="BJ30" s="210"/>
      <c r="BK30" s="210"/>
      <c r="BL30" s="210"/>
      <c r="BM30" s="210"/>
      <c r="BN30" s="210"/>
      <c r="BO30" s="210"/>
      <c r="BP30" s="210"/>
      <c r="BQ30" s="210"/>
      <c r="BR30" s="210"/>
      <c r="BS30" s="210"/>
      <c r="BT30" s="210"/>
      <c r="BU30" s="210"/>
      <c r="BV30" s="210"/>
      <c r="BW30" s="210"/>
      <c r="BX30" s="210"/>
      <c r="BY30" s="210"/>
      <c r="BZ30" s="210"/>
      <c r="CA30" s="210"/>
      <c r="CB30" s="210"/>
      <c r="CC30" s="210"/>
      <c r="CD30" s="210"/>
      <c r="CE30" s="210"/>
      <c r="CF30" s="210"/>
      <c r="CG30" s="210"/>
      <c r="CH30" s="210"/>
      <c r="CI30" s="210"/>
      <c r="CJ30" s="210"/>
      <c r="CK30" s="210"/>
      <c r="CL30" s="210"/>
      <c r="CM30" s="210"/>
      <c r="CN30" s="210"/>
      <c r="CO30" s="210"/>
      <c r="CP30" s="210"/>
      <c r="CQ30" s="210"/>
      <c r="CR30" s="210"/>
      <c r="CS30" s="210"/>
      <c r="CT30" s="210"/>
      <c r="CU30" s="210"/>
      <c r="CV30" s="210"/>
      <c r="CW30" s="210"/>
      <c r="CX30" s="210"/>
      <c r="CY30" s="210"/>
      <c r="CZ30" s="210"/>
      <c r="DA30" s="210"/>
      <c r="DB30" s="210"/>
      <c r="DC30" s="210"/>
      <c r="DD30" s="210"/>
      <c r="DE30" s="210"/>
      <c r="DF30" s="210"/>
      <c r="DG30" s="210"/>
      <c r="DH30" s="210"/>
      <c r="DI30" s="210"/>
      <c r="DJ30" s="210"/>
      <c r="DK30" s="210"/>
      <c r="DL30" s="210"/>
      <c r="DM30" s="210"/>
      <c r="DN30" s="210"/>
      <c r="DO30" s="210"/>
      <c r="DP30" s="210"/>
      <c r="DQ30" s="210"/>
      <c r="DR30" s="210"/>
      <c r="DS30" s="210"/>
      <c r="DT30" s="210"/>
      <c r="DU30" s="210"/>
      <c r="DV30" s="210"/>
      <c r="DW30" s="210"/>
      <c r="DX30" s="210"/>
      <c r="DY30" s="210"/>
      <c r="DZ30" s="210"/>
      <c r="EA30" s="210"/>
      <c r="EB30" s="210"/>
      <c r="EC30" s="210"/>
      <c r="ED30" s="210"/>
      <c r="EE30" s="210"/>
      <c r="EF30" s="210"/>
      <c r="EG30" s="210"/>
      <c r="EH30" s="210"/>
      <c r="EI30" s="210"/>
      <c r="EJ30" s="210"/>
      <c r="EK30" s="210"/>
      <c r="EL30" s="210"/>
      <c r="EM30" s="210"/>
      <c r="EN30" s="210"/>
      <c r="EO30" s="210"/>
      <c r="EP30" s="210"/>
      <c r="EQ30" s="210"/>
      <c r="ER30" s="210"/>
      <c r="ES30" s="210"/>
      <c r="ET30" s="210"/>
      <c r="EU30" s="210"/>
      <c r="EV30" s="210"/>
      <c r="EW30" s="210"/>
      <c r="EX30" s="210"/>
      <c r="EY30" s="210"/>
      <c r="EZ30" s="210"/>
      <c r="FA30" s="210"/>
      <c r="FB30" s="210"/>
      <c r="FC30" s="210"/>
      <c r="FD30" s="210"/>
      <c r="FE30" s="210"/>
      <c r="FF30" s="210"/>
      <c r="FG30" s="210"/>
      <c r="FH30" s="210"/>
      <c r="FI30" s="210"/>
      <c r="FJ30" s="210"/>
      <c r="FK30" s="210"/>
      <c r="FL30" s="210"/>
      <c r="FM30" s="210"/>
      <c r="FN30" s="210"/>
      <c r="FO30" s="210"/>
      <c r="FP30" s="210"/>
      <c r="FQ30" s="210"/>
      <c r="FR30" s="210"/>
      <c r="FS30" s="210"/>
      <c r="FT30" s="210"/>
      <c r="FU30" s="210"/>
      <c r="FV30" s="210"/>
      <c r="FW30" s="210"/>
      <c r="FX30" s="210"/>
      <c r="FY30" s="210"/>
      <c r="FZ30" s="210"/>
      <c r="GA30" s="210"/>
      <c r="GB30" s="210"/>
      <c r="GC30" s="210"/>
      <c r="GD30" s="210"/>
      <c r="GE30" s="210"/>
      <c r="GF30" s="210"/>
      <c r="GG30" s="210"/>
      <c r="GH30" s="210"/>
      <c r="GI30" s="210"/>
      <c r="GJ30" s="210"/>
      <c r="GK30" s="210"/>
      <c r="GL30" s="210"/>
      <c r="GM30" s="210"/>
      <c r="GN30" s="210"/>
      <c r="GO30" s="210"/>
      <c r="GP30" s="210"/>
      <c r="GQ30" s="210"/>
      <c r="GR30" s="210"/>
      <c r="GS30" s="210"/>
      <c r="GT30" s="210"/>
      <c r="GU30" s="210"/>
      <c r="GV30" s="210"/>
      <c r="GW30" s="210"/>
      <c r="GX30" s="210"/>
      <c r="GY30" s="210"/>
      <c r="GZ30" s="210"/>
      <c r="HA30" s="210"/>
      <c r="HB30" s="210"/>
      <c r="HC30" s="210"/>
      <c r="HD30" s="210"/>
      <c r="HE30" s="210"/>
      <c r="HF30" s="210"/>
      <c r="HG30" s="210"/>
      <c r="HH30" s="210"/>
      <c r="HI30" s="210"/>
      <c r="HJ30" s="210"/>
      <c r="HK30" s="210"/>
      <c r="HL30" s="210"/>
      <c r="HM30" s="210"/>
      <c r="HN30" s="210"/>
      <c r="HO30" s="210"/>
      <c r="HP30" s="210"/>
      <c r="HQ30" s="210"/>
      <c r="HR30" s="210"/>
      <c r="HS30" s="210"/>
      <c r="HT30" s="210"/>
      <c r="HU30" s="210"/>
      <c r="HV30" s="210"/>
      <c r="HW30" s="210"/>
      <c r="HX30" s="210"/>
      <c r="HY30" s="210"/>
      <c r="HZ30" s="210"/>
      <c r="IA30" s="210"/>
      <c r="IB30" s="210"/>
      <c r="IC30" s="210"/>
      <c r="ID30" s="210"/>
      <c r="IE30" s="210"/>
      <c r="IF30" s="210"/>
      <c r="IG30" s="210"/>
      <c r="IH30" s="210"/>
      <c r="II30" s="210"/>
      <c r="IJ30" s="210"/>
      <c r="IK30" s="210"/>
      <c r="IL30" s="210"/>
      <c r="IM30" s="210"/>
      <c r="IN30" s="210"/>
      <c r="IO30" s="210"/>
      <c r="IP30" s="210"/>
      <c r="IQ30" s="210"/>
      <c r="IR30" s="210"/>
      <c r="IS30" s="210"/>
      <c r="IT30" s="210"/>
      <c r="IU30" s="210"/>
      <c r="IV30" s="210"/>
      <c r="IW30" s="210"/>
    </row>
    <row r="31" spans="1:257" s="216" customFormat="1" ht="18.649999999999999" customHeight="1">
      <c r="A31" s="217" t="s">
        <v>364</v>
      </c>
      <c r="B31" s="218">
        <v>0</v>
      </c>
      <c r="C31" s="218">
        <v>0</v>
      </c>
      <c r="D31" s="218">
        <v>0</v>
      </c>
      <c r="E31" s="218">
        <v>0</v>
      </c>
      <c r="F31" s="218">
        <v>0</v>
      </c>
      <c r="G31" s="218">
        <v>0</v>
      </c>
      <c r="H31" s="218">
        <v>0</v>
      </c>
      <c r="I31" s="218">
        <v>0</v>
      </c>
      <c r="J31" s="218">
        <v>0</v>
      </c>
      <c r="K31" s="218">
        <v>0</v>
      </c>
      <c r="L31" s="218">
        <v>0</v>
      </c>
      <c r="M31" s="218">
        <v>0</v>
      </c>
      <c r="N31" s="218">
        <v>0</v>
      </c>
      <c r="O31" s="218">
        <v>0</v>
      </c>
      <c r="P31" s="218">
        <v>0</v>
      </c>
      <c r="Q31" s="218">
        <v>-45.2</v>
      </c>
      <c r="R31" s="218">
        <v>-25.5</v>
      </c>
      <c r="S31" s="218">
        <v>-29.7</v>
      </c>
      <c r="T31" s="218">
        <v>-35.700000000000003</v>
      </c>
      <c r="U31" s="218">
        <v>-46</v>
      </c>
      <c r="V31" s="218">
        <v>-50.4</v>
      </c>
      <c r="W31" s="218">
        <v>-336.6</v>
      </c>
      <c r="X31" s="218">
        <v>-66.400000000000006</v>
      </c>
      <c r="Y31" s="218">
        <v>-73.599999999999994</v>
      </c>
      <c r="Z31" s="218">
        <v>-77</v>
      </c>
      <c r="AA31" s="218">
        <v>-57.7</v>
      </c>
      <c r="AB31" s="220">
        <v>-76.352833301624401</v>
      </c>
      <c r="AC31" s="221">
        <v>-66.099999999999994</v>
      </c>
      <c r="AD31" s="221">
        <v>-100.50973003828143</v>
      </c>
      <c r="AE31" s="221">
        <v>-99.498658511615204</v>
      </c>
      <c r="AF31" s="221">
        <v>-122.842830841389</v>
      </c>
      <c r="AG31" s="221">
        <v>-85.34922832657</v>
      </c>
      <c r="AH31" s="280">
        <f>-(AH4+AH5+AH9+AH27)*0.223</f>
        <v>-76.981896231000007</v>
      </c>
      <c r="AI31" s="221">
        <f t="shared" ref="AI31:AM31" si="22">-(AI4+AI5+AI9+AI10+AI27)*0.223</f>
        <v>-84.094192000000007</v>
      </c>
      <c r="AJ31" s="221">
        <f t="shared" si="22"/>
        <v>-103.85257379362</v>
      </c>
      <c r="AK31" s="221">
        <f t="shared" si="22"/>
        <v>-77.718258299588697</v>
      </c>
      <c r="AL31" s="221">
        <f t="shared" si="22"/>
        <v>-72.627647443790963</v>
      </c>
      <c r="AM31" s="221">
        <f t="shared" si="22"/>
        <v>-53.734971999999999</v>
      </c>
      <c r="AN31" s="221">
        <v>-70.129514034696797</v>
      </c>
      <c r="AO31" s="221">
        <v>-98.195331043509995</v>
      </c>
      <c r="AP31" s="221">
        <f t="shared" ref="AP31:AT31" si="23">-(AP4+AP5+AP9+AP10+AP27)*0.223</f>
        <v>-95.507757760520008</v>
      </c>
      <c r="AQ31" s="221">
        <f t="shared" si="23"/>
        <v>-90.560300000000012</v>
      </c>
      <c r="AR31" s="221">
        <f t="shared" si="23"/>
        <v>-112.31422281820001</v>
      </c>
      <c r="AS31" s="221">
        <f t="shared" si="23"/>
        <v>-257.74340000000001</v>
      </c>
      <c r="AT31" s="221">
        <f t="shared" si="23"/>
        <v>-257.83260000000001</v>
      </c>
      <c r="AU31" s="221">
        <f t="shared" ref="AU31" si="24">-(AU4+AU5+AU9+AU10+AU27)*0.223</f>
        <v>-160.76069999999999</v>
      </c>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0"/>
      <c r="DJ31" s="210"/>
      <c r="DK31" s="210"/>
      <c r="DL31" s="210"/>
      <c r="DM31" s="210"/>
      <c r="DN31" s="210"/>
      <c r="DO31" s="210"/>
      <c r="DP31" s="210"/>
      <c r="DQ31" s="210"/>
      <c r="DR31" s="210"/>
      <c r="DS31" s="210"/>
      <c r="DT31" s="210"/>
      <c r="DU31" s="210"/>
      <c r="DV31" s="210"/>
      <c r="DW31" s="210"/>
      <c r="DX31" s="210"/>
      <c r="DY31" s="210"/>
      <c r="DZ31" s="210"/>
      <c r="EA31" s="210"/>
      <c r="EB31" s="210"/>
      <c r="EC31" s="210"/>
      <c r="ED31" s="210"/>
      <c r="EE31" s="210"/>
      <c r="EF31" s="210"/>
      <c r="EG31" s="210"/>
      <c r="EH31" s="210"/>
      <c r="EI31" s="210"/>
      <c r="EJ31" s="210"/>
      <c r="EK31" s="210"/>
      <c r="EL31" s="210"/>
      <c r="EM31" s="210"/>
      <c r="EN31" s="210"/>
      <c r="EO31" s="210"/>
      <c r="EP31" s="210"/>
      <c r="EQ31" s="210"/>
      <c r="ER31" s="210"/>
      <c r="ES31" s="210"/>
      <c r="ET31" s="210"/>
      <c r="EU31" s="210"/>
      <c r="EV31" s="210"/>
      <c r="EW31" s="210"/>
      <c r="EX31" s="210"/>
      <c r="EY31" s="210"/>
      <c r="EZ31" s="210"/>
      <c r="FA31" s="210"/>
      <c r="FB31" s="210"/>
      <c r="FC31" s="210"/>
      <c r="FD31" s="210"/>
      <c r="FE31" s="210"/>
      <c r="FF31" s="210"/>
      <c r="FG31" s="210"/>
      <c r="FH31" s="210"/>
      <c r="FI31" s="210"/>
      <c r="FJ31" s="210"/>
      <c r="FK31" s="210"/>
      <c r="FL31" s="210"/>
      <c r="FM31" s="210"/>
      <c r="FN31" s="210"/>
      <c r="FO31" s="210"/>
      <c r="FP31" s="210"/>
      <c r="FQ31" s="210"/>
      <c r="FR31" s="210"/>
      <c r="FS31" s="210"/>
      <c r="FT31" s="210"/>
      <c r="FU31" s="210"/>
      <c r="FV31" s="210"/>
      <c r="FW31" s="210"/>
      <c r="FX31" s="210"/>
      <c r="FY31" s="210"/>
      <c r="FZ31" s="210"/>
      <c r="GA31" s="210"/>
      <c r="GB31" s="210"/>
      <c r="GC31" s="210"/>
      <c r="GD31" s="210"/>
      <c r="GE31" s="210"/>
      <c r="GF31" s="210"/>
      <c r="GG31" s="210"/>
      <c r="GH31" s="210"/>
      <c r="GI31" s="210"/>
      <c r="GJ31" s="210"/>
      <c r="GK31" s="210"/>
      <c r="GL31" s="210"/>
      <c r="GM31" s="210"/>
      <c r="GN31" s="210"/>
      <c r="GO31" s="210"/>
      <c r="GP31" s="210"/>
      <c r="GQ31" s="210"/>
      <c r="GR31" s="210"/>
      <c r="GS31" s="210"/>
      <c r="GT31" s="210"/>
      <c r="GU31" s="210"/>
      <c r="GV31" s="210"/>
      <c r="GW31" s="210"/>
      <c r="GX31" s="210"/>
      <c r="GY31" s="210"/>
      <c r="GZ31" s="210"/>
      <c r="HA31" s="210"/>
      <c r="HB31" s="210"/>
      <c r="HC31" s="210"/>
      <c r="HD31" s="210"/>
      <c r="HE31" s="210"/>
      <c r="HF31" s="210"/>
      <c r="HG31" s="210"/>
      <c r="HH31" s="210"/>
      <c r="HI31" s="210"/>
      <c r="HJ31" s="210"/>
      <c r="HK31" s="210"/>
      <c r="HL31" s="210"/>
      <c r="HM31" s="210"/>
      <c r="HN31" s="210"/>
      <c r="HO31" s="210"/>
      <c r="HP31" s="210"/>
      <c r="HQ31" s="210"/>
      <c r="HR31" s="210"/>
      <c r="HS31" s="210"/>
      <c r="HT31" s="210"/>
      <c r="HU31" s="210"/>
      <c r="HV31" s="210"/>
      <c r="HW31" s="210"/>
      <c r="HX31" s="210"/>
      <c r="HY31" s="210"/>
      <c r="HZ31" s="210"/>
      <c r="IA31" s="210"/>
      <c r="IB31" s="210"/>
      <c r="IC31" s="210"/>
      <c r="ID31" s="210"/>
      <c r="IE31" s="210"/>
      <c r="IF31" s="210"/>
      <c r="IG31" s="210"/>
      <c r="IH31" s="210"/>
      <c r="II31" s="210"/>
      <c r="IJ31" s="210"/>
      <c r="IK31" s="210"/>
      <c r="IL31" s="210"/>
      <c r="IM31" s="210"/>
      <c r="IN31" s="210"/>
      <c r="IO31" s="210"/>
      <c r="IP31" s="210"/>
      <c r="IQ31" s="210"/>
      <c r="IR31" s="210"/>
      <c r="IS31" s="210"/>
      <c r="IT31" s="210"/>
      <c r="IU31" s="210"/>
      <c r="IV31" s="210"/>
      <c r="IW31" s="210"/>
    </row>
    <row r="32" spans="1:257" s="216" customFormat="1" ht="18.649999999999999" customHeight="1" thickBot="1">
      <c r="A32" s="225" t="s">
        <v>365</v>
      </c>
      <c r="B32" s="226">
        <v>0</v>
      </c>
      <c r="C32" s="226">
        <v>0</v>
      </c>
      <c r="D32" s="226">
        <v>0</v>
      </c>
      <c r="E32" s="226">
        <v>0</v>
      </c>
      <c r="F32" s="226">
        <v>0</v>
      </c>
      <c r="G32" s="226">
        <v>0</v>
      </c>
      <c r="H32" s="226">
        <v>0</v>
      </c>
      <c r="I32" s="226">
        <v>0</v>
      </c>
      <c r="J32" s="226">
        <v>0</v>
      </c>
      <c r="K32" s="226">
        <v>0</v>
      </c>
      <c r="L32" s="226">
        <v>0</v>
      </c>
      <c r="M32" s="226">
        <v>0</v>
      </c>
      <c r="N32" s="226">
        <v>0</v>
      </c>
      <c r="O32" s="226">
        <v>0</v>
      </c>
      <c r="P32" s="226">
        <v>0</v>
      </c>
      <c r="Q32" s="226">
        <v>0</v>
      </c>
      <c r="R32" s="226">
        <v>0</v>
      </c>
      <c r="S32" s="226">
        <v>0</v>
      </c>
      <c r="T32" s="226">
        <v>0</v>
      </c>
      <c r="U32" s="226">
        <v>0</v>
      </c>
      <c r="V32" s="226">
        <v>0</v>
      </c>
      <c r="W32" s="226">
        <v>-246.5</v>
      </c>
      <c r="X32" s="226">
        <v>0</v>
      </c>
      <c r="Y32" s="226">
        <v>-78.7</v>
      </c>
      <c r="Z32" s="226">
        <v>0</v>
      </c>
      <c r="AA32" s="226">
        <v>0</v>
      </c>
      <c r="AB32" s="281">
        <v>0</v>
      </c>
      <c r="AC32" s="281">
        <v>0</v>
      </c>
      <c r="AD32" s="281">
        <v>0</v>
      </c>
      <c r="AE32" s="281">
        <v>0</v>
      </c>
      <c r="AF32" s="281">
        <v>0</v>
      </c>
      <c r="AG32" s="281">
        <v>0</v>
      </c>
      <c r="AH32" s="282">
        <v>0</v>
      </c>
      <c r="AI32" s="281">
        <v>0</v>
      </c>
      <c r="AJ32" s="281">
        <v>0</v>
      </c>
      <c r="AK32" s="281">
        <v>0</v>
      </c>
      <c r="AL32" s="281">
        <v>0</v>
      </c>
      <c r="AM32" s="281">
        <v>0</v>
      </c>
      <c r="AN32" s="281">
        <v>0</v>
      </c>
      <c r="AO32" s="281">
        <v>0</v>
      </c>
      <c r="AP32" s="281">
        <v>0</v>
      </c>
      <c r="AQ32" s="281"/>
      <c r="AR32" s="281"/>
      <c r="AS32" s="281">
        <v>0</v>
      </c>
      <c r="AT32" s="281">
        <v>0</v>
      </c>
      <c r="AU32" s="281">
        <v>0</v>
      </c>
      <c r="AV32" s="210"/>
      <c r="AW32" s="210"/>
      <c r="AX32" s="210"/>
      <c r="AY32" s="210"/>
      <c r="AZ32" s="210"/>
      <c r="BA32" s="210"/>
      <c r="BB32" s="210"/>
      <c r="BC32" s="210"/>
      <c r="BD32" s="210"/>
      <c r="BE32" s="210"/>
      <c r="BF32" s="210"/>
      <c r="BG32" s="210"/>
      <c r="BH32" s="210"/>
      <c r="BI32" s="210"/>
      <c r="BJ32" s="210"/>
      <c r="BK32" s="210"/>
      <c r="BL32" s="210"/>
      <c r="BM32" s="210"/>
      <c r="BN32" s="210"/>
      <c r="BO32" s="210"/>
      <c r="BP32" s="210"/>
      <c r="BQ32" s="210"/>
      <c r="BR32" s="210"/>
      <c r="BS32" s="210"/>
      <c r="BT32" s="210"/>
      <c r="BU32" s="210"/>
      <c r="BV32" s="210"/>
      <c r="BW32" s="210"/>
      <c r="BX32" s="210"/>
      <c r="BY32" s="210"/>
      <c r="BZ32" s="210"/>
      <c r="CA32" s="210"/>
      <c r="CB32" s="210"/>
      <c r="CC32" s="210"/>
      <c r="CD32" s="210"/>
      <c r="CE32" s="210"/>
      <c r="CF32" s="210"/>
      <c r="CG32" s="210"/>
      <c r="CH32" s="210"/>
      <c r="CI32" s="210"/>
      <c r="CJ32" s="210"/>
      <c r="CK32" s="210"/>
      <c r="CL32" s="210"/>
      <c r="CM32" s="210"/>
      <c r="CN32" s="210"/>
      <c r="CO32" s="210"/>
      <c r="CP32" s="210"/>
      <c r="CQ32" s="210"/>
      <c r="CR32" s="210"/>
      <c r="CS32" s="210"/>
      <c r="CT32" s="210"/>
      <c r="CU32" s="210"/>
      <c r="CV32" s="210"/>
      <c r="CW32" s="210"/>
      <c r="CX32" s="210"/>
      <c r="CY32" s="210"/>
      <c r="CZ32" s="210"/>
      <c r="DA32" s="210"/>
      <c r="DB32" s="210"/>
      <c r="DC32" s="210"/>
      <c r="DD32" s="210"/>
      <c r="DE32" s="210"/>
      <c r="DF32" s="210"/>
      <c r="DG32" s="210"/>
      <c r="DH32" s="210"/>
      <c r="DI32" s="210"/>
      <c r="DJ32" s="210"/>
      <c r="DK32" s="210"/>
      <c r="DL32" s="210"/>
      <c r="DM32" s="210"/>
      <c r="DN32" s="210"/>
      <c r="DO32" s="210"/>
      <c r="DP32" s="210"/>
      <c r="DQ32" s="210"/>
      <c r="DR32" s="210"/>
      <c r="DS32" s="210"/>
      <c r="DT32" s="210"/>
      <c r="DU32" s="210"/>
      <c r="DV32" s="210"/>
      <c r="DW32" s="210"/>
      <c r="DX32" s="210"/>
      <c r="DY32" s="210"/>
      <c r="DZ32" s="210"/>
      <c r="EA32" s="210"/>
      <c r="EB32" s="210"/>
      <c r="EC32" s="210"/>
      <c r="ED32" s="210"/>
      <c r="EE32" s="210"/>
      <c r="EF32" s="210"/>
      <c r="EG32" s="210"/>
      <c r="EH32" s="210"/>
      <c r="EI32" s="210"/>
      <c r="EJ32" s="210"/>
      <c r="EK32" s="210"/>
      <c r="EL32" s="210"/>
      <c r="EM32" s="210"/>
      <c r="EN32" s="210"/>
      <c r="EO32" s="210"/>
      <c r="EP32" s="210"/>
      <c r="EQ32" s="210"/>
      <c r="ER32" s="210"/>
      <c r="ES32" s="210"/>
      <c r="ET32" s="210"/>
      <c r="EU32" s="210"/>
      <c r="EV32" s="210"/>
      <c r="EW32" s="210"/>
      <c r="EX32" s="210"/>
      <c r="EY32" s="210"/>
      <c r="EZ32" s="210"/>
      <c r="FA32" s="210"/>
      <c r="FB32" s="210"/>
      <c r="FC32" s="210"/>
      <c r="FD32" s="210"/>
      <c r="FE32" s="210"/>
      <c r="FF32" s="210"/>
      <c r="FG32" s="210"/>
      <c r="FH32" s="210"/>
      <c r="FI32" s="210"/>
      <c r="FJ32" s="210"/>
      <c r="FK32" s="210"/>
      <c r="FL32" s="210"/>
      <c r="FM32" s="210"/>
      <c r="FN32" s="210"/>
      <c r="FO32" s="210"/>
      <c r="FP32" s="210"/>
      <c r="FQ32" s="210"/>
      <c r="FR32" s="210"/>
      <c r="FS32" s="210"/>
      <c r="FT32" s="210"/>
      <c r="FU32" s="210"/>
      <c r="FV32" s="210"/>
      <c r="FW32" s="210"/>
      <c r="FX32" s="210"/>
      <c r="FY32" s="210"/>
      <c r="FZ32" s="210"/>
      <c r="GA32" s="210"/>
      <c r="GB32" s="210"/>
      <c r="GC32" s="210"/>
      <c r="GD32" s="210"/>
      <c r="GE32" s="210"/>
      <c r="GF32" s="210"/>
      <c r="GG32" s="210"/>
      <c r="GH32" s="210"/>
      <c r="GI32" s="210"/>
      <c r="GJ32" s="210"/>
      <c r="GK32" s="210"/>
      <c r="GL32" s="210"/>
      <c r="GM32" s="210"/>
      <c r="GN32" s="210"/>
      <c r="GO32" s="210"/>
      <c r="GP32" s="210"/>
      <c r="GQ32" s="210"/>
      <c r="GR32" s="210"/>
      <c r="GS32" s="210"/>
      <c r="GT32" s="210"/>
      <c r="GU32" s="210"/>
      <c r="GV32" s="210"/>
      <c r="GW32" s="210"/>
      <c r="GX32" s="210"/>
      <c r="GY32" s="210"/>
      <c r="GZ32" s="210"/>
      <c r="HA32" s="210"/>
      <c r="HB32" s="210"/>
      <c r="HC32" s="210"/>
      <c r="HD32" s="210"/>
      <c r="HE32" s="210"/>
      <c r="HF32" s="210"/>
      <c r="HG32" s="210"/>
      <c r="HH32" s="210"/>
      <c r="HI32" s="210"/>
      <c r="HJ32" s="210"/>
      <c r="HK32" s="210"/>
      <c r="HL32" s="210"/>
      <c r="HM32" s="210"/>
      <c r="HN32" s="210"/>
      <c r="HO32" s="210"/>
      <c r="HP32" s="210"/>
      <c r="HQ32" s="210"/>
      <c r="HR32" s="210"/>
      <c r="HS32" s="210"/>
      <c r="HT32" s="210"/>
      <c r="HU32" s="210"/>
      <c r="HV32" s="210"/>
      <c r="HW32" s="210"/>
      <c r="HX32" s="210"/>
      <c r="HY32" s="210"/>
      <c r="HZ32" s="210"/>
      <c r="IA32" s="210"/>
      <c r="IB32" s="210"/>
      <c r="IC32" s="210"/>
      <c r="ID32" s="210"/>
      <c r="IE32" s="210"/>
      <c r="IF32" s="210"/>
      <c r="IG32" s="210"/>
      <c r="IH32" s="210"/>
      <c r="II32" s="210"/>
      <c r="IJ32" s="210"/>
      <c r="IK32" s="210"/>
      <c r="IL32" s="210"/>
      <c r="IM32" s="210"/>
      <c r="IN32" s="210"/>
      <c r="IO32" s="210"/>
      <c r="IP32" s="210"/>
      <c r="IQ32" s="210"/>
      <c r="IR32" s="210"/>
      <c r="IS32" s="210"/>
      <c r="IT32" s="210"/>
      <c r="IU32" s="210"/>
      <c r="IV32" s="210"/>
      <c r="IW32" s="210"/>
    </row>
    <row r="33" spans="1:257" s="237" customFormat="1" ht="18.649999999999999" customHeight="1" thickBot="1">
      <c r="A33" s="283" t="s">
        <v>366</v>
      </c>
      <c r="B33" s="233">
        <f t="shared" ref="B33:AM33" si="25">SUM(B31:B32)</f>
        <v>0</v>
      </c>
      <c r="C33" s="233">
        <f t="shared" si="25"/>
        <v>0</v>
      </c>
      <c r="D33" s="233">
        <f t="shared" si="25"/>
        <v>0</v>
      </c>
      <c r="E33" s="233">
        <f t="shared" si="25"/>
        <v>0</v>
      </c>
      <c r="F33" s="233">
        <f t="shared" si="25"/>
        <v>0</v>
      </c>
      <c r="G33" s="233">
        <f t="shared" si="25"/>
        <v>0</v>
      </c>
      <c r="H33" s="233">
        <f t="shared" si="25"/>
        <v>0</v>
      </c>
      <c r="I33" s="233">
        <f t="shared" si="25"/>
        <v>0</v>
      </c>
      <c r="J33" s="233">
        <f t="shared" si="25"/>
        <v>0</v>
      </c>
      <c r="K33" s="233">
        <f t="shared" si="25"/>
        <v>0</v>
      </c>
      <c r="L33" s="233">
        <f t="shared" si="25"/>
        <v>0</v>
      </c>
      <c r="M33" s="233">
        <f t="shared" si="25"/>
        <v>0</v>
      </c>
      <c r="N33" s="233">
        <f t="shared" si="25"/>
        <v>0</v>
      </c>
      <c r="O33" s="233">
        <f t="shared" si="25"/>
        <v>0</v>
      </c>
      <c r="P33" s="233">
        <f t="shared" si="25"/>
        <v>0</v>
      </c>
      <c r="Q33" s="233">
        <f t="shared" si="25"/>
        <v>-45.2</v>
      </c>
      <c r="R33" s="233">
        <f t="shared" si="25"/>
        <v>-25.5</v>
      </c>
      <c r="S33" s="233">
        <f t="shared" si="25"/>
        <v>-29.7</v>
      </c>
      <c r="T33" s="233">
        <f t="shared" si="25"/>
        <v>-35.700000000000003</v>
      </c>
      <c r="U33" s="233">
        <f t="shared" si="25"/>
        <v>-46</v>
      </c>
      <c r="V33" s="233">
        <f t="shared" si="25"/>
        <v>-50.4</v>
      </c>
      <c r="W33" s="233">
        <f t="shared" si="25"/>
        <v>-583.1</v>
      </c>
      <c r="X33" s="233">
        <f t="shared" si="25"/>
        <v>-66.400000000000006</v>
      </c>
      <c r="Y33" s="233">
        <f t="shared" si="25"/>
        <v>-152.30000000000001</v>
      </c>
      <c r="Z33" s="233">
        <f t="shared" si="25"/>
        <v>-77</v>
      </c>
      <c r="AA33" s="233">
        <f t="shared" si="25"/>
        <v>-57.7</v>
      </c>
      <c r="AB33" s="284">
        <f t="shared" si="25"/>
        <v>-76.352833301624401</v>
      </c>
      <c r="AC33" s="285">
        <f t="shared" si="25"/>
        <v>-66.099999999999994</v>
      </c>
      <c r="AD33" s="285">
        <f t="shared" si="25"/>
        <v>-100.50973003828143</v>
      </c>
      <c r="AE33" s="285">
        <f t="shared" si="25"/>
        <v>-99.498658511615204</v>
      </c>
      <c r="AF33" s="285">
        <f t="shared" si="25"/>
        <v>-122.842830841389</v>
      </c>
      <c r="AG33" s="234">
        <f>SUM(AG31:AG32)</f>
        <v>-85.34922832657</v>
      </c>
      <c r="AH33" s="235">
        <f t="shared" si="25"/>
        <v>-76.981896231000007</v>
      </c>
      <c r="AI33" s="234">
        <f t="shared" si="25"/>
        <v>-84.094192000000007</v>
      </c>
      <c r="AJ33" s="234">
        <f t="shared" si="25"/>
        <v>-103.85257379362</v>
      </c>
      <c r="AK33" s="234">
        <f t="shared" si="25"/>
        <v>-77.718258299588697</v>
      </c>
      <c r="AL33" s="234">
        <f t="shared" si="25"/>
        <v>-72.627647443790963</v>
      </c>
      <c r="AM33" s="234">
        <f t="shared" si="25"/>
        <v>-53.734971999999999</v>
      </c>
      <c r="AN33" s="234">
        <v>-70.129514034696797</v>
      </c>
      <c r="AO33" s="234">
        <v>-98.195331043509995</v>
      </c>
      <c r="AP33" s="234">
        <f t="shared" ref="AP33:AT33" si="26">SUM(AP31:AP32)</f>
        <v>-95.507757760520008</v>
      </c>
      <c r="AQ33" s="234">
        <f t="shared" si="26"/>
        <v>-90.560300000000012</v>
      </c>
      <c r="AR33" s="234">
        <f t="shared" si="26"/>
        <v>-112.31422281820001</v>
      </c>
      <c r="AS33" s="234">
        <f t="shared" si="26"/>
        <v>-257.74340000000001</v>
      </c>
      <c r="AT33" s="234">
        <f t="shared" si="26"/>
        <v>-257.83260000000001</v>
      </c>
      <c r="AU33" s="234">
        <f t="shared" ref="AU33" si="27">SUM(AU31:AU32)</f>
        <v>-160.76069999999999</v>
      </c>
      <c r="AV33" s="210"/>
      <c r="AW33" s="210"/>
      <c r="AX33" s="210"/>
      <c r="AY33" s="210"/>
      <c r="AZ33" s="210"/>
      <c r="BA33" s="210"/>
      <c r="BB33" s="210"/>
      <c r="BC33" s="210"/>
      <c r="BD33" s="210"/>
      <c r="BE33" s="210"/>
      <c r="BF33" s="210"/>
      <c r="BG33" s="210"/>
      <c r="BH33" s="210"/>
      <c r="BI33" s="210"/>
      <c r="BJ33" s="210"/>
      <c r="BK33" s="210"/>
      <c r="BL33" s="210"/>
      <c r="BM33" s="210"/>
      <c r="BN33" s="210"/>
      <c r="BO33" s="210"/>
      <c r="BP33" s="210"/>
      <c r="BQ33" s="210"/>
      <c r="BR33" s="210"/>
      <c r="BS33" s="210"/>
      <c r="BT33" s="210"/>
      <c r="BU33" s="210"/>
      <c r="BV33" s="210"/>
      <c r="BW33" s="210"/>
      <c r="BX33" s="210"/>
      <c r="BY33" s="210"/>
      <c r="BZ33" s="210"/>
      <c r="CA33" s="210"/>
      <c r="CB33" s="210"/>
      <c r="CC33" s="210"/>
      <c r="CD33" s="210"/>
      <c r="CE33" s="210"/>
      <c r="CF33" s="210"/>
      <c r="CG33" s="210"/>
      <c r="CH33" s="210"/>
      <c r="CI33" s="210"/>
      <c r="CJ33" s="210"/>
      <c r="CK33" s="210"/>
      <c r="CL33" s="210"/>
      <c r="CM33" s="210"/>
      <c r="CN33" s="210"/>
      <c r="CO33" s="210"/>
      <c r="CP33" s="210"/>
      <c r="CQ33" s="210"/>
      <c r="CR33" s="210"/>
      <c r="CS33" s="210"/>
      <c r="CT33" s="210"/>
      <c r="CU33" s="210"/>
      <c r="CV33" s="210"/>
      <c r="CW33" s="210"/>
      <c r="CX33" s="210"/>
      <c r="CY33" s="210"/>
      <c r="CZ33" s="210"/>
      <c r="DA33" s="210"/>
      <c r="DB33" s="210"/>
      <c r="DC33" s="210"/>
      <c r="DD33" s="210"/>
      <c r="DE33" s="210"/>
      <c r="DF33" s="210"/>
      <c r="DG33" s="210"/>
      <c r="DH33" s="210"/>
      <c r="DI33" s="210"/>
      <c r="DJ33" s="210"/>
      <c r="DK33" s="210"/>
      <c r="DL33" s="210"/>
      <c r="DM33" s="210"/>
      <c r="DN33" s="210"/>
      <c r="DO33" s="210"/>
      <c r="DP33" s="210"/>
      <c r="DQ33" s="210"/>
      <c r="DR33" s="210"/>
      <c r="DS33" s="210"/>
      <c r="DT33" s="210"/>
      <c r="DU33" s="210"/>
      <c r="DV33" s="210"/>
      <c r="DW33" s="210"/>
      <c r="DX33" s="210"/>
      <c r="DY33" s="210"/>
      <c r="DZ33" s="210"/>
      <c r="EA33" s="210"/>
      <c r="EB33" s="210"/>
      <c r="EC33" s="210"/>
      <c r="ED33" s="210"/>
      <c r="EE33" s="210"/>
      <c r="EF33" s="210"/>
      <c r="EG33" s="210"/>
      <c r="EH33" s="210"/>
      <c r="EI33" s="210"/>
      <c r="EJ33" s="210"/>
      <c r="EK33" s="210"/>
      <c r="EL33" s="210"/>
      <c r="EM33" s="210"/>
      <c r="EN33" s="210"/>
      <c r="EO33" s="210"/>
      <c r="EP33" s="210"/>
      <c r="EQ33" s="210"/>
      <c r="ER33" s="210"/>
      <c r="ES33" s="210"/>
      <c r="ET33" s="210"/>
      <c r="EU33" s="210"/>
      <c r="EV33" s="210"/>
      <c r="EW33" s="210"/>
      <c r="EX33" s="210"/>
      <c r="EY33" s="210"/>
      <c r="EZ33" s="210"/>
      <c r="FA33" s="210"/>
      <c r="FB33" s="210"/>
      <c r="FC33" s="210"/>
      <c r="FD33" s="210"/>
      <c r="FE33" s="210"/>
      <c r="FF33" s="210"/>
      <c r="FG33" s="210"/>
      <c r="FH33" s="210"/>
      <c r="FI33" s="210"/>
      <c r="FJ33" s="210"/>
      <c r="FK33" s="210"/>
      <c r="FL33" s="210"/>
      <c r="FM33" s="210"/>
      <c r="FN33" s="210"/>
      <c r="FO33" s="210"/>
      <c r="FP33" s="210"/>
      <c r="FQ33" s="210"/>
      <c r="FR33" s="210"/>
      <c r="FS33" s="210"/>
      <c r="FT33" s="210"/>
      <c r="FU33" s="210"/>
      <c r="FV33" s="210"/>
      <c r="FW33" s="210"/>
      <c r="FX33" s="210"/>
      <c r="FY33" s="210"/>
      <c r="FZ33" s="210"/>
      <c r="GA33" s="210"/>
      <c r="GB33" s="210"/>
      <c r="GC33" s="210"/>
      <c r="GD33" s="210"/>
      <c r="GE33" s="210"/>
      <c r="GF33" s="210"/>
      <c r="GG33" s="210"/>
      <c r="GH33" s="210"/>
      <c r="GI33" s="210"/>
      <c r="GJ33" s="210"/>
      <c r="GK33" s="210"/>
      <c r="GL33" s="210"/>
      <c r="GM33" s="210"/>
      <c r="GN33" s="210"/>
      <c r="GO33" s="210"/>
      <c r="GP33" s="210"/>
      <c r="GQ33" s="210"/>
      <c r="GR33" s="210"/>
      <c r="GS33" s="210"/>
      <c r="GT33" s="210"/>
      <c r="GU33" s="210"/>
      <c r="GV33" s="210"/>
      <c r="GW33" s="210"/>
      <c r="GX33" s="210"/>
      <c r="GY33" s="210"/>
      <c r="GZ33" s="210"/>
      <c r="HA33" s="210"/>
      <c r="HB33" s="210"/>
      <c r="HC33" s="210"/>
      <c r="HD33" s="210"/>
      <c r="HE33" s="210"/>
      <c r="HF33" s="210"/>
      <c r="HG33" s="210"/>
      <c r="HH33" s="210"/>
      <c r="HI33" s="210"/>
      <c r="HJ33" s="210"/>
      <c r="HK33" s="210"/>
      <c r="HL33" s="210"/>
      <c r="HM33" s="210"/>
      <c r="HN33" s="210"/>
      <c r="HO33" s="210"/>
      <c r="HP33" s="210"/>
      <c r="HQ33" s="210"/>
      <c r="HR33" s="210"/>
      <c r="HS33" s="210"/>
      <c r="HT33" s="210"/>
      <c r="HU33" s="210"/>
      <c r="HV33" s="210"/>
      <c r="HW33" s="210"/>
      <c r="HX33" s="210"/>
      <c r="HY33" s="210"/>
      <c r="HZ33" s="210"/>
      <c r="IA33" s="210"/>
      <c r="IB33" s="210"/>
      <c r="IC33" s="210"/>
      <c r="ID33" s="210"/>
      <c r="IE33" s="210"/>
      <c r="IF33" s="210"/>
      <c r="IG33" s="210"/>
      <c r="IH33" s="210"/>
      <c r="II33" s="210"/>
      <c r="IJ33" s="210"/>
      <c r="IK33" s="210"/>
      <c r="IL33" s="210"/>
      <c r="IM33" s="210"/>
      <c r="IN33" s="210"/>
      <c r="IO33" s="210"/>
      <c r="IP33" s="210"/>
      <c r="IQ33" s="210"/>
      <c r="IR33" s="210"/>
      <c r="IS33" s="210"/>
      <c r="IT33" s="210"/>
      <c r="IU33" s="210"/>
      <c r="IV33" s="210"/>
      <c r="IW33" s="210"/>
    </row>
    <row r="34" spans="1:257" ht="18.649999999999999" customHeight="1">
      <c r="A34" s="385"/>
      <c r="B34" s="386"/>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286"/>
      <c r="AE34" s="286"/>
      <c r="AF34" s="287"/>
      <c r="AG34" s="287"/>
      <c r="AH34" s="287"/>
      <c r="AI34" s="287"/>
      <c r="AJ34" s="287"/>
      <c r="AK34" s="287"/>
      <c r="AL34" s="287"/>
      <c r="AM34" s="287"/>
      <c r="AN34" s="287"/>
      <c r="AO34" s="287"/>
      <c r="AP34" s="287"/>
      <c r="AQ34" s="287"/>
      <c r="AR34" s="287"/>
      <c r="AS34" s="287"/>
      <c r="AT34" s="287"/>
      <c r="AU34" s="287"/>
      <c r="AV34" s="287"/>
      <c r="AW34" s="287"/>
      <c r="AX34" s="287"/>
      <c r="AY34" s="287"/>
      <c r="AZ34" s="287"/>
      <c r="BA34" s="287"/>
      <c r="BB34" s="287"/>
      <c r="BC34" s="287"/>
      <c r="BD34" s="287"/>
      <c r="BE34" s="287"/>
      <c r="BF34" s="287"/>
      <c r="BG34" s="287"/>
      <c r="BH34" s="287"/>
      <c r="BI34" s="287"/>
      <c r="BJ34" s="287"/>
      <c r="BK34" s="287"/>
      <c r="BL34" s="287"/>
      <c r="BM34" s="287"/>
      <c r="BN34" s="287"/>
      <c r="BO34" s="287"/>
      <c r="BP34" s="287"/>
      <c r="BQ34" s="287"/>
      <c r="BR34" s="287"/>
      <c r="BS34" s="287"/>
      <c r="BT34" s="287"/>
      <c r="BU34" s="287"/>
      <c r="BV34" s="287"/>
      <c r="BW34" s="287"/>
      <c r="BX34" s="287"/>
      <c r="BY34" s="287"/>
      <c r="BZ34" s="287"/>
      <c r="CA34" s="287"/>
      <c r="CB34" s="287"/>
      <c r="CC34" s="287"/>
      <c r="CD34" s="287"/>
      <c r="CE34" s="287"/>
      <c r="CF34" s="287"/>
      <c r="CG34" s="287"/>
      <c r="CH34" s="287"/>
      <c r="CI34" s="287"/>
      <c r="CJ34" s="287"/>
      <c r="CK34" s="287"/>
      <c r="CL34" s="287"/>
      <c r="CM34" s="287"/>
      <c r="CN34" s="287"/>
      <c r="CO34" s="287"/>
      <c r="CP34" s="287"/>
      <c r="CQ34" s="287"/>
      <c r="CR34" s="287"/>
      <c r="CS34" s="287"/>
      <c r="CT34" s="287"/>
      <c r="CU34" s="287"/>
      <c r="CV34" s="287"/>
      <c r="CW34" s="287"/>
      <c r="CX34" s="287"/>
      <c r="CY34" s="287"/>
      <c r="CZ34" s="287"/>
      <c r="DA34" s="287"/>
      <c r="DB34" s="287"/>
      <c r="DC34" s="287"/>
      <c r="DD34" s="287"/>
      <c r="DE34" s="287"/>
      <c r="DF34" s="287"/>
      <c r="DG34" s="287"/>
      <c r="DH34" s="287"/>
      <c r="DI34" s="287"/>
      <c r="DJ34" s="287"/>
      <c r="DK34" s="287"/>
      <c r="DL34" s="287"/>
      <c r="DM34" s="287"/>
      <c r="DN34" s="287"/>
      <c r="DO34" s="287"/>
      <c r="DP34" s="287"/>
      <c r="DQ34" s="287"/>
      <c r="DR34" s="287"/>
      <c r="DS34" s="287"/>
      <c r="DT34" s="287"/>
      <c r="DU34" s="287"/>
      <c r="DV34" s="287"/>
      <c r="DW34" s="287"/>
      <c r="DX34" s="287"/>
      <c r="DY34" s="287"/>
      <c r="DZ34" s="287"/>
      <c r="EA34" s="287"/>
      <c r="EB34" s="287"/>
      <c r="EC34" s="287"/>
      <c r="ED34" s="287"/>
      <c r="EE34" s="287"/>
      <c r="EF34" s="287"/>
      <c r="EG34" s="287"/>
      <c r="EH34" s="287"/>
      <c r="EI34" s="287"/>
      <c r="EJ34" s="287"/>
      <c r="EK34" s="287"/>
      <c r="EL34" s="287"/>
      <c r="EM34" s="287"/>
      <c r="EN34" s="287"/>
      <c r="EO34" s="287"/>
      <c r="EP34" s="287"/>
      <c r="EQ34" s="287"/>
      <c r="ER34" s="287"/>
      <c r="ES34" s="287"/>
      <c r="ET34" s="287"/>
      <c r="EU34" s="287"/>
      <c r="EV34" s="287"/>
      <c r="EW34" s="287"/>
      <c r="EX34" s="287"/>
      <c r="EY34" s="287"/>
      <c r="EZ34" s="287"/>
      <c r="FA34" s="287"/>
      <c r="FB34" s="287"/>
      <c r="FC34" s="287"/>
      <c r="FD34" s="287"/>
      <c r="FE34" s="287"/>
      <c r="FF34" s="287"/>
      <c r="FG34" s="287"/>
      <c r="FH34" s="287"/>
      <c r="FI34" s="287"/>
      <c r="FJ34" s="287"/>
      <c r="FK34" s="287"/>
      <c r="FL34" s="287"/>
      <c r="FM34" s="287"/>
      <c r="FN34" s="287"/>
      <c r="FO34" s="287"/>
      <c r="FP34" s="287"/>
      <c r="FQ34" s="287"/>
      <c r="FR34" s="287"/>
      <c r="FS34" s="287"/>
      <c r="FT34" s="287"/>
      <c r="FU34" s="287"/>
      <c r="FV34" s="287"/>
      <c r="FW34" s="287"/>
      <c r="FX34" s="287"/>
      <c r="FY34" s="287"/>
      <c r="FZ34" s="287"/>
      <c r="GA34" s="287"/>
      <c r="GB34" s="287"/>
      <c r="GC34" s="287"/>
      <c r="GD34" s="287"/>
      <c r="GE34" s="287"/>
      <c r="GF34" s="287"/>
      <c r="GG34" s="287"/>
      <c r="GH34" s="287"/>
      <c r="GI34" s="287"/>
      <c r="GJ34" s="287"/>
      <c r="GK34" s="287"/>
      <c r="GL34" s="287"/>
      <c r="GM34" s="287"/>
      <c r="GN34" s="287"/>
      <c r="GO34" s="287"/>
      <c r="GP34" s="287"/>
      <c r="GQ34" s="287"/>
      <c r="GR34" s="287"/>
      <c r="GS34" s="287"/>
      <c r="GT34" s="287"/>
      <c r="GU34" s="287"/>
      <c r="GV34" s="287"/>
      <c r="GW34" s="287"/>
      <c r="GX34" s="287"/>
      <c r="GY34" s="287"/>
      <c r="GZ34" s="287"/>
      <c r="HA34" s="287"/>
      <c r="HB34" s="287"/>
      <c r="HC34" s="287"/>
      <c r="HD34" s="287"/>
      <c r="HE34" s="287"/>
      <c r="HF34" s="287"/>
      <c r="HG34" s="287"/>
      <c r="HH34" s="287"/>
      <c r="HI34" s="287"/>
      <c r="HJ34" s="287"/>
      <c r="HK34" s="287"/>
      <c r="HL34" s="287"/>
      <c r="HM34" s="287"/>
      <c r="HN34" s="287"/>
      <c r="HO34" s="287"/>
      <c r="HP34" s="287"/>
      <c r="HQ34" s="287"/>
      <c r="HR34" s="287"/>
      <c r="HS34" s="287"/>
      <c r="HT34" s="287"/>
      <c r="HU34" s="287"/>
      <c r="HV34" s="287"/>
      <c r="HW34" s="287"/>
      <c r="HX34" s="287"/>
      <c r="HY34" s="287"/>
      <c r="HZ34" s="287"/>
      <c r="IA34" s="287"/>
      <c r="IB34" s="287"/>
      <c r="IC34" s="287"/>
      <c r="ID34" s="287"/>
      <c r="IE34" s="287"/>
      <c r="IF34" s="287"/>
      <c r="IG34" s="287"/>
      <c r="IH34" s="287"/>
      <c r="II34" s="287"/>
      <c r="IJ34" s="287"/>
      <c r="IK34" s="287"/>
      <c r="IL34" s="287"/>
      <c r="IM34" s="287"/>
      <c r="IN34" s="287"/>
      <c r="IO34" s="287"/>
      <c r="IP34" s="287"/>
      <c r="IQ34" s="287"/>
      <c r="IR34" s="287"/>
      <c r="IS34" s="287"/>
      <c r="IT34" s="287"/>
      <c r="IU34" s="287"/>
      <c r="IV34" s="287"/>
      <c r="IW34" s="287"/>
    </row>
    <row r="35" spans="1:257" ht="54" customHeight="1">
      <c r="A35" s="387" t="s">
        <v>367</v>
      </c>
      <c r="B35" s="387"/>
      <c r="C35" s="387"/>
      <c r="D35" s="387"/>
      <c r="E35" s="387"/>
      <c r="F35" s="387"/>
      <c r="G35" s="387"/>
      <c r="H35" s="387"/>
      <c r="I35" s="387"/>
      <c r="J35" s="387"/>
      <c r="K35" s="387"/>
      <c r="L35" s="387"/>
      <c r="M35" s="387"/>
      <c r="N35" s="387"/>
      <c r="O35" s="387"/>
      <c r="P35" s="387"/>
      <c r="Q35" s="387"/>
      <c r="R35" s="387"/>
      <c r="S35" s="387"/>
      <c r="T35" s="387"/>
      <c r="U35" s="387"/>
      <c r="V35" s="387"/>
      <c r="W35" s="387"/>
      <c r="X35" s="387"/>
      <c r="Y35" s="387"/>
      <c r="Z35" s="387"/>
      <c r="AA35" s="387"/>
      <c r="AB35" s="387"/>
      <c r="AC35" s="387"/>
      <c r="AD35" s="387"/>
      <c r="AE35" s="387"/>
      <c r="AF35" s="387"/>
      <c r="AG35" s="387"/>
      <c r="AH35" s="387"/>
      <c r="AI35" s="387"/>
      <c r="AJ35" s="387"/>
      <c r="AK35" s="387"/>
      <c r="AL35" s="387"/>
      <c r="AM35" s="387"/>
      <c r="AN35" s="387"/>
      <c r="AO35" s="387"/>
      <c r="AP35" s="387"/>
      <c r="AQ35" s="387"/>
      <c r="AR35" s="387"/>
      <c r="AS35" s="387"/>
      <c r="AT35" s="387"/>
      <c r="AU35" s="387"/>
    </row>
    <row r="36" spans="1:257" ht="26.5" customHeight="1">
      <c r="A36" s="388" t="s">
        <v>368</v>
      </c>
      <c r="B36" s="38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c r="AA36" s="388"/>
      <c r="AB36" s="388"/>
      <c r="AC36" s="388"/>
      <c r="AD36" s="388"/>
      <c r="AE36" s="388"/>
      <c r="AF36" s="388"/>
      <c r="AG36" s="388"/>
      <c r="AH36" s="388"/>
      <c r="AI36" s="388"/>
      <c r="AJ36" s="388"/>
      <c r="AK36" s="388"/>
      <c r="AL36" s="388"/>
      <c r="AM36" s="388"/>
      <c r="AN36" s="388"/>
      <c r="AO36" s="388"/>
      <c r="AP36" s="388"/>
      <c r="AQ36" s="388"/>
      <c r="AR36" s="388"/>
      <c r="AS36" s="388"/>
      <c r="AT36" s="388"/>
      <c r="AU36" s="388"/>
    </row>
    <row r="37" spans="1:257" ht="26.15" customHeight="1">
      <c r="A37" s="387" t="s">
        <v>369</v>
      </c>
      <c r="B37" s="387"/>
      <c r="C37" s="387"/>
      <c r="D37" s="387"/>
      <c r="E37" s="387"/>
      <c r="F37" s="387"/>
      <c r="G37" s="387"/>
      <c r="H37" s="387"/>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c r="AJ37" s="387"/>
      <c r="AK37" s="387"/>
      <c r="AL37" s="387"/>
      <c r="AM37" s="387"/>
      <c r="AN37" s="387"/>
      <c r="AO37" s="387"/>
      <c r="AP37" s="387"/>
      <c r="AQ37" s="387"/>
      <c r="AR37" s="387"/>
      <c r="AS37" s="387"/>
      <c r="AT37" s="387"/>
      <c r="AU37" s="387"/>
    </row>
    <row r="38" spans="1:257" ht="38.5" customHeight="1">
      <c r="A38" s="387" t="s">
        <v>370</v>
      </c>
      <c r="B38" s="387"/>
      <c r="C38" s="387"/>
      <c r="D38" s="387"/>
      <c r="E38" s="387"/>
      <c r="F38" s="387"/>
      <c r="G38" s="387"/>
      <c r="H38" s="387"/>
      <c r="I38" s="387"/>
      <c r="J38" s="387"/>
      <c r="K38" s="387"/>
      <c r="L38" s="387"/>
      <c r="M38" s="387"/>
      <c r="N38" s="387"/>
      <c r="O38" s="387"/>
      <c r="P38" s="387"/>
      <c r="Q38" s="387"/>
      <c r="R38" s="387"/>
      <c r="S38" s="387"/>
      <c r="T38" s="387"/>
      <c r="U38" s="387"/>
      <c r="V38" s="387"/>
      <c r="W38" s="387"/>
      <c r="X38" s="387"/>
      <c r="Y38" s="387"/>
      <c r="Z38" s="387"/>
      <c r="AA38" s="387"/>
      <c r="AB38" s="387"/>
      <c r="AC38" s="387"/>
      <c r="AD38" s="387"/>
      <c r="AE38" s="387"/>
      <c r="AF38" s="387"/>
      <c r="AG38" s="387"/>
      <c r="AH38" s="387"/>
      <c r="AI38" s="387"/>
      <c r="AJ38" s="387"/>
      <c r="AK38" s="387"/>
      <c r="AL38" s="387"/>
      <c r="AM38" s="387"/>
      <c r="AN38" s="387"/>
      <c r="AO38" s="387"/>
      <c r="AP38" s="387"/>
      <c r="AQ38" s="387"/>
      <c r="AR38" s="387"/>
      <c r="AS38" s="387"/>
      <c r="AT38" s="387"/>
      <c r="AU38" s="387"/>
    </row>
    <row r="39" spans="1:257" ht="18.649999999999999" customHeight="1">
      <c r="A39" s="380" t="s">
        <v>371</v>
      </c>
      <c r="B39" s="380"/>
      <c r="C39" s="380"/>
      <c r="D39" s="380"/>
      <c r="E39" s="380"/>
      <c r="F39" s="380"/>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0"/>
      <c r="AH39" s="380"/>
      <c r="AI39" s="380"/>
      <c r="AJ39" s="380"/>
      <c r="AK39" s="380"/>
      <c r="AL39" s="380"/>
      <c r="AM39" s="380"/>
      <c r="AN39" s="380"/>
      <c r="AO39" s="380"/>
      <c r="AP39" s="380"/>
      <c r="AQ39" s="380"/>
      <c r="AR39" s="380"/>
      <c r="AS39" s="380"/>
      <c r="AT39" s="380"/>
      <c r="AU39" s="380"/>
    </row>
    <row r="40" spans="1:257" ht="18.649999999999999" customHeight="1">
      <c r="A40" s="381"/>
      <c r="B40" s="381"/>
      <c r="C40" s="381"/>
      <c r="D40" s="381"/>
      <c r="E40" s="381"/>
      <c r="F40" s="381"/>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c r="AF40" s="381"/>
      <c r="AG40" s="381"/>
      <c r="AH40" s="381"/>
      <c r="AI40" s="381"/>
      <c r="AJ40" s="381"/>
      <c r="AK40" s="381"/>
      <c r="AL40" s="381"/>
      <c r="AM40" s="381"/>
      <c r="AN40" s="381"/>
      <c r="AO40" s="381"/>
      <c r="AP40" s="381"/>
      <c r="AQ40" s="381"/>
      <c r="AR40" s="381"/>
      <c r="AS40" s="381"/>
      <c r="AT40" s="381"/>
      <c r="AU40" s="381"/>
    </row>
    <row r="41" spans="1:257" ht="18.649999999999999" customHeight="1">
      <c r="A41" s="288"/>
      <c r="B41" s="288"/>
      <c r="C41" s="288"/>
      <c r="D41" s="288"/>
      <c r="E41" s="288"/>
      <c r="F41" s="288"/>
      <c r="G41" s="288"/>
      <c r="H41" s="288"/>
      <c r="I41" s="288"/>
      <c r="J41" s="288"/>
      <c r="K41" s="288"/>
      <c r="L41" s="288"/>
      <c r="M41" s="288"/>
      <c r="N41" s="288"/>
      <c r="O41" s="288"/>
      <c r="P41" s="288"/>
      <c r="Q41" s="288"/>
      <c r="R41" s="288"/>
      <c r="S41" s="288"/>
      <c r="T41" s="288"/>
      <c r="U41" s="288"/>
      <c r="V41" s="288"/>
      <c r="W41" s="288"/>
      <c r="X41" s="288"/>
      <c r="Y41" s="288"/>
      <c r="Z41" s="288"/>
      <c r="AA41" s="288"/>
      <c r="AB41" s="288"/>
    </row>
    <row r="42" spans="1:257" ht="18.649999999999999" customHeight="1">
      <c r="A42" s="288"/>
      <c r="B42" s="288"/>
      <c r="C42" s="288"/>
      <c r="D42" s="288"/>
      <c r="E42" s="288"/>
      <c r="F42" s="288"/>
      <c r="G42" s="288"/>
      <c r="H42" s="288"/>
      <c r="I42" s="288"/>
      <c r="J42" s="288"/>
      <c r="K42" s="288"/>
      <c r="L42" s="288"/>
      <c r="M42" s="288"/>
      <c r="N42" s="288"/>
      <c r="O42" s="288"/>
      <c r="P42" s="288"/>
      <c r="Q42" s="288"/>
      <c r="R42" s="288"/>
      <c r="S42" s="288"/>
      <c r="T42" s="288"/>
      <c r="U42" s="288"/>
      <c r="V42" s="288"/>
      <c r="W42" s="288"/>
      <c r="X42" s="288"/>
      <c r="Y42" s="288"/>
      <c r="Z42" s="288"/>
      <c r="AA42" s="288"/>
      <c r="AB42" s="288"/>
    </row>
    <row r="43" spans="1:257" ht="18.649999999999999" customHeight="1">
      <c r="A43" s="288"/>
      <c r="B43" s="288"/>
      <c r="C43" s="288"/>
      <c r="D43" s="288"/>
      <c r="E43" s="288"/>
      <c r="F43" s="288"/>
      <c r="G43" s="288"/>
      <c r="H43" s="288"/>
      <c r="I43" s="288"/>
      <c r="J43" s="288"/>
      <c r="K43" s="288"/>
      <c r="L43" s="288"/>
      <c r="M43" s="288"/>
      <c r="N43" s="288"/>
      <c r="O43" s="288"/>
      <c r="P43" s="288"/>
      <c r="Q43" s="288"/>
      <c r="R43" s="288"/>
      <c r="S43" s="288"/>
      <c r="T43" s="288"/>
      <c r="U43" s="288"/>
      <c r="V43" s="288"/>
      <c r="W43" s="288"/>
      <c r="X43" s="288"/>
      <c r="Y43" s="288"/>
      <c r="Z43" s="288"/>
      <c r="AA43" s="288"/>
      <c r="AB43" s="288"/>
    </row>
    <row r="44" spans="1:257" ht="18.649999999999999" customHeight="1">
      <c r="A44" s="288"/>
      <c r="B44" s="288"/>
      <c r="C44" s="288"/>
      <c r="D44" s="288"/>
      <c r="E44" s="288"/>
      <c r="F44" s="288"/>
      <c r="G44" s="288"/>
      <c r="H44" s="288"/>
      <c r="I44" s="288"/>
      <c r="J44" s="288"/>
      <c r="K44" s="288"/>
      <c r="L44" s="288"/>
      <c r="M44" s="288"/>
      <c r="N44" s="288"/>
      <c r="O44" s="288"/>
      <c r="P44" s="288"/>
      <c r="Q44" s="288"/>
      <c r="R44" s="288"/>
      <c r="S44" s="288"/>
      <c r="T44" s="288"/>
      <c r="U44" s="288"/>
      <c r="V44" s="288"/>
      <c r="W44" s="288"/>
      <c r="X44" s="288"/>
      <c r="Y44" s="288"/>
      <c r="Z44" s="288"/>
      <c r="AA44" s="288"/>
      <c r="AB44" s="288"/>
    </row>
    <row r="45" spans="1:257" ht="18.649999999999999" customHeight="1">
      <c r="A45" s="288"/>
      <c r="B45" s="288"/>
      <c r="C45" s="288"/>
      <c r="D45" s="288"/>
      <c r="E45" s="288"/>
      <c r="F45" s="288"/>
      <c r="G45" s="288"/>
      <c r="H45" s="288"/>
      <c r="I45" s="288"/>
      <c r="J45" s="288"/>
      <c r="K45" s="288"/>
      <c r="L45" s="288"/>
      <c r="M45" s="288"/>
      <c r="N45" s="288"/>
      <c r="O45" s="288"/>
      <c r="P45" s="288"/>
      <c r="Q45" s="288"/>
      <c r="R45" s="288"/>
      <c r="S45" s="288"/>
      <c r="T45" s="288"/>
      <c r="U45" s="288"/>
      <c r="V45" s="288"/>
      <c r="W45" s="288"/>
      <c r="X45" s="288"/>
      <c r="Y45" s="288"/>
      <c r="Z45" s="288"/>
      <c r="AA45" s="288"/>
      <c r="AB45" s="288"/>
    </row>
    <row r="46" spans="1:257" ht="18.649999999999999" customHeight="1">
      <c r="A46" s="288"/>
      <c r="B46" s="288"/>
      <c r="C46" s="288"/>
      <c r="D46" s="288"/>
      <c r="E46" s="288"/>
      <c r="F46" s="288"/>
      <c r="G46" s="288"/>
      <c r="H46" s="288"/>
      <c r="I46" s="288"/>
      <c r="J46" s="288"/>
      <c r="K46" s="288"/>
      <c r="L46" s="288"/>
      <c r="M46" s="288"/>
      <c r="N46" s="288"/>
      <c r="O46" s="288"/>
      <c r="P46" s="288"/>
      <c r="Q46" s="288"/>
      <c r="R46" s="288"/>
      <c r="S46" s="288"/>
      <c r="T46" s="288"/>
      <c r="U46" s="288"/>
      <c r="V46" s="288"/>
      <c r="W46" s="288"/>
      <c r="X46" s="288"/>
      <c r="Y46" s="288"/>
      <c r="Z46" s="288"/>
      <c r="AA46" s="288"/>
      <c r="AB46" s="288"/>
    </row>
    <row r="47" spans="1:257" ht="18.649999999999999" customHeight="1">
      <c r="A47" s="288"/>
      <c r="B47" s="288"/>
      <c r="C47" s="288"/>
      <c r="D47" s="288"/>
      <c r="E47" s="288"/>
      <c r="F47" s="288"/>
      <c r="G47" s="288"/>
      <c r="H47" s="288"/>
      <c r="I47" s="288"/>
      <c r="J47" s="288"/>
      <c r="K47" s="288"/>
      <c r="L47" s="288"/>
      <c r="M47" s="288"/>
      <c r="N47" s="288"/>
      <c r="O47" s="288"/>
      <c r="P47" s="288"/>
      <c r="Q47" s="288"/>
      <c r="R47" s="288"/>
      <c r="S47" s="288"/>
      <c r="T47" s="288"/>
      <c r="U47" s="288"/>
      <c r="V47" s="288"/>
      <c r="W47" s="288"/>
      <c r="X47" s="288"/>
      <c r="Y47" s="288"/>
      <c r="Z47" s="288"/>
      <c r="AA47" s="288"/>
      <c r="AB47" s="288"/>
    </row>
    <row r="48" spans="1:257" ht="18.649999999999999" customHeight="1">
      <c r="A48" s="288"/>
      <c r="B48" s="288"/>
      <c r="C48" s="288"/>
      <c r="D48" s="288"/>
      <c r="E48" s="288"/>
      <c r="F48" s="288"/>
      <c r="G48" s="288"/>
      <c r="H48" s="288"/>
      <c r="I48" s="288"/>
      <c r="J48" s="288"/>
      <c r="K48" s="288"/>
      <c r="L48" s="288"/>
      <c r="M48" s="288"/>
      <c r="N48" s="288"/>
      <c r="O48" s="288"/>
      <c r="P48" s="288"/>
      <c r="Q48" s="288"/>
      <c r="R48" s="288"/>
      <c r="S48" s="288"/>
      <c r="T48" s="288"/>
      <c r="U48" s="288"/>
      <c r="V48" s="288"/>
      <c r="W48" s="288"/>
      <c r="X48" s="288"/>
      <c r="Y48" s="288"/>
      <c r="Z48" s="288"/>
      <c r="AA48" s="288"/>
      <c r="AB48" s="288"/>
    </row>
    <row r="49" spans="1:30" ht="18.649999999999999" customHeight="1">
      <c r="A49" s="288"/>
      <c r="B49" s="289">
        <v>3</v>
      </c>
      <c r="C49" s="289">
        <v>4</v>
      </c>
      <c r="D49" s="289">
        <v>5</v>
      </c>
      <c r="E49" s="289">
        <v>6</v>
      </c>
      <c r="F49" s="289">
        <v>7</v>
      </c>
      <c r="G49" s="289">
        <v>8</v>
      </c>
      <c r="H49" s="289">
        <v>9</v>
      </c>
      <c r="I49" s="289">
        <v>10</v>
      </c>
      <c r="J49" s="289">
        <v>11</v>
      </c>
      <c r="K49" s="289">
        <v>12</v>
      </c>
      <c r="L49" s="289">
        <v>13</v>
      </c>
      <c r="M49" s="289">
        <v>14</v>
      </c>
      <c r="N49" s="289">
        <v>15</v>
      </c>
      <c r="O49" s="289">
        <v>16</v>
      </c>
      <c r="P49" s="289">
        <v>17</v>
      </c>
      <c r="Q49" s="289">
        <v>18</v>
      </c>
      <c r="R49" s="289">
        <v>19</v>
      </c>
      <c r="S49" s="289">
        <v>20</v>
      </c>
      <c r="T49" s="289">
        <v>21</v>
      </c>
      <c r="U49" s="289">
        <v>22</v>
      </c>
      <c r="V49" s="289">
        <v>23</v>
      </c>
      <c r="W49" s="289">
        <v>24</v>
      </c>
      <c r="X49" s="289">
        <v>25</v>
      </c>
      <c r="Y49" s="289">
        <v>26</v>
      </c>
      <c r="Z49" s="289">
        <v>27</v>
      </c>
      <c r="AA49" s="289">
        <v>28</v>
      </c>
      <c r="AB49" s="289">
        <v>29</v>
      </c>
      <c r="AC49" s="289">
        <v>30</v>
      </c>
    </row>
    <row r="50" spans="1:30" ht="18.649999999999999" customHeight="1">
      <c r="A50" s="288"/>
      <c r="B50" s="288"/>
      <c r="C50" s="288"/>
      <c r="D50" s="288"/>
      <c r="E50" s="288"/>
      <c r="F50" s="288"/>
      <c r="G50" s="288"/>
      <c r="H50" s="288"/>
      <c r="I50" s="288"/>
      <c r="J50" s="288"/>
      <c r="K50" s="288"/>
      <c r="L50" s="288"/>
      <c r="M50" s="288"/>
      <c r="N50" s="288"/>
      <c r="O50" s="288"/>
      <c r="P50" s="288"/>
      <c r="Q50" s="288"/>
      <c r="R50" s="288"/>
      <c r="S50" s="288"/>
      <c r="T50" s="288"/>
      <c r="U50" s="288"/>
      <c r="V50" s="288"/>
      <c r="W50" s="288"/>
      <c r="X50" s="288"/>
      <c r="Y50" s="288"/>
      <c r="Z50" s="288"/>
      <c r="AA50" s="288"/>
      <c r="AB50" s="288"/>
    </row>
    <row r="51" spans="1:30" ht="18.649999999999999" customHeight="1">
      <c r="AD51" s="209"/>
    </row>
    <row r="52" spans="1:30" ht="18.649999999999999" customHeight="1">
      <c r="AD52" s="209"/>
    </row>
    <row r="53" spans="1:30" ht="18.649999999999999" customHeight="1">
      <c r="AD53" s="209"/>
    </row>
    <row r="54" spans="1:30" ht="18.649999999999999" customHeight="1">
      <c r="AD54" s="209"/>
    </row>
    <row r="55" spans="1:30" ht="18.649999999999999" customHeight="1">
      <c r="AD55" s="209"/>
    </row>
    <row r="56" spans="1:30" ht="18.649999999999999" customHeight="1">
      <c r="AD56" s="209"/>
    </row>
    <row r="57" spans="1:30" ht="18.649999999999999" customHeight="1">
      <c r="AD57" s="209"/>
    </row>
    <row r="58" spans="1:30" ht="18.649999999999999" customHeight="1">
      <c r="AD58" s="209"/>
    </row>
    <row r="59" spans="1:30" ht="18.649999999999999" customHeight="1">
      <c r="AD59" s="209"/>
    </row>
    <row r="60" spans="1:30" ht="18.649999999999999" customHeight="1">
      <c r="AD60" s="209"/>
    </row>
    <row r="61" spans="1:30" ht="18.649999999999999" customHeight="1">
      <c r="AD61" s="209"/>
    </row>
    <row r="62" spans="1:30" ht="18.649999999999999" customHeight="1">
      <c r="AD62" s="209"/>
    </row>
    <row r="63" spans="1:30" ht="18.649999999999999" customHeight="1">
      <c r="AD63" s="209"/>
    </row>
    <row r="64" spans="1:30" ht="18.649999999999999" customHeight="1">
      <c r="AD64" s="209"/>
    </row>
    <row r="65" spans="1:30" ht="18.649999999999999" customHeight="1">
      <c r="AD65" s="209"/>
    </row>
    <row r="66" spans="1:30" ht="18.649999999999999" customHeight="1">
      <c r="AD66" s="209"/>
    </row>
    <row r="67" spans="1:30" ht="18.649999999999999" customHeight="1">
      <c r="AD67" s="209"/>
    </row>
    <row r="68" spans="1:30" ht="18.649999999999999" customHeight="1">
      <c r="AD68" s="209"/>
    </row>
    <row r="69" spans="1:30" ht="18.649999999999999" customHeight="1">
      <c r="AD69" s="209"/>
    </row>
    <row r="70" spans="1:30" ht="18.649999999999999" customHeight="1">
      <c r="AD70" s="209"/>
    </row>
    <row r="71" spans="1:30" ht="18.649999999999999" customHeight="1">
      <c r="A71" s="208"/>
      <c r="AC71" s="209"/>
      <c r="AD71" s="209"/>
    </row>
    <row r="72" spans="1:30" ht="18.649999999999999" customHeight="1">
      <c r="A72" s="208"/>
      <c r="AC72" s="209"/>
      <c r="AD72" s="209"/>
    </row>
    <row r="73" spans="1:30" ht="18.649999999999999" customHeight="1">
      <c r="A73" s="208"/>
      <c r="AC73" s="209"/>
      <c r="AD73" s="209"/>
    </row>
    <row r="74" spans="1:30" ht="18.649999999999999" customHeight="1">
      <c r="A74" s="208"/>
      <c r="AC74" s="209"/>
      <c r="AD74" s="209"/>
    </row>
    <row r="75" spans="1:30" ht="18.649999999999999" customHeight="1">
      <c r="A75" s="208"/>
      <c r="AC75" s="209"/>
      <c r="AD75" s="209"/>
    </row>
    <row r="76" spans="1:30" ht="18.649999999999999" customHeight="1">
      <c r="A76" s="208"/>
      <c r="AC76" s="209"/>
      <c r="AD76" s="209"/>
    </row>
    <row r="77" spans="1:30" ht="18.649999999999999" customHeight="1">
      <c r="A77" s="208"/>
      <c r="AC77" s="209"/>
      <c r="AD77" s="209"/>
    </row>
    <row r="78" spans="1:30" ht="18.649999999999999" customHeight="1">
      <c r="A78" s="208"/>
      <c r="AC78" s="209"/>
      <c r="AD78" s="209"/>
    </row>
    <row r="79" spans="1:30" ht="18.649999999999999" customHeight="1">
      <c r="A79" s="208"/>
      <c r="AC79" s="209"/>
      <c r="AD79" s="209"/>
    </row>
    <row r="80" spans="1:30" ht="18.649999999999999" customHeight="1">
      <c r="A80" s="208"/>
      <c r="AC80" s="209"/>
      <c r="AD80" s="209"/>
    </row>
    <row r="81" spans="1:30" ht="18.649999999999999" customHeight="1">
      <c r="A81" s="208"/>
      <c r="AC81" s="209"/>
      <c r="AD81" s="209"/>
    </row>
    <row r="82" spans="1:30" ht="18.649999999999999" customHeight="1">
      <c r="A82" s="208"/>
      <c r="AC82" s="209"/>
      <c r="AD82" s="209"/>
    </row>
    <row r="83" spans="1:30" ht="18.649999999999999" customHeight="1">
      <c r="A83" s="208"/>
      <c r="AC83" s="209"/>
      <c r="AD83" s="209"/>
    </row>
    <row r="84" spans="1:30" ht="18.649999999999999" customHeight="1">
      <c r="A84" s="208"/>
      <c r="AC84" s="209"/>
      <c r="AD84" s="209"/>
    </row>
    <row r="85" spans="1:30" ht="18.649999999999999" customHeight="1">
      <c r="A85" s="208"/>
      <c r="AC85" s="209"/>
      <c r="AD85" s="209"/>
    </row>
    <row r="86" spans="1:30" ht="18.649999999999999" customHeight="1">
      <c r="A86" s="208"/>
      <c r="AC86" s="209"/>
      <c r="AD86" s="209"/>
    </row>
    <row r="87" spans="1:30" ht="18.649999999999999" customHeight="1">
      <c r="A87" s="208"/>
      <c r="AC87" s="209"/>
      <c r="AD87" s="209"/>
    </row>
    <row r="88" spans="1:30" ht="18.649999999999999" customHeight="1">
      <c r="A88" s="208"/>
      <c r="AC88" s="209"/>
      <c r="AD88" s="209"/>
    </row>
    <row r="89" spans="1:30" ht="18.649999999999999" customHeight="1">
      <c r="A89" s="208"/>
      <c r="AC89" s="209"/>
      <c r="AD89" s="209"/>
    </row>
    <row r="90" spans="1:30" ht="18.649999999999999" customHeight="1">
      <c r="A90" s="208"/>
      <c r="AC90" s="209"/>
      <c r="AD90" s="209"/>
    </row>
    <row r="91" spans="1:30" ht="18.649999999999999" customHeight="1">
      <c r="A91" s="208"/>
      <c r="AC91" s="209"/>
      <c r="AD91" s="209"/>
    </row>
    <row r="92" spans="1:30" ht="18.649999999999999" customHeight="1">
      <c r="A92" s="208"/>
      <c r="AC92" s="209"/>
      <c r="AD92" s="209"/>
    </row>
  </sheetData>
  <mergeCells count="8">
    <mergeCell ref="A39:AU39"/>
    <mergeCell ref="A40:AU40"/>
    <mergeCell ref="A1:Z1"/>
    <mergeCell ref="A34:AC34"/>
    <mergeCell ref="A35:AU35"/>
    <mergeCell ref="A36:AU36"/>
    <mergeCell ref="A37:AU37"/>
    <mergeCell ref="A38:AU38"/>
  </mergeCells>
  <hyperlinks>
    <hyperlink ref="A39:AU39" r:id="rId1" location="page=95" display="5) Data from https://www.bpa.gov/-/media/Aep/finance/budget-submission-to-congress/annual-congressional-budget.pdf#page=95" xr:uid="{BCF41173-2A49-4D20-9C32-14C440C0EC31}"/>
  </hyperlinks>
  <pageMargins left="0.25" right="0.25" top="0.75" bottom="0.75" header="0.3" footer="0.3"/>
  <pageSetup scale="42" orientation="landscape" r:id="rId2"/>
  <headerFooter alignWithMargins="0"/>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S54"/>
  <sheetViews>
    <sheetView topLeftCell="AD1" workbookViewId="0">
      <selection activeCell="Z19" sqref="Z19"/>
    </sheetView>
  </sheetViews>
  <sheetFormatPr defaultColWidth="9.1796875" defaultRowHeight="12.5"/>
  <cols>
    <col min="1" max="1" width="33.26953125" style="2" customWidth="1"/>
    <col min="2" max="2" width="9.26953125" style="2" customWidth="1"/>
    <col min="3" max="3" width="10.1796875" style="2" customWidth="1"/>
    <col min="4" max="29" width="9.26953125" style="2" customWidth="1"/>
    <col min="30" max="30" width="10.26953125" style="2" customWidth="1"/>
    <col min="31" max="31" width="11.54296875" style="2" customWidth="1"/>
    <col min="32" max="36" width="10.26953125" style="2" bestFit="1" customWidth="1"/>
    <col min="37" max="37" width="10.26953125" style="2" customWidth="1"/>
    <col min="38" max="38" width="9.1796875" style="2"/>
    <col min="39" max="40" width="9.453125" style="2" bestFit="1" customWidth="1"/>
    <col min="41" max="16384" width="9.1796875" style="2"/>
  </cols>
  <sheetData>
    <row r="1" spans="1:42" ht="13">
      <c r="A1" s="14" t="s">
        <v>372</v>
      </c>
      <c r="B1" s="15"/>
      <c r="C1" s="15"/>
      <c r="D1" s="15"/>
    </row>
    <row r="3" spans="1:42" s="3" customFormat="1" ht="15">
      <c r="A3" s="1" t="s">
        <v>373</v>
      </c>
    </row>
    <row r="4" spans="1:42" s="3" customFormat="1"/>
    <row r="5" spans="1:42" s="3" customFormat="1">
      <c r="B5" s="6" t="s">
        <v>374</v>
      </c>
      <c r="C5" s="6">
        <v>1981</v>
      </c>
      <c r="D5" s="6">
        <v>1982</v>
      </c>
      <c r="E5" s="6">
        <v>1983</v>
      </c>
      <c r="F5" s="6">
        <v>1984</v>
      </c>
      <c r="G5" s="6">
        <v>1985</v>
      </c>
      <c r="H5" s="6">
        <v>1986</v>
      </c>
      <c r="I5" s="6">
        <v>1987</v>
      </c>
      <c r="J5" s="6">
        <v>1988</v>
      </c>
      <c r="K5" s="6">
        <v>1989</v>
      </c>
      <c r="L5" s="6">
        <v>1990</v>
      </c>
      <c r="M5" s="6">
        <v>1991</v>
      </c>
      <c r="N5" s="6">
        <v>1992</v>
      </c>
      <c r="O5" s="6">
        <v>1993</v>
      </c>
      <c r="P5" s="6">
        <v>1994</v>
      </c>
      <c r="Q5" s="6">
        <v>1995</v>
      </c>
      <c r="R5" s="6">
        <v>1996</v>
      </c>
      <c r="S5" s="6">
        <v>1997</v>
      </c>
      <c r="T5" s="6">
        <v>1998</v>
      </c>
      <c r="U5" s="6">
        <v>1999</v>
      </c>
      <c r="V5" s="6">
        <v>2000</v>
      </c>
      <c r="W5" s="6">
        <v>2001</v>
      </c>
      <c r="X5" s="6">
        <v>2002</v>
      </c>
      <c r="Y5" s="6">
        <v>2003</v>
      </c>
      <c r="Z5" s="6">
        <v>2004</v>
      </c>
      <c r="AA5" s="6">
        <v>2005</v>
      </c>
      <c r="AB5" s="6">
        <v>2006</v>
      </c>
      <c r="AC5" s="6">
        <v>2007</v>
      </c>
      <c r="AD5" s="6">
        <v>2008</v>
      </c>
      <c r="AE5" s="6">
        <v>2009</v>
      </c>
      <c r="AF5" s="6">
        <v>2010</v>
      </c>
      <c r="AG5" s="6">
        <v>2011</v>
      </c>
      <c r="AH5" s="6">
        <v>2012</v>
      </c>
      <c r="AI5" s="6">
        <v>2013</v>
      </c>
      <c r="AJ5" s="6">
        <v>2014</v>
      </c>
      <c r="AK5" s="6">
        <v>2015</v>
      </c>
      <c r="AL5" s="6">
        <v>2016</v>
      </c>
      <c r="AM5" s="6">
        <v>2017</v>
      </c>
      <c r="AN5" s="5">
        <v>2018</v>
      </c>
      <c r="AO5" s="3" t="s">
        <v>375</v>
      </c>
    </row>
    <row r="6" spans="1:42" s="3" customFormat="1">
      <c r="A6" s="3" t="s">
        <v>376</v>
      </c>
      <c r="B6" s="4">
        <f>B18</f>
        <v>0</v>
      </c>
      <c r="C6" s="4">
        <f t="shared" ref="C6:AN6" si="0">B6+C18</f>
        <v>0</v>
      </c>
      <c r="D6" s="4">
        <f t="shared" si="0"/>
        <v>0</v>
      </c>
      <c r="E6" s="4">
        <f t="shared" si="0"/>
        <v>0</v>
      </c>
      <c r="F6" s="4">
        <f t="shared" si="0"/>
        <v>12</v>
      </c>
      <c r="G6" s="4">
        <f t="shared" si="0"/>
        <v>29</v>
      </c>
      <c r="H6" s="4">
        <f t="shared" si="0"/>
        <v>103</v>
      </c>
      <c r="I6" s="4">
        <f t="shared" si="0"/>
        <v>114</v>
      </c>
      <c r="J6" s="4">
        <f t="shared" si="0"/>
        <v>154</v>
      </c>
      <c r="K6" s="4">
        <f t="shared" si="0"/>
        <v>194</v>
      </c>
      <c r="L6" s="4">
        <f t="shared" si="0"/>
        <v>234</v>
      </c>
      <c r="M6" s="4">
        <f t="shared" si="0"/>
        <v>274</v>
      </c>
      <c r="N6" s="4">
        <f t="shared" si="0"/>
        <v>333</v>
      </c>
      <c r="O6" s="4">
        <f t="shared" si="0"/>
        <v>437</v>
      </c>
      <c r="P6" s="4">
        <f t="shared" si="0"/>
        <v>548.70000000000005</v>
      </c>
      <c r="Q6" s="4">
        <f t="shared" si="0"/>
        <v>612.20000000000005</v>
      </c>
      <c r="R6" s="4">
        <f t="shared" si="0"/>
        <v>612.20000000000005</v>
      </c>
      <c r="S6" s="4">
        <f t="shared" si="0"/>
        <v>612.20000000000005</v>
      </c>
      <c r="T6" s="4">
        <f t="shared" si="0"/>
        <v>617.6</v>
      </c>
      <c r="U6" s="4">
        <f t="shared" si="0"/>
        <v>665.2</v>
      </c>
      <c r="V6" s="4">
        <f t="shared" si="0"/>
        <v>730</v>
      </c>
      <c r="W6" s="4">
        <f t="shared" si="0"/>
        <v>2119.6</v>
      </c>
      <c r="X6" s="4">
        <f t="shared" si="0"/>
        <v>2267.4</v>
      </c>
      <c r="Y6" s="4">
        <f t="shared" si="0"/>
        <v>2438.5</v>
      </c>
      <c r="Z6" s="4">
        <f t="shared" si="0"/>
        <v>2629.5</v>
      </c>
      <c r="AA6" s="4">
        <f t="shared" si="0"/>
        <v>2740.3</v>
      </c>
      <c r="AB6" s="4">
        <f t="shared" si="0"/>
        <v>2908.4776403128003</v>
      </c>
      <c r="AC6" s="4">
        <f t="shared" si="0"/>
        <v>3029.1676403128004</v>
      </c>
      <c r="AD6" s="4">
        <f t="shared" si="0"/>
        <v>3304.1151715013721</v>
      </c>
      <c r="AE6" s="4">
        <f t="shared" si="0"/>
        <v>3544.4265926055655</v>
      </c>
      <c r="AF6" s="4">
        <f t="shared" si="0"/>
        <v>3854.4929987687915</v>
      </c>
      <c r="AG6" s="4">
        <f t="shared" si="0"/>
        <v>3925.1834749287914</v>
      </c>
      <c r="AH6" s="4">
        <f t="shared" si="0"/>
        <v>3963.6334749287912</v>
      </c>
      <c r="AI6" s="4">
        <f t="shared" si="0"/>
        <v>4049.4374749287913</v>
      </c>
      <c r="AJ6" s="4">
        <f t="shared" si="0"/>
        <v>4245.589253548791</v>
      </c>
      <c r="AK6" s="4">
        <f t="shared" si="0"/>
        <v>4313.070576635243</v>
      </c>
      <c r="AL6" s="4">
        <f t="shared" si="0"/>
        <v>4363.3616128404046</v>
      </c>
      <c r="AM6" s="4">
        <f t="shared" si="0"/>
        <v>4342.8256128404046</v>
      </c>
      <c r="AN6" s="4">
        <f t="shared" si="0"/>
        <v>4367.086273836534</v>
      </c>
    </row>
    <row r="7" spans="1:42" s="3" customFormat="1">
      <c r="A7" s="3" t="s">
        <v>377</v>
      </c>
      <c r="B7" s="4">
        <f t="shared" ref="B7:B10" si="1">B19</f>
        <v>0</v>
      </c>
      <c r="C7" s="4">
        <f t="shared" ref="C7:AN7" si="2">B7+C19</f>
        <v>3</v>
      </c>
      <c r="D7" s="4">
        <f t="shared" si="2"/>
        <v>17</v>
      </c>
      <c r="E7" s="4">
        <f t="shared" si="2"/>
        <v>18</v>
      </c>
      <c r="F7" s="4">
        <f t="shared" si="2"/>
        <v>26</v>
      </c>
      <c r="G7" s="4">
        <f t="shared" si="2"/>
        <v>53</v>
      </c>
      <c r="H7" s="4">
        <f t="shared" si="2"/>
        <v>72</v>
      </c>
      <c r="I7" s="4">
        <f t="shared" si="2"/>
        <v>81</v>
      </c>
      <c r="J7" s="4">
        <f t="shared" si="2"/>
        <v>91</v>
      </c>
      <c r="K7" s="4">
        <f t="shared" si="2"/>
        <v>106</v>
      </c>
      <c r="L7" s="4">
        <f t="shared" si="2"/>
        <v>121</v>
      </c>
      <c r="M7" s="4">
        <f t="shared" si="2"/>
        <v>136</v>
      </c>
      <c r="N7" s="4">
        <f t="shared" si="2"/>
        <v>159</v>
      </c>
      <c r="O7" s="4">
        <f t="shared" si="2"/>
        <v>204</v>
      </c>
      <c r="P7" s="4">
        <f t="shared" si="2"/>
        <v>266</v>
      </c>
      <c r="Q7" s="4">
        <f t="shared" si="2"/>
        <v>273.10000000000002</v>
      </c>
      <c r="R7" s="4">
        <f t="shared" si="2"/>
        <v>354.8</v>
      </c>
      <c r="S7" s="4">
        <f t="shared" si="2"/>
        <v>462.6</v>
      </c>
      <c r="T7" s="4">
        <f t="shared" si="2"/>
        <v>579.1</v>
      </c>
      <c r="U7" s="4">
        <f t="shared" si="2"/>
        <v>776.90000000000009</v>
      </c>
      <c r="V7" s="4">
        <f t="shared" si="2"/>
        <v>970.00000000000011</v>
      </c>
      <c r="W7" s="4">
        <f t="shared" si="2"/>
        <v>1085.9000000000001</v>
      </c>
      <c r="X7" s="4">
        <f t="shared" si="2"/>
        <v>1098.5</v>
      </c>
      <c r="Y7" s="4">
        <f t="shared" si="2"/>
        <v>1177.7</v>
      </c>
      <c r="Z7" s="4">
        <f t="shared" si="2"/>
        <v>1199.4000000000001</v>
      </c>
      <c r="AA7" s="4">
        <f t="shared" si="2"/>
        <v>1381.5</v>
      </c>
      <c r="AB7" s="4">
        <f t="shared" si="2"/>
        <v>1778.9380996800001</v>
      </c>
      <c r="AC7" s="4">
        <f t="shared" si="2"/>
        <v>2061.5630996800001</v>
      </c>
      <c r="AD7" s="4">
        <f t="shared" si="2"/>
        <v>2335.0825265371427</v>
      </c>
      <c r="AE7" s="4">
        <f t="shared" si="2"/>
        <v>2477.8965265371426</v>
      </c>
      <c r="AF7" s="4">
        <f t="shared" si="2"/>
        <v>2577.3274901139166</v>
      </c>
      <c r="AG7" s="4">
        <f t="shared" si="2"/>
        <v>2734.0094936139167</v>
      </c>
      <c r="AH7" s="4">
        <f t="shared" si="2"/>
        <v>2886.2094936139165</v>
      </c>
      <c r="AI7" s="4">
        <f t="shared" si="2"/>
        <v>3021.7174936139163</v>
      </c>
      <c r="AJ7" s="4">
        <f t="shared" si="2"/>
        <v>3144.4618380929487</v>
      </c>
      <c r="AK7" s="4">
        <f t="shared" si="2"/>
        <v>3340.2572852013359</v>
      </c>
      <c r="AL7" s="4">
        <f t="shared" si="2"/>
        <v>3416.8991706426264</v>
      </c>
      <c r="AM7" s="4">
        <f t="shared" si="2"/>
        <v>3426.4991706426263</v>
      </c>
      <c r="AN7" s="4">
        <f t="shared" si="2"/>
        <v>3429.3991706426264</v>
      </c>
    </row>
    <row r="8" spans="1:42" s="3" customFormat="1">
      <c r="A8" s="3" t="s">
        <v>378</v>
      </c>
      <c r="B8" s="4">
        <f t="shared" si="1"/>
        <v>15</v>
      </c>
      <c r="C8" s="4">
        <f t="shared" ref="C8:AN8" si="3">B8+C20</f>
        <v>21.1</v>
      </c>
      <c r="D8" s="4">
        <f t="shared" si="3"/>
        <v>32.6</v>
      </c>
      <c r="E8" s="4">
        <f t="shared" si="3"/>
        <v>46.8</v>
      </c>
      <c r="F8" s="4">
        <f t="shared" si="3"/>
        <v>62.8</v>
      </c>
      <c r="G8" s="4">
        <f t="shared" si="3"/>
        <v>82.699999999999989</v>
      </c>
      <c r="H8" s="4">
        <f t="shared" si="3"/>
        <v>106.39999999999999</v>
      </c>
      <c r="I8" s="4">
        <f t="shared" si="3"/>
        <v>136.1</v>
      </c>
      <c r="J8" s="4">
        <f t="shared" si="3"/>
        <v>155.1</v>
      </c>
      <c r="K8" s="4">
        <f t="shared" si="3"/>
        <v>178.7</v>
      </c>
      <c r="L8" s="4">
        <f t="shared" si="3"/>
        <v>202.1</v>
      </c>
      <c r="M8" s="4">
        <f t="shared" si="3"/>
        <v>226.4</v>
      </c>
      <c r="N8" s="4">
        <f t="shared" si="3"/>
        <v>254.8</v>
      </c>
      <c r="O8" s="4">
        <f t="shared" si="3"/>
        <v>285.3</v>
      </c>
      <c r="P8" s="4">
        <f t="shared" si="3"/>
        <v>320.2</v>
      </c>
      <c r="Q8" s="4">
        <f t="shared" si="3"/>
        <v>356.3</v>
      </c>
      <c r="R8" s="4">
        <f t="shared" si="3"/>
        <v>391.7</v>
      </c>
      <c r="S8" s="4">
        <f t="shared" si="3"/>
        <v>427.6</v>
      </c>
      <c r="T8" s="4">
        <f t="shared" si="3"/>
        <v>463.98</v>
      </c>
      <c r="U8" s="4">
        <f t="shared" si="3"/>
        <v>502.88</v>
      </c>
      <c r="V8" s="4">
        <f t="shared" si="3"/>
        <v>540.48</v>
      </c>
      <c r="W8" s="4">
        <f t="shared" si="3"/>
        <v>582.98</v>
      </c>
      <c r="X8" s="4">
        <f t="shared" si="3"/>
        <v>633.89</v>
      </c>
      <c r="Y8" s="4">
        <f t="shared" si="3"/>
        <v>686.44499999999994</v>
      </c>
      <c r="Z8" s="4">
        <f t="shared" si="3"/>
        <v>743.64499999999998</v>
      </c>
      <c r="AA8" s="4">
        <f t="shared" si="3"/>
        <v>801.56499999999994</v>
      </c>
      <c r="AB8" s="4">
        <f t="shared" si="3"/>
        <v>862.21499999999992</v>
      </c>
      <c r="AC8" s="4">
        <f t="shared" si="3"/>
        <v>922.4799999999999</v>
      </c>
      <c r="AD8" s="4">
        <f t="shared" si="3"/>
        <v>984.70249999999987</v>
      </c>
      <c r="AE8" s="4">
        <f t="shared" si="3"/>
        <v>1048.9724999999999</v>
      </c>
      <c r="AF8" s="4">
        <f t="shared" si="3"/>
        <v>1118.6734873599999</v>
      </c>
      <c r="AG8" s="4">
        <f t="shared" si="3"/>
        <v>1192.9385881399999</v>
      </c>
      <c r="AH8" s="4">
        <f t="shared" si="3"/>
        <v>1265.9485881399999</v>
      </c>
      <c r="AI8" s="4">
        <f t="shared" si="3"/>
        <v>1344.4485881399999</v>
      </c>
      <c r="AJ8" s="4">
        <f t="shared" si="3"/>
        <v>1434.7485881399998</v>
      </c>
      <c r="AK8" s="4">
        <f t="shared" si="3"/>
        <v>1519.6140736399998</v>
      </c>
      <c r="AL8" s="4">
        <f t="shared" si="3"/>
        <v>1607.7994219599998</v>
      </c>
      <c r="AM8" s="4">
        <f t="shared" si="3"/>
        <v>1693.0222221549998</v>
      </c>
      <c r="AN8" s="4">
        <f t="shared" si="3"/>
        <v>1782.8988112399998</v>
      </c>
    </row>
    <row r="9" spans="1:42" s="3" customFormat="1">
      <c r="A9" s="3" t="s">
        <v>379</v>
      </c>
      <c r="B9" s="4">
        <f t="shared" si="1"/>
        <v>2.2999999999999998</v>
      </c>
      <c r="C9" s="4">
        <f t="shared" ref="C9:AN9" si="4">B9+C21</f>
        <v>4.5999999999999996</v>
      </c>
      <c r="D9" s="4">
        <f t="shared" si="4"/>
        <v>9.1999999999999993</v>
      </c>
      <c r="E9" s="4">
        <f t="shared" si="4"/>
        <v>18.299999999999997</v>
      </c>
      <c r="F9" s="4">
        <f t="shared" si="4"/>
        <v>37.9</v>
      </c>
      <c r="G9" s="4">
        <f t="shared" si="4"/>
        <v>53.8</v>
      </c>
      <c r="H9" s="4">
        <f t="shared" si="4"/>
        <v>73.400000000000006</v>
      </c>
      <c r="I9" s="4">
        <f t="shared" si="4"/>
        <v>95.600000000000009</v>
      </c>
      <c r="J9" s="4">
        <f t="shared" si="4"/>
        <v>114.4</v>
      </c>
      <c r="K9" s="4">
        <f t="shared" si="4"/>
        <v>137.4</v>
      </c>
      <c r="L9" s="4">
        <f t="shared" si="4"/>
        <v>170.2</v>
      </c>
      <c r="M9" s="4">
        <f t="shared" si="4"/>
        <v>203.2</v>
      </c>
      <c r="N9" s="4">
        <f t="shared" si="4"/>
        <v>270.2</v>
      </c>
      <c r="O9" s="4">
        <f t="shared" si="4"/>
        <v>319.8</v>
      </c>
      <c r="P9" s="4">
        <f t="shared" si="4"/>
        <v>375.7</v>
      </c>
      <c r="Q9" s="4">
        <f t="shared" si="4"/>
        <v>447.1</v>
      </c>
      <c r="R9" s="4">
        <f t="shared" si="4"/>
        <v>515.6</v>
      </c>
      <c r="S9" s="4">
        <f t="shared" si="4"/>
        <v>597.80000000000007</v>
      </c>
      <c r="T9" s="4">
        <f t="shared" si="4"/>
        <v>702.7</v>
      </c>
      <c r="U9" s="4">
        <f t="shared" si="4"/>
        <v>810.90000000000009</v>
      </c>
      <c r="V9" s="4">
        <f t="shared" si="4"/>
        <v>919.10000000000014</v>
      </c>
      <c r="W9" s="4">
        <f t="shared" si="4"/>
        <v>1020.2000000000002</v>
      </c>
      <c r="X9" s="4">
        <f t="shared" si="4"/>
        <v>1157.3000000000002</v>
      </c>
      <c r="Y9" s="4">
        <f t="shared" si="4"/>
        <v>1298.0000000000002</v>
      </c>
      <c r="Z9" s="4">
        <f t="shared" si="4"/>
        <v>1435.9000000000003</v>
      </c>
      <c r="AA9" s="4">
        <f t="shared" si="4"/>
        <v>1571.7000000000003</v>
      </c>
      <c r="AB9" s="4">
        <f t="shared" si="4"/>
        <v>1709.6000000000004</v>
      </c>
      <c r="AC9" s="4">
        <f t="shared" si="4"/>
        <v>1849.0820000000003</v>
      </c>
      <c r="AD9" s="4">
        <f t="shared" si="4"/>
        <v>1997.9794339400003</v>
      </c>
      <c r="AE9" s="4">
        <f t="shared" si="4"/>
        <v>2175.8388767700003</v>
      </c>
      <c r="AF9" s="4">
        <f t="shared" si="4"/>
        <v>2375.4210898000001</v>
      </c>
      <c r="AG9" s="4">
        <f t="shared" si="4"/>
        <v>2596.47471404</v>
      </c>
      <c r="AH9" s="4">
        <f t="shared" si="4"/>
        <v>2845.4047140399998</v>
      </c>
      <c r="AI9" s="4">
        <f t="shared" si="4"/>
        <v>3084.4047140399998</v>
      </c>
      <c r="AJ9" s="4">
        <f t="shared" si="4"/>
        <v>3316.2061960399997</v>
      </c>
      <c r="AK9" s="4">
        <f t="shared" si="4"/>
        <v>3574.3834078699997</v>
      </c>
      <c r="AL9" s="4">
        <f t="shared" si="4"/>
        <v>3832.5255977999996</v>
      </c>
      <c r="AM9" s="4">
        <f t="shared" si="4"/>
        <v>4087.2298052899996</v>
      </c>
      <c r="AN9" s="4">
        <f t="shared" si="4"/>
        <v>4345.9344566299997</v>
      </c>
    </row>
    <row r="10" spans="1:42" s="3" customFormat="1">
      <c r="A10" s="3" t="s">
        <v>380</v>
      </c>
      <c r="B10" s="4">
        <f t="shared" si="1"/>
        <v>24</v>
      </c>
      <c r="C10" s="4">
        <f t="shared" ref="C10:AN10" si="5">B10+C22</f>
        <v>32.799999999999997</v>
      </c>
      <c r="D10" s="4">
        <f t="shared" si="5"/>
        <v>45.199999999999996</v>
      </c>
      <c r="E10" s="4">
        <f t="shared" si="5"/>
        <v>61.099999999999994</v>
      </c>
      <c r="F10" s="4">
        <f t="shared" si="5"/>
        <v>77.699999999999989</v>
      </c>
      <c r="G10" s="4">
        <f t="shared" si="5"/>
        <v>97.399999999999991</v>
      </c>
      <c r="H10" s="4">
        <f t="shared" si="5"/>
        <v>119.5</v>
      </c>
      <c r="I10" s="4">
        <f t="shared" si="5"/>
        <v>148</v>
      </c>
      <c r="J10" s="4">
        <f t="shared" si="5"/>
        <v>179</v>
      </c>
      <c r="K10" s="4">
        <f t="shared" si="5"/>
        <v>210.9</v>
      </c>
      <c r="L10" s="4">
        <f t="shared" si="5"/>
        <v>245.2</v>
      </c>
      <c r="M10" s="4">
        <f t="shared" si="5"/>
        <v>283.39999999999998</v>
      </c>
      <c r="N10" s="4">
        <f t="shared" si="5"/>
        <v>325.29999999999995</v>
      </c>
      <c r="O10" s="4">
        <f t="shared" si="5"/>
        <v>378.9</v>
      </c>
      <c r="P10" s="4">
        <f t="shared" si="5"/>
        <v>440.2</v>
      </c>
      <c r="Q10" s="4">
        <f t="shared" si="5"/>
        <v>503.79999999999995</v>
      </c>
      <c r="R10" s="4">
        <f t="shared" si="5"/>
        <v>576.9</v>
      </c>
      <c r="S10" s="4">
        <f t="shared" si="5"/>
        <v>653.19999999999993</v>
      </c>
      <c r="T10" s="4">
        <f t="shared" si="5"/>
        <v>727.3</v>
      </c>
      <c r="U10" s="4">
        <f t="shared" si="5"/>
        <v>803.4</v>
      </c>
      <c r="V10" s="4">
        <f t="shared" si="5"/>
        <v>879.69999999999993</v>
      </c>
      <c r="W10" s="4">
        <f t="shared" si="5"/>
        <v>957.9</v>
      </c>
      <c r="X10" s="4">
        <f t="shared" si="5"/>
        <v>1036.0999999999999</v>
      </c>
      <c r="Y10" s="4">
        <f t="shared" si="5"/>
        <v>1116.5999999999999</v>
      </c>
      <c r="Z10" s="4">
        <f t="shared" si="5"/>
        <v>1202</v>
      </c>
      <c r="AA10" s="4">
        <f t="shared" si="5"/>
        <v>1291.7</v>
      </c>
      <c r="AB10" s="4">
        <f t="shared" si="5"/>
        <v>1379.2</v>
      </c>
      <c r="AC10" s="4">
        <f t="shared" si="5"/>
        <v>1492.1100000000001</v>
      </c>
      <c r="AD10" s="4">
        <f t="shared" si="5"/>
        <v>1608.3100000000002</v>
      </c>
      <c r="AE10" s="4">
        <f t="shared" si="5"/>
        <v>1728.3100000000002</v>
      </c>
      <c r="AF10" s="4">
        <f t="shared" si="5"/>
        <v>1851.8261102145098</v>
      </c>
      <c r="AG10" s="4">
        <f t="shared" si="5"/>
        <v>1978.9986920591759</v>
      </c>
      <c r="AH10" s="4">
        <f t="shared" si="5"/>
        <v>2110.4986920591759</v>
      </c>
      <c r="AI10" s="4">
        <f t="shared" si="5"/>
        <v>2253.898692059176</v>
      </c>
      <c r="AJ10" s="4">
        <f t="shared" si="5"/>
        <v>2395.1986920591762</v>
      </c>
      <c r="AK10" s="4">
        <f t="shared" si="5"/>
        <v>2545.7774713522472</v>
      </c>
      <c r="AL10" s="4">
        <f t="shared" si="5"/>
        <v>2693.99445848705</v>
      </c>
      <c r="AM10" s="4">
        <f t="shared" si="5"/>
        <v>2815.371941085838</v>
      </c>
      <c r="AN10" s="4">
        <f t="shared" si="5"/>
        <v>2920.4450397831351</v>
      </c>
    </row>
    <row r="11" spans="1:42" s="3" customFormat="1">
      <c r="A11" s="5" t="s">
        <v>381</v>
      </c>
      <c r="B11" s="4">
        <f>SUM(B6:B10)</f>
        <v>41.3</v>
      </c>
      <c r="C11" s="4">
        <v>76.599999999999994</v>
      </c>
      <c r="D11" s="4">
        <v>168.4</v>
      </c>
      <c r="E11" s="4">
        <v>247.8</v>
      </c>
      <c r="F11" s="4">
        <v>312.39999999999998</v>
      </c>
      <c r="G11" s="4">
        <v>448.8</v>
      </c>
      <c r="H11" s="4">
        <v>602.20000000000005</v>
      </c>
      <c r="I11" s="4">
        <v>757.4</v>
      </c>
      <c r="J11" s="4">
        <v>860.5</v>
      </c>
      <c r="K11" s="4">
        <v>975.7</v>
      </c>
      <c r="L11" s="4">
        <v>1107.5999999999999</v>
      </c>
      <c r="M11" s="4">
        <v>1241.5999999999999</v>
      </c>
      <c r="N11" s="4">
        <v>1431.1</v>
      </c>
      <c r="O11" s="4">
        <v>1763.3</v>
      </c>
      <c r="P11" s="4">
        <v>2087.6999999999998</v>
      </c>
      <c r="Q11" s="4">
        <v>2337.4</v>
      </c>
      <c r="R11" s="4">
        <v>2594.1</v>
      </c>
      <c r="S11" s="4">
        <v>2805.5</v>
      </c>
      <c r="T11" s="4">
        <v>3090.7</v>
      </c>
      <c r="U11" s="4">
        <v>3512</v>
      </c>
      <c r="V11" s="4">
        <v>3992</v>
      </c>
      <c r="W11" s="4">
        <v>5719.3</v>
      </c>
      <c r="X11" s="4">
        <v>6146.1</v>
      </c>
      <c r="Y11" s="4">
        <v>6670.2</v>
      </c>
      <c r="Z11" s="4">
        <v>7163.4</v>
      </c>
      <c r="AA11" s="4">
        <v>7738.7</v>
      </c>
      <c r="AB11" s="4">
        <v>8590.4</v>
      </c>
      <c r="AC11" s="4">
        <v>9306.4</v>
      </c>
      <c r="AD11" s="4">
        <v>10182.1</v>
      </c>
      <c r="AE11" s="4">
        <v>10927.4</v>
      </c>
      <c r="AF11" s="4">
        <v>11729.7</v>
      </c>
      <c r="AG11" s="4">
        <v>12435.3</v>
      </c>
      <c r="AH11" s="4">
        <f t="shared" ref="AH11:AN11" si="6">SUM(AH6:AH10)</f>
        <v>13071.694962781883</v>
      </c>
      <c r="AI11" s="4">
        <f t="shared" si="6"/>
        <v>13753.906962781883</v>
      </c>
      <c r="AJ11" s="4">
        <f t="shared" si="6"/>
        <v>14536.204567880915</v>
      </c>
      <c r="AK11" s="4">
        <f t="shared" si="6"/>
        <v>15293.102814698825</v>
      </c>
      <c r="AL11" s="4">
        <f t="shared" si="6"/>
        <v>15914.58026173008</v>
      </c>
      <c r="AM11" s="4">
        <f t="shared" si="6"/>
        <v>16364.948752013866</v>
      </c>
      <c r="AN11" s="4">
        <f t="shared" si="6"/>
        <v>16845.763752132294</v>
      </c>
      <c r="AP11" s="3">
        <v>16845.763752132294</v>
      </c>
    </row>
    <row r="12" spans="1:42" s="3" customFormat="1">
      <c r="A12" s="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row>
    <row r="13" spans="1:42" s="3" customFormat="1">
      <c r="A13" s="3" t="s">
        <v>382</v>
      </c>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row>
    <row r="14" spans="1:42" s="3" customFormat="1">
      <c r="A14" s="13" t="s">
        <v>383</v>
      </c>
      <c r="B14" s="4">
        <f>B24</f>
        <v>30</v>
      </c>
      <c r="C14" s="4">
        <f>B14+C24</f>
        <v>47.9</v>
      </c>
      <c r="D14" s="4">
        <f t="shared" ref="D14:AN14" si="7">C14+D24</f>
        <v>109.6</v>
      </c>
      <c r="E14" s="4">
        <f t="shared" si="7"/>
        <v>164.7</v>
      </c>
      <c r="F14" s="4">
        <f t="shared" si="7"/>
        <v>173.7</v>
      </c>
      <c r="G14" s="4">
        <f t="shared" si="7"/>
        <v>230.29999999999998</v>
      </c>
      <c r="H14" s="4">
        <f t="shared" si="7"/>
        <v>247.39999999999998</v>
      </c>
      <c r="I14" s="4">
        <f t="shared" si="7"/>
        <v>330.7</v>
      </c>
      <c r="J14" s="4">
        <f t="shared" si="7"/>
        <v>346</v>
      </c>
      <c r="K14" s="4">
        <f t="shared" si="7"/>
        <v>359.6</v>
      </c>
      <c r="L14" s="4">
        <f t="shared" si="7"/>
        <v>380.3</v>
      </c>
      <c r="M14" s="4">
        <f t="shared" si="7"/>
        <v>402</v>
      </c>
      <c r="N14" s="4">
        <f t="shared" si="7"/>
        <v>414.1</v>
      </c>
      <c r="O14" s="4">
        <f t="shared" si="7"/>
        <v>517.20000000000005</v>
      </c>
      <c r="P14" s="4">
        <f t="shared" si="7"/>
        <v>577.1</v>
      </c>
      <c r="Q14" s="4">
        <f t="shared" si="7"/>
        <v>648.9</v>
      </c>
      <c r="R14" s="4">
        <f t="shared" si="7"/>
        <v>720</v>
      </c>
      <c r="S14" s="4">
        <f t="shared" si="7"/>
        <v>705.5</v>
      </c>
      <c r="T14" s="4">
        <f t="shared" si="7"/>
        <v>727.5</v>
      </c>
      <c r="U14" s="4">
        <f t="shared" si="7"/>
        <v>756.3</v>
      </c>
      <c r="V14" s="4">
        <f t="shared" si="7"/>
        <v>817.19999999999993</v>
      </c>
      <c r="W14" s="4">
        <f t="shared" si="7"/>
        <v>839.9</v>
      </c>
      <c r="X14" s="4">
        <f t="shared" si="7"/>
        <v>854.8</v>
      </c>
      <c r="Y14" s="4">
        <f t="shared" si="7"/>
        <v>934.8</v>
      </c>
      <c r="Z14" s="4">
        <f t="shared" si="7"/>
        <v>1019.1999999999999</v>
      </c>
      <c r="AA14" s="4">
        <f t="shared" si="7"/>
        <v>1085.1999999999998</v>
      </c>
      <c r="AB14" s="4">
        <f t="shared" si="7"/>
        <v>1481.4999999999998</v>
      </c>
      <c r="AC14" s="4">
        <f t="shared" si="7"/>
        <v>1578.1059999999998</v>
      </c>
      <c r="AD14" s="4">
        <f t="shared" si="7"/>
        <v>1642.2773130699998</v>
      </c>
      <c r="AE14" s="4">
        <f t="shared" si="7"/>
        <v>1805.9887742999997</v>
      </c>
      <c r="AF14" s="4">
        <f t="shared" si="7"/>
        <v>1903.6048668099997</v>
      </c>
      <c r="AG14" s="4">
        <f t="shared" si="7"/>
        <v>2097.5427319999999</v>
      </c>
      <c r="AH14" s="4">
        <f t="shared" si="7"/>
        <v>2269.8730289999999</v>
      </c>
      <c r="AI14" s="4">
        <f t="shared" si="7"/>
        <v>2425.5630289999999</v>
      </c>
      <c r="AJ14" s="4">
        <f t="shared" si="7"/>
        <v>2564.71637732</v>
      </c>
      <c r="AK14" s="4">
        <f t="shared" si="7"/>
        <v>2668.8422863199999</v>
      </c>
      <c r="AL14" s="4">
        <f t="shared" si="7"/>
        <v>2720.2148798200001</v>
      </c>
      <c r="AM14" s="4">
        <f t="shared" si="7"/>
        <v>2785.8487883600001</v>
      </c>
      <c r="AN14" s="4">
        <f t="shared" si="7"/>
        <v>2869.0654863600002</v>
      </c>
    </row>
    <row r="15" spans="1:42" s="3" customFormat="1">
      <c r="A15" s="3" t="s">
        <v>384</v>
      </c>
      <c r="B15" s="4">
        <f>B25</f>
        <v>0</v>
      </c>
      <c r="C15" s="4">
        <f>B15+C25</f>
        <v>0</v>
      </c>
      <c r="D15" s="4">
        <f t="shared" ref="D15:AN15" si="8">C15+D25</f>
        <v>0</v>
      </c>
      <c r="E15" s="4">
        <f t="shared" si="8"/>
        <v>0</v>
      </c>
      <c r="F15" s="4">
        <f t="shared" si="8"/>
        <v>0</v>
      </c>
      <c r="G15" s="4">
        <f t="shared" si="8"/>
        <v>0</v>
      </c>
      <c r="H15" s="4">
        <f t="shared" si="8"/>
        <v>0</v>
      </c>
      <c r="I15" s="4">
        <f t="shared" si="8"/>
        <v>0</v>
      </c>
      <c r="J15" s="4">
        <f t="shared" si="8"/>
        <v>0</v>
      </c>
      <c r="K15" s="4">
        <f t="shared" si="8"/>
        <v>0</v>
      </c>
      <c r="L15" s="4">
        <f t="shared" si="8"/>
        <v>0</v>
      </c>
      <c r="M15" s="4">
        <f t="shared" si="8"/>
        <v>0</v>
      </c>
      <c r="N15" s="4">
        <f t="shared" si="8"/>
        <v>0</v>
      </c>
      <c r="O15" s="4">
        <f t="shared" si="8"/>
        <v>0</v>
      </c>
      <c r="P15" s="4">
        <f t="shared" si="8"/>
        <v>0</v>
      </c>
      <c r="Q15" s="4">
        <f t="shared" si="8"/>
        <v>-45.2</v>
      </c>
      <c r="R15" s="4">
        <f t="shared" si="8"/>
        <v>-70.7</v>
      </c>
      <c r="S15" s="4">
        <f t="shared" si="8"/>
        <v>-100.4</v>
      </c>
      <c r="T15" s="4">
        <f t="shared" si="8"/>
        <v>-136.10000000000002</v>
      </c>
      <c r="U15" s="4">
        <f t="shared" si="8"/>
        <v>-182.10000000000002</v>
      </c>
      <c r="V15" s="4">
        <f t="shared" si="8"/>
        <v>-232.50000000000003</v>
      </c>
      <c r="W15" s="4">
        <f t="shared" si="8"/>
        <v>-815.6</v>
      </c>
      <c r="X15" s="4">
        <f t="shared" si="8"/>
        <v>-882</v>
      </c>
      <c r="Y15" s="4">
        <f t="shared" si="8"/>
        <v>-1034.3</v>
      </c>
      <c r="Z15" s="4">
        <f t="shared" si="8"/>
        <v>-1111.3</v>
      </c>
      <c r="AA15" s="4">
        <f t="shared" si="8"/>
        <v>-1169</v>
      </c>
      <c r="AB15" s="4">
        <f t="shared" si="8"/>
        <v>-1245.3528333016243</v>
      </c>
      <c r="AC15" s="4">
        <f t="shared" si="8"/>
        <v>-1311.4528333016242</v>
      </c>
      <c r="AD15" s="4">
        <f t="shared" si="8"/>
        <v>-1411.9625633399057</v>
      </c>
      <c r="AE15" s="4">
        <f t="shared" si="8"/>
        <v>-1511.461221851521</v>
      </c>
      <c r="AF15" s="4">
        <f t="shared" si="8"/>
        <v>-1634.3040526929101</v>
      </c>
      <c r="AG15" s="4">
        <f t="shared" si="8"/>
        <v>-1719.6532810194801</v>
      </c>
      <c r="AH15" s="4">
        <f t="shared" si="8"/>
        <v>-1796.6351772504802</v>
      </c>
      <c r="AI15" s="4">
        <f t="shared" si="8"/>
        <v>-1880.7293692504802</v>
      </c>
      <c r="AJ15" s="4">
        <f t="shared" si="8"/>
        <v>-1984.5819430441002</v>
      </c>
      <c r="AK15" s="4">
        <f t="shared" si="8"/>
        <v>-2062.300201343689</v>
      </c>
      <c r="AL15" s="4">
        <f t="shared" si="8"/>
        <v>-2134.9278487874799</v>
      </c>
      <c r="AM15" s="4">
        <f t="shared" si="8"/>
        <v>-2188.65618192584</v>
      </c>
      <c r="AN15" s="4">
        <f t="shared" si="8"/>
        <v>-2258.7561819258399</v>
      </c>
    </row>
    <row r="16" spans="1:42" s="3" customFormat="1">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row>
    <row r="17" spans="1:45" s="3" customFormat="1">
      <c r="A17" s="9"/>
      <c r="B17" s="10"/>
      <c r="C17" s="10"/>
      <c r="D17" s="10"/>
      <c r="E17" s="10"/>
      <c r="F17" s="10"/>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row>
    <row r="18" spans="1:45" s="3" customFormat="1">
      <c r="A18" s="3" t="s">
        <v>385</v>
      </c>
      <c r="B18" s="4">
        <v>0</v>
      </c>
      <c r="C18" s="4">
        <v>0</v>
      </c>
      <c r="D18" s="4">
        <v>0</v>
      </c>
      <c r="E18" s="4">
        <v>0</v>
      </c>
      <c r="F18" s="4">
        <v>12</v>
      </c>
      <c r="G18" s="4">
        <v>17</v>
      </c>
      <c r="H18" s="4">
        <v>74</v>
      </c>
      <c r="I18" s="4">
        <v>11</v>
      </c>
      <c r="J18" s="4">
        <v>40</v>
      </c>
      <c r="K18" s="4">
        <v>40</v>
      </c>
      <c r="L18" s="4">
        <v>40</v>
      </c>
      <c r="M18" s="4">
        <v>40</v>
      </c>
      <c r="N18" s="4">
        <v>59</v>
      </c>
      <c r="O18" s="4">
        <v>104</v>
      </c>
      <c r="P18" s="4">
        <v>111.7</v>
      </c>
      <c r="Q18" s="4">
        <v>63.5</v>
      </c>
      <c r="R18" s="4">
        <v>0</v>
      </c>
      <c r="S18" s="4">
        <v>0</v>
      </c>
      <c r="T18" s="4">
        <v>5.4</v>
      </c>
      <c r="U18" s="4">
        <v>47.6</v>
      </c>
      <c r="V18" s="4">
        <v>64.8</v>
      </c>
      <c r="W18" s="4">
        <v>1389.6</v>
      </c>
      <c r="X18" s="4">
        <v>147.80000000000001</v>
      </c>
      <c r="Y18" s="4">
        <v>171.1</v>
      </c>
      <c r="Z18" s="4">
        <v>191</v>
      </c>
      <c r="AA18" s="4">
        <v>110.8</v>
      </c>
      <c r="AB18" s="4">
        <v>168.17764031279995</v>
      </c>
      <c r="AC18" s="4">
        <v>120.69</v>
      </c>
      <c r="AD18" s="4">
        <v>274.94753118857147</v>
      </c>
      <c r="AE18" s="4">
        <v>240.31142110419358</v>
      </c>
      <c r="AF18" s="4">
        <v>310.06640616322585</v>
      </c>
      <c r="AG18" s="4">
        <v>70.690476160000003</v>
      </c>
      <c r="AH18" s="4">
        <v>38.450000000000003</v>
      </c>
      <c r="AI18" s="4">
        <v>85.804000000000002</v>
      </c>
      <c r="AJ18" s="4">
        <v>196.15177862000002</v>
      </c>
      <c r="AK18" s="4">
        <v>67.48132308645161</v>
      </c>
      <c r="AL18" s="4">
        <v>50.291036205161291</v>
      </c>
      <c r="AM18" s="4">
        <v>-20.536000000000001</v>
      </c>
      <c r="AN18" s="8">
        <v>24.260660996129033</v>
      </c>
      <c r="AO18" s="3" t="s">
        <v>386</v>
      </c>
    </row>
    <row r="19" spans="1:45" s="3" customFormat="1">
      <c r="A19" s="3" t="s">
        <v>387</v>
      </c>
      <c r="B19" s="4">
        <v>0</v>
      </c>
      <c r="C19" s="4">
        <v>3</v>
      </c>
      <c r="D19" s="4">
        <v>14</v>
      </c>
      <c r="E19" s="4">
        <v>1</v>
      </c>
      <c r="F19" s="4">
        <v>8</v>
      </c>
      <c r="G19" s="4">
        <v>27</v>
      </c>
      <c r="H19" s="4">
        <v>19</v>
      </c>
      <c r="I19" s="4">
        <v>9</v>
      </c>
      <c r="J19" s="4">
        <v>10</v>
      </c>
      <c r="K19" s="4">
        <v>15</v>
      </c>
      <c r="L19" s="4">
        <v>15</v>
      </c>
      <c r="M19" s="4">
        <v>15</v>
      </c>
      <c r="N19" s="4">
        <v>23</v>
      </c>
      <c r="O19" s="4">
        <v>45</v>
      </c>
      <c r="P19" s="4">
        <v>62</v>
      </c>
      <c r="Q19" s="4">
        <v>7.1</v>
      </c>
      <c r="R19" s="4">
        <v>81.7</v>
      </c>
      <c r="S19" s="4">
        <v>107.8</v>
      </c>
      <c r="T19" s="4">
        <v>116.5</v>
      </c>
      <c r="U19" s="4">
        <v>197.8</v>
      </c>
      <c r="V19" s="4">
        <v>193.1</v>
      </c>
      <c r="W19" s="4">
        <v>115.9</v>
      </c>
      <c r="X19" s="4">
        <v>12.6</v>
      </c>
      <c r="Y19" s="4">
        <v>79.2</v>
      </c>
      <c r="Z19" s="4">
        <v>21.7</v>
      </c>
      <c r="AA19" s="4">
        <v>182.1</v>
      </c>
      <c r="AB19" s="4">
        <v>397.43809968000011</v>
      </c>
      <c r="AC19" s="4">
        <v>282.625</v>
      </c>
      <c r="AD19" s="4">
        <v>273.51942685714278</v>
      </c>
      <c r="AE19" s="4">
        <v>142.81399999999999</v>
      </c>
      <c r="AF19" s="4">
        <v>99.430963576774104</v>
      </c>
      <c r="AG19" s="4">
        <v>156.68200350000001</v>
      </c>
      <c r="AH19" s="4">
        <v>152.19999999999999</v>
      </c>
      <c r="AI19" s="4">
        <v>135.50800000000001</v>
      </c>
      <c r="AJ19" s="4">
        <v>122.74434447903229</v>
      </c>
      <c r="AK19" s="4">
        <v>195.79544710838707</v>
      </c>
      <c r="AL19" s="4">
        <v>76.641885441290313</v>
      </c>
      <c r="AM19" s="4">
        <v>9.6</v>
      </c>
      <c r="AN19" s="8">
        <v>2.9</v>
      </c>
      <c r="AO19" s="3" t="s">
        <v>386</v>
      </c>
    </row>
    <row r="20" spans="1:45" s="3" customFormat="1">
      <c r="A20" s="3" t="s">
        <v>388</v>
      </c>
      <c r="B20" s="4">
        <v>15</v>
      </c>
      <c r="C20" s="4">
        <v>6.1</v>
      </c>
      <c r="D20" s="4">
        <v>11.5</v>
      </c>
      <c r="E20" s="4">
        <v>14.2</v>
      </c>
      <c r="F20" s="4">
        <v>16</v>
      </c>
      <c r="G20" s="4">
        <v>19.899999999999999</v>
      </c>
      <c r="H20" s="4">
        <v>23.7</v>
      </c>
      <c r="I20" s="4">
        <v>29.7</v>
      </c>
      <c r="J20" s="4">
        <v>19</v>
      </c>
      <c r="K20" s="4">
        <v>23.6</v>
      </c>
      <c r="L20" s="4">
        <v>23.4</v>
      </c>
      <c r="M20" s="4">
        <v>24.3</v>
      </c>
      <c r="N20" s="4">
        <v>28.4</v>
      </c>
      <c r="O20" s="4">
        <v>30.5</v>
      </c>
      <c r="P20" s="4">
        <v>34.9</v>
      </c>
      <c r="Q20" s="4">
        <v>36.1</v>
      </c>
      <c r="R20" s="4">
        <v>35.4</v>
      </c>
      <c r="S20" s="4">
        <v>35.900000000000006</v>
      </c>
      <c r="T20" s="4">
        <v>36.380000000000003</v>
      </c>
      <c r="U20" s="4">
        <v>38.9</v>
      </c>
      <c r="V20" s="4">
        <v>37.6</v>
      </c>
      <c r="W20" s="4">
        <v>42.5</v>
      </c>
      <c r="X20" s="4">
        <v>50.910000000000004</v>
      </c>
      <c r="Y20" s="4">
        <v>52.555</v>
      </c>
      <c r="Z20" s="4">
        <v>57.199999999999996</v>
      </c>
      <c r="AA20" s="4">
        <v>57.92</v>
      </c>
      <c r="AB20" s="4">
        <v>60.650000000000006</v>
      </c>
      <c r="AC20" s="4">
        <v>60.265000000000001</v>
      </c>
      <c r="AD20" s="4">
        <v>62.222499999999997</v>
      </c>
      <c r="AE20" s="4">
        <v>64.27</v>
      </c>
      <c r="AF20" s="4">
        <v>69.700987359999999</v>
      </c>
      <c r="AG20" s="4">
        <v>74.265100779999997</v>
      </c>
      <c r="AH20" s="4">
        <v>73.010000000000005</v>
      </c>
      <c r="AI20" s="4">
        <v>78.5</v>
      </c>
      <c r="AJ20" s="4">
        <v>90.3</v>
      </c>
      <c r="AK20" s="4">
        <v>84.865485499999991</v>
      </c>
      <c r="AL20" s="4">
        <v>88.185348320000003</v>
      </c>
      <c r="AM20" s="4">
        <v>85.222800195000005</v>
      </c>
      <c r="AN20" s="8">
        <v>89.876589085000006</v>
      </c>
      <c r="AO20" s="3" t="s">
        <v>386</v>
      </c>
    </row>
    <row r="21" spans="1:45" s="3" customFormat="1">
      <c r="A21" s="3" t="s">
        <v>389</v>
      </c>
      <c r="B21" s="4">
        <v>2.2999999999999998</v>
      </c>
      <c r="C21" s="8">
        <v>2.2999999999999998</v>
      </c>
      <c r="D21" s="8">
        <v>4.5999999999999996</v>
      </c>
      <c r="E21" s="8">
        <v>9.1</v>
      </c>
      <c r="F21" s="8">
        <v>19.600000000000001</v>
      </c>
      <c r="G21" s="8">
        <v>15.9</v>
      </c>
      <c r="H21" s="8">
        <v>19.600000000000001</v>
      </c>
      <c r="I21" s="8">
        <v>22.2</v>
      </c>
      <c r="J21" s="8">
        <v>18.8</v>
      </c>
      <c r="K21" s="8">
        <v>23</v>
      </c>
      <c r="L21" s="8">
        <v>32.799999999999997</v>
      </c>
      <c r="M21" s="8">
        <v>33</v>
      </c>
      <c r="N21" s="8">
        <v>67</v>
      </c>
      <c r="O21" s="8">
        <v>49.6</v>
      </c>
      <c r="P21" s="8">
        <v>55.9</v>
      </c>
      <c r="Q21" s="8">
        <v>71.400000000000006</v>
      </c>
      <c r="R21" s="8">
        <v>68.5</v>
      </c>
      <c r="S21" s="8">
        <v>82.2</v>
      </c>
      <c r="T21" s="8">
        <v>104.9</v>
      </c>
      <c r="U21" s="8">
        <v>108.2</v>
      </c>
      <c r="V21" s="8">
        <v>108.2</v>
      </c>
      <c r="W21" s="8">
        <v>101.1</v>
      </c>
      <c r="X21" s="8">
        <v>137.1</v>
      </c>
      <c r="Y21" s="8">
        <v>140.69999999999999</v>
      </c>
      <c r="Z21" s="8">
        <v>137.9</v>
      </c>
      <c r="AA21" s="8">
        <v>135.80000000000001</v>
      </c>
      <c r="AB21" s="8">
        <v>137.9</v>
      </c>
      <c r="AC21" s="8">
        <v>139.482</v>
      </c>
      <c r="AD21" s="8">
        <v>148.89743393999996</v>
      </c>
      <c r="AE21" s="8">
        <v>177.85944282999998</v>
      </c>
      <c r="AF21" s="8">
        <v>199.58221303000002</v>
      </c>
      <c r="AG21" s="8">
        <v>221.05362423999992</v>
      </c>
      <c r="AH21" s="8">
        <v>248.93</v>
      </c>
      <c r="AI21" s="8">
        <v>239</v>
      </c>
      <c r="AJ21" s="8">
        <v>231.80148199999996</v>
      </c>
      <c r="AK21" s="8">
        <v>258.17721182999998</v>
      </c>
      <c r="AL21" s="8">
        <v>258.14218992999997</v>
      </c>
      <c r="AM21" s="8">
        <v>254.70420748999999</v>
      </c>
      <c r="AN21" s="8">
        <v>258.70465134000005</v>
      </c>
      <c r="AO21" s="3" t="s">
        <v>386</v>
      </c>
    </row>
    <row r="22" spans="1:45" s="3" customFormat="1">
      <c r="A22" s="3" t="s">
        <v>390</v>
      </c>
      <c r="B22" s="8">
        <v>24</v>
      </c>
      <c r="C22" s="8">
        <v>8.8000000000000007</v>
      </c>
      <c r="D22" s="8">
        <v>12.399999999999999</v>
      </c>
      <c r="E22" s="8">
        <v>15.899999999999999</v>
      </c>
      <c r="F22" s="8">
        <v>16.599999999999998</v>
      </c>
      <c r="G22" s="8">
        <v>19.7</v>
      </c>
      <c r="H22" s="8">
        <v>22.1</v>
      </c>
      <c r="I22" s="8">
        <v>28.5</v>
      </c>
      <c r="J22" s="8">
        <v>31</v>
      </c>
      <c r="K22" s="8">
        <v>31.9</v>
      </c>
      <c r="L22" s="8">
        <v>34.299999999999997</v>
      </c>
      <c r="M22" s="8">
        <v>38.199999999999996</v>
      </c>
      <c r="N22" s="8">
        <v>41.9</v>
      </c>
      <c r="O22" s="8">
        <v>53.6</v>
      </c>
      <c r="P22" s="8">
        <v>61.3</v>
      </c>
      <c r="Q22" s="8">
        <v>63.599999999999994</v>
      </c>
      <c r="R22" s="8">
        <v>73.100000000000009</v>
      </c>
      <c r="S22" s="8">
        <v>76.3</v>
      </c>
      <c r="T22" s="8">
        <v>74.099999999999994</v>
      </c>
      <c r="U22" s="8">
        <v>76.100000000000009</v>
      </c>
      <c r="V22" s="8">
        <v>76.3</v>
      </c>
      <c r="W22" s="8">
        <v>78.2</v>
      </c>
      <c r="X22" s="8">
        <v>78.2</v>
      </c>
      <c r="Y22" s="8">
        <v>80.5</v>
      </c>
      <c r="Z22" s="8">
        <v>85.399999999999991</v>
      </c>
      <c r="AA22" s="8">
        <v>89.7</v>
      </c>
      <c r="AB22" s="8">
        <v>87.5</v>
      </c>
      <c r="AC22" s="8">
        <v>112.91000000000001</v>
      </c>
      <c r="AD22" s="8">
        <v>116.20000000000002</v>
      </c>
      <c r="AE22" s="8">
        <v>120.00000000000001</v>
      </c>
      <c r="AF22" s="8">
        <v>123.51611021450958</v>
      </c>
      <c r="AG22" s="8">
        <v>127.17258184466625</v>
      </c>
      <c r="AH22" s="8">
        <v>131.5</v>
      </c>
      <c r="AI22" s="8">
        <v>143.4</v>
      </c>
      <c r="AJ22" s="8">
        <v>141.30000000000001</v>
      </c>
      <c r="AK22" s="8">
        <v>150.57877929307099</v>
      </c>
      <c r="AL22" s="8">
        <v>148.21698713480282</v>
      </c>
      <c r="AM22" s="8">
        <v>121.37748259878786</v>
      </c>
      <c r="AN22" s="8">
        <v>105.07309869729694</v>
      </c>
      <c r="AO22" s="3" t="s">
        <v>386</v>
      </c>
    </row>
    <row r="23" spans="1:45" s="3" customFormat="1">
      <c r="A23" s="3" t="s">
        <v>382</v>
      </c>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row>
    <row r="24" spans="1:45" s="3" customFormat="1">
      <c r="A24" s="13" t="s">
        <v>383</v>
      </c>
      <c r="B24" s="4">
        <v>30</v>
      </c>
      <c r="C24" s="4">
        <v>17.899999999999999</v>
      </c>
      <c r="D24" s="4">
        <v>61.7</v>
      </c>
      <c r="E24" s="4">
        <v>55.1</v>
      </c>
      <c r="F24" s="4">
        <v>9</v>
      </c>
      <c r="G24" s="4">
        <v>56.599999999999994</v>
      </c>
      <c r="H24" s="4">
        <v>17.100000000000001</v>
      </c>
      <c r="I24" s="4">
        <v>83.3</v>
      </c>
      <c r="J24" s="4">
        <v>15.3</v>
      </c>
      <c r="K24" s="4">
        <v>13.600000000000001</v>
      </c>
      <c r="L24" s="4">
        <v>20.7</v>
      </c>
      <c r="M24" s="4">
        <v>21.7</v>
      </c>
      <c r="N24" s="4">
        <v>12.1</v>
      </c>
      <c r="O24" s="4">
        <v>103.1</v>
      </c>
      <c r="P24" s="4">
        <v>59.9</v>
      </c>
      <c r="Q24" s="4">
        <v>71.8</v>
      </c>
      <c r="R24" s="4">
        <v>71.099999999999994</v>
      </c>
      <c r="S24" s="4">
        <v>-14.5</v>
      </c>
      <c r="T24" s="4">
        <v>22</v>
      </c>
      <c r="U24" s="4">
        <v>28.799999999999997</v>
      </c>
      <c r="V24" s="4">
        <v>60.9</v>
      </c>
      <c r="W24" s="4">
        <v>22.7</v>
      </c>
      <c r="X24" s="4">
        <v>14.9</v>
      </c>
      <c r="Y24" s="4">
        <v>80</v>
      </c>
      <c r="Z24" s="4">
        <v>84.4</v>
      </c>
      <c r="AA24" s="4">
        <v>66</v>
      </c>
      <c r="AB24" s="4">
        <v>396.3</v>
      </c>
      <c r="AC24" s="4">
        <v>96.605999999999995</v>
      </c>
      <c r="AD24" s="4">
        <v>64.171313069999997</v>
      </c>
      <c r="AE24" s="4">
        <v>163.71146123</v>
      </c>
      <c r="AF24" s="4">
        <v>97.616092509999987</v>
      </c>
      <c r="AG24" s="4">
        <v>193.93786518999997</v>
      </c>
      <c r="AH24" s="4">
        <v>172.330297</v>
      </c>
      <c r="AI24" s="4">
        <v>155.69</v>
      </c>
      <c r="AJ24" s="4">
        <v>139.15334831999999</v>
      </c>
      <c r="AK24" s="4">
        <v>104.12590900000001</v>
      </c>
      <c r="AL24" s="4">
        <v>51.372593500000008</v>
      </c>
      <c r="AM24" s="4">
        <v>65.633908539999993</v>
      </c>
      <c r="AN24" s="4">
        <v>83.216698000000008</v>
      </c>
    </row>
    <row r="25" spans="1:45" s="3" customFormat="1">
      <c r="A25" s="3" t="s">
        <v>384</v>
      </c>
      <c r="B25" s="8">
        <v>0</v>
      </c>
      <c r="C25" s="8">
        <v>0</v>
      </c>
      <c r="D25" s="8">
        <v>0</v>
      </c>
      <c r="E25" s="8">
        <v>0</v>
      </c>
      <c r="F25" s="8">
        <v>0</v>
      </c>
      <c r="G25" s="8">
        <v>0</v>
      </c>
      <c r="H25" s="8">
        <v>0</v>
      </c>
      <c r="I25" s="8">
        <v>0</v>
      </c>
      <c r="J25" s="8">
        <v>0</v>
      </c>
      <c r="K25" s="8">
        <v>0</v>
      </c>
      <c r="L25" s="8">
        <v>0</v>
      </c>
      <c r="M25" s="8">
        <v>0</v>
      </c>
      <c r="N25" s="8">
        <v>0</v>
      </c>
      <c r="O25" s="8">
        <v>0</v>
      </c>
      <c r="P25" s="8">
        <v>0</v>
      </c>
      <c r="Q25" s="8">
        <v>-45.2</v>
      </c>
      <c r="R25" s="8">
        <v>-25.5</v>
      </c>
      <c r="S25" s="8">
        <v>-29.7</v>
      </c>
      <c r="T25" s="8">
        <v>-35.700000000000003</v>
      </c>
      <c r="U25" s="8">
        <v>-46</v>
      </c>
      <c r="V25" s="8">
        <v>-50.4</v>
      </c>
      <c r="W25" s="8">
        <v>-583.1</v>
      </c>
      <c r="X25" s="8">
        <v>-66.400000000000006</v>
      </c>
      <c r="Y25" s="8">
        <v>-152.30000000000001</v>
      </c>
      <c r="Z25" s="8">
        <v>-77</v>
      </c>
      <c r="AA25" s="8">
        <v>-57.7</v>
      </c>
      <c r="AB25" s="8">
        <v>-76.352833301624401</v>
      </c>
      <c r="AC25" s="8">
        <v>-66.099999999999994</v>
      </c>
      <c r="AD25" s="8">
        <v>-100.50973003828143</v>
      </c>
      <c r="AE25" s="8">
        <v>-99.498658511615204</v>
      </c>
      <c r="AF25" s="8">
        <v>-122.842830841389</v>
      </c>
      <c r="AG25" s="8">
        <v>-85.34922832657</v>
      </c>
      <c r="AH25" s="8">
        <v>-76.981896231000007</v>
      </c>
      <c r="AI25" s="8">
        <v>-84.094192000000007</v>
      </c>
      <c r="AJ25" s="8">
        <v>-103.85257379362</v>
      </c>
      <c r="AK25" s="8">
        <v>-77.718258299588697</v>
      </c>
      <c r="AL25" s="8">
        <v>-72.627647443790963</v>
      </c>
      <c r="AM25" s="8">
        <v>-53.72833313836</v>
      </c>
      <c r="AN25" s="8">
        <v>-70.099999999999994</v>
      </c>
    </row>
    <row r="26" spans="1:45" s="3" customFormat="1">
      <c r="AJ26" s="7"/>
      <c r="AK26" s="7"/>
    </row>
    <row r="27" spans="1:45">
      <c r="AG27" s="9" t="s">
        <v>391</v>
      </c>
    </row>
    <row r="28" spans="1:45">
      <c r="AG28" s="5" t="str">
        <f>"Total: "&amp;TEXT(AN11,"$#,0.0,")&amp;" billion does not reflect $"&amp;TEXT(AN14,"#0.00,")&amp;" billion in obligations to capital projects or $"&amp;TEXT(ABS(AN15),"#0.00,")&amp;" billion in credits"</f>
        <v>Total: $16.8 billion does not reflect $2.87 billion in obligations to capital projects or $2.26 billion in credits</v>
      </c>
      <c r="AS28" s="5" t="s">
        <v>392</v>
      </c>
    </row>
    <row r="29" spans="1:45">
      <c r="C29" s="4"/>
    </row>
    <row r="30" spans="1:45">
      <c r="C30" s="4"/>
    </row>
    <row r="31" spans="1:45">
      <c r="C31" s="4"/>
    </row>
    <row r="32" spans="1:45">
      <c r="C32" s="4"/>
    </row>
    <row r="33" spans="3:43">
      <c r="C33" s="4"/>
    </row>
    <row r="34" spans="3:43" ht="14.5">
      <c r="C34" s="4"/>
      <c r="AQ34" s="11" t="s">
        <v>393</v>
      </c>
    </row>
    <row r="35" spans="3:43" ht="14.5">
      <c r="C35" s="4"/>
      <c r="AQ35" s="11" t="s">
        <v>394</v>
      </c>
    </row>
    <row r="36" spans="3:43" ht="14.5">
      <c r="C36" s="16"/>
      <c r="AQ36" s="11" t="s">
        <v>395</v>
      </c>
    </row>
    <row r="54" spans="33:33" ht="14.5">
      <c r="AG54" s="12" t="s">
        <v>396</v>
      </c>
    </row>
  </sheetData>
  <pageMargins left="0.75" right="0.75" top="1" bottom="1" header="0.5" footer="0.5"/>
  <pageSetup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1244DDD9C7C5ED4F830F407C4BC7FA10" ma:contentTypeVersion="15" ma:contentTypeDescription="Create a new document." ma:contentTypeScope="" ma:versionID="8ac8965dbdc446a2546b99dc806ed2f1">
  <xsd:schema xmlns:xsd="http://www.w3.org/2001/XMLSchema" xmlns:xs="http://www.w3.org/2001/XMLSchema" xmlns:p="http://schemas.microsoft.com/office/2006/metadata/properties" xmlns:ns1="http://schemas.microsoft.com/sharepoint/v3" xmlns:ns2="02b399fa-c242-4247-b04a-58b71cde492b" targetNamespace="http://schemas.microsoft.com/office/2006/metadata/properties" ma:root="true" ma:fieldsID="f24f94f4254ea0f2bee2c97d985efd59" ns1:_="" ns2:_="">
    <xsd:import namespace="http://schemas.microsoft.com/sharepoint/v3"/>
    <xsd:import namespace="02b399fa-c242-4247-b04a-58b71cde492b"/>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b399fa-c242-4247-b04a-58b71cde492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6.xml>��
</file>

<file path=customXml/item7.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C7FD921B-FC07-4482-A4CD-A794F096CEBE}">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F9F58CA3-EB4E-46A6-A5B0-C1856DB5BDCA}">
  <ds:schemaRefs>
    <ds:schemaRef ds:uri="http://www.w3.org/2001/XMLSchema"/>
    <ds:schemaRef ds:uri="http://microsoft.data.visualization.engine.tours/1.0"/>
  </ds:schemaRefs>
</ds:datastoreItem>
</file>

<file path=customXml/itemProps3.xml><?xml version="1.0" encoding="utf-8"?>
<ds:datastoreItem xmlns:ds="http://schemas.openxmlformats.org/officeDocument/2006/customXml" ds:itemID="{7F4188C8-73D9-475A-A6C1-F4B98D8981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2b399fa-c242-4247-b04a-58b71cde49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86DD62C-05C4-4497-BBE2-859ADE86C3AE}">
  <ds:schemaRefs>
    <ds:schemaRef ds:uri="http://www.w3.org/2001/XMLSchema"/>
    <ds:schemaRef ds:uri="http://microsoft.data.visualization.Client.Excel.LState/1.0"/>
  </ds:schemaRefs>
</ds:datastoreItem>
</file>

<file path=customXml/itemProps5.xml><?xml version="1.0" encoding="utf-8"?>
<ds:datastoreItem xmlns:ds="http://schemas.openxmlformats.org/officeDocument/2006/customXml" ds:itemID="{DAA93A9A-D3BC-4AF6-B0B3-CE170EF3886E}">
  <ds:schemaRefs>
    <ds:schemaRef ds:uri="http://schemas.microsoft.com/sharepoint/v3/contenttype/forms"/>
  </ds:schemaRefs>
</ds:datastoreItem>
</file>

<file path=customXml/itemProps6.xml><?xml version="1.0" encoding="utf-8"?>
<ds:datastoreItem xmlns:ds="http://schemas.openxmlformats.org/officeDocument/2006/customXml" ds:itemID="{7DCED80D-14BF-4C09-AFDF-8872F77B7C07}">
  <ds:schemaRefs>
    <ds:schemaRef ds:uri="http://www.w3.org/2001/XMLSchema"/>
    <ds:schemaRef ds:uri="http://microsoft.data.visualization.Client.Excel/1.0"/>
  </ds:schemaRefs>
</ds:datastoreItem>
</file>

<file path=customXml/itemProps7.xml><?xml version="1.0" encoding="utf-8"?>
<ds:datastoreItem xmlns:ds="http://schemas.openxmlformats.org/officeDocument/2006/customXml" ds:itemID="{F859F555-CA4F-46B0-B26A-7D95833BD17B}">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vt:i4>
      </vt:variant>
    </vt:vector>
  </HeadingPairs>
  <TitlesOfParts>
    <vt:vector size="14" baseType="lpstr">
      <vt:lpstr>1_F&amp;W Total Costs</vt:lpstr>
      <vt:lpstr>2_F&amp;W Purpose &amp; Emphasis Update</vt:lpstr>
      <vt:lpstr>3_SpeciesType</vt:lpstr>
      <vt:lpstr>4_ESA by Species</vt:lpstr>
      <vt:lpstr>5A_Province</vt:lpstr>
      <vt:lpstr>5B_Subbasin</vt:lpstr>
      <vt:lpstr>6_Geographic Location</vt:lpstr>
      <vt:lpstr>7_Contractor updated</vt:lpstr>
      <vt:lpstr>8_Land</vt:lpstr>
      <vt:lpstr>BPA Costs Table</vt:lpstr>
      <vt:lpstr>NA_Cumulative</vt:lpstr>
      <vt:lpstr>lkp</vt:lpstr>
      <vt:lpstr>'2_F&amp;W Purpose &amp; Emphasis Update'!Print_Area</vt:lpstr>
      <vt:lpstr>subtitle</vt:lpstr>
    </vt:vector>
  </TitlesOfParts>
  <Manager/>
  <Company>Bonneville Power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Valerie Lefler</dc:creator>
  <cp:keywords/>
  <dc:description/>
  <cp:lastModifiedBy>Eric Schrepel</cp:lastModifiedBy>
  <cp:revision/>
  <dcterms:created xsi:type="dcterms:W3CDTF">2004-12-27T17:27:22Z</dcterms:created>
  <dcterms:modified xsi:type="dcterms:W3CDTF">2026-10-29T16:33:41Z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0x0101001244DDD9C7C5ED4F830F407C4BC7FA10</vt:lpwstr>
  </property>
</Properties>
</file>