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Q:\RTF\Administrative\Accounting\2021\2021 Work Plan\"/>
    </mc:Choice>
  </mc:AlternateContent>
  <xr:revisionPtr revIDLastSave="0" documentId="13_ncr:1_{C355AAD2-CF0E-4154-92FA-6F0BFFEACB5E}" xr6:coauthVersionLast="45" xr6:coauthVersionMax="45" xr10:uidLastSave="{00000000-0000-0000-0000-000000000000}"/>
  <bookViews>
    <workbookView xWindow="-120" yWindow="-120" windowWidth="29040" windowHeight="15840" tabRatio="679" xr2:uid="{747A52A8-3AB4-4B26-A31B-C18C969B87B2}"/>
  </bookViews>
  <sheets>
    <sheet name="Table of Contents" sheetId="1" r:id="rId1"/>
    <sheet name="Category (2021)" sheetId="2" r:id="rId2"/>
    <sheet name="Category Detail (2021)" sheetId="3" r:id="rId3"/>
    <sheet name="Strategic Plan (2020-2024)" sheetId="4" r:id="rId4"/>
    <sheet name="Funding Shares" sheetId="6" r:id="rId5"/>
    <sheet name="Fuel Funding Splits" sheetId="8" r:id="rId6"/>
    <sheet name="NPCC Contribution" sheetId="5" r:id="rId7"/>
    <sheet name="Typical Rates" sheetId="7" r:id="rId8"/>
    <sheet name="WP Based on SP Amounts" sheetId="9" r:id="rId9"/>
  </sheets>
  <externalReferences>
    <externalReference r:id="rId10"/>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1" i="2" l="1"/>
  <c r="B121" i="2"/>
  <c r="B117" i="2"/>
  <c r="E117" i="2" s="1"/>
  <c r="B116" i="2"/>
  <c r="B115" i="2"/>
  <c r="E115" i="2" s="1"/>
  <c r="B114" i="2"/>
  <c r="B7" i="3"/>
  <c r="B78" i="9" l="1"/>
  <c r="G61" i="9"/>
  <c r="G55" i="9"/>
  <c r="E71" i="9"/>
  <c r="D70" i="9"/>
  <c r="E70" i="9" s="1"/>
  <c r="D69" i="9"/>
  <c r="E69" i="9" s="1"/>
  <c r="E68" i="9"/>
  <c r="D68" i="9"/>
  <c r="D67" i="9"/>
  <c r="E67" i="9" s="1"/>
  <c r="D66" i="9"/>
  <c r="E66" i="9" s="1"/>
  <c r="D65" i="9"/>
  <c r="E65" i="9" s="1"/>
  <c r="F61" i="9"/>
  <c r="D61" i="9"/>
  <c r="C61" i="9"/>
  <c r="B61" i="9"/>
  <c r="E60" i="9"/>
  <c r="E59" i="9"/>
  <c r="E61" i="9" s="1"/>
  <c r="F55" i="9"/>
  <c r="D55" i="9"/>
  <c r="C55" i="9"/>
  <c r="B55" i="9"/>
  <c r="E54" i="9"/>
  <c r="E53" i="9"/>
  <c r="E55" i="9" s="1"/>
  <c r="E43" i="9"/>
  <c r="E42" i="9"/>
  <c r="E41" i="9"/>
  <c r="E40" i="9"/>
  <c r="E39" i="9"/>
  <c r="E38" i="9"/>
  <c r="F34" i="9"/>
  <c r="E34" i="9"/>
  <c r="D34" i="9"/>
  <c r="C34" i="9"/>
  <c r="B34" i="9"/>
  <c r="E33" i="9"/>
  <c r="E32" i="9"/>
  <c r="E31" i="9"/>
  <c r="E30" i="9"/>
  <c r="B44" i="9"/>
  <c r="C44" i="9"/>
  <c r="D44" i="9"/>
  <c r="F44" i="9"/>
  <c r="F26" i="9"/>
  <c r="E26" i="9"/>
  <c r="D26" i="9"/>
  <c r="C26" i="9"/>
  <c r="B26" i="9"/>
  <c r="E25" i="9"/>
  <c r="E24" i="9"/>
  <c r="E23" i="9"/>
  <c r="F18" i="9"/>
  <c r="D18" i="9"/>
  <c r="C18" i="9"/>
  <c r="E18" i="9" s="1"/>
  <c r="F17" i="9"/>
  <c r="D17" i="9"/>
  <c r="C17" i="9"/>
  <c r="B17" i="9"/>
  <c r="E17" i="9" s="1"/>
  <c r="F16" i="9"/>
  <c r="D16" i="9"/>
  <c r="C16" i="9"/>
  <c r="E16" i="9" s="1"/>
  <c r="B16" i="9"/>
  <c r="F15" i="9"/>
  <c r="D15" i="9"/>
  <c r="C15" i="9"/>
  <c r="B15" i="9"/>
  <c r="E15" i="9" s="1"/>
  <c r="F14" i="9"/>
  <c r="F19" i="9" s="1"/>
  <c r="E14" i="9"/>
  <c r="D14" i="9"/>
  <c r="D19" i="9" s="1"/>
  <c r="C14" i="9"/>
  <c r="C19" i="9" s="1"/>
  <c r="B14" i="9"/>
  <c r="B19" i="9" s="1"/>
  <c r="D10" i="9"/>
  <c r="F9" i="9"/>
  <c r="D9" i="9"/>
  <c r="C9" i="9"/>
  <c r="B9" i="9"/>
  <c r="E9" i="9" s="1"/>
  <c r="F8" i="9"/>
  <c r="F10" i="9" s="1"/>
  <c r="E8" i="9"/>
  <c r="D8" i="9"/>
  <c r="C8" i="9"/>
  <c r="B8" i="9"/>
  <c r="F7" i="9"/>
  <c r="D7" i="9"/>
  <c r="C7" i="9"/>
  <c r="C10" i="9" s="1"/>
  <c r="B7" i="9"/>
  <c r="B10" i="9" s="1"/>
  <c r="E44" i="9" l="1"/>
  <c r="E19" i="9"/>
  <c r="E7" i="9"/>
  <c r="E10" i="9" s="1"/>
  <c r="C42" i="8"/>
  <c r="E12" i="7" l="1"/>
  <c r="K12" i="7" s="1"/>
  <c r="M12" i="7" s="1"/>
  <c r="C31" i="6" l="1"/>
  <c r="C32" i="6"/>
  <c r="C33" i="6"/>
  <c r="B17" i="8" l="1"/>
  <c r="B38" i="6" s="1"/>
  <c r="D1" i="3"/>
  <c r="E39" i="3"/>
  <c r="B40" i="6"/>
  <c r="C18" i="8" l="1"/>
  <c r="D18" i="8" s="1"/>
  <c r="D2" i="3"/>
  <c r="E30" i="3"/>
  <c r="E34" i="3" s="1"/>
  <c r="B8" i="3"/>
  <c r="C8" i="3"/>
  <c r="D8" i="3"/>
  <c r="D10" i="3" s="1"/>
  <c r="D6" i="2" s="1"/>
  <c r="D114" i="2" s="1"/>
  <c r="F35" i="8"/>
  <c r="B44" i="8"/>
  <c r="B37" i="6"/>
  <c r="F49" i="9"/>
  <c r="F72" i="9"/>
  <c r="F75" i="9" s="1"/>
  <c r="C49" i="9"/>
  <c r="C72" i="9"/>
  <c r="D49" i="9"/>
  <c r="D72" i="9"/>
  <c r="E48" i="9"/>
  <c r="E49" i="9" s="1"/>
  <c r="F79" i="9"/>
  <c r="B49" i="9"/>
  <c r="B72" i="9"/>
  <c r="C76" i="9"/>
  <c r="L72" i="9"/>
  <c r="A72" i="9"/>
  <c r="A61" i="9"/>
  <c r="A55" i="9"/>
  <c r="A49" i="9"/>
  <c r="A44" i="9"/>
  <c r="A34" i="9"/>
  <c r="A26" i="9"/>
  <c r="A19" i="9"/>
  <c r="A10" i="9"/>
  <c r="D3" i="9"/>
  <c r="D4" i="9" s="1"/>
  <c r="A2" i="9"/>
  <c r="E31" i="3"/>
  <c r="E33" i="3"/>
  <c r="B16" i="8"/>
  <c r="D35" i="8"/>
  <c r="D67" i="3"/>
  <c r="E67" i="3" s="1"/>
  <c r="D68" i="3"/>
  <c r="D69" i="3"/>
  <c r="D70" i="3"/>
  <c r="D71" i="3"/>
  <c r="D66" i="3"/>
  <c r="E66" i="3" s="1"/>
  <c r="B9" i="3"/>
  <c r="E9" i="3" s="1"/>
  <c r="C9" i="3"/>
  <c r="D9" i="3"/>
  <c r="B17" i="3"/>
  <c r="C17" i="3"/>
  <c r="D17" i="3"/>
  <c r="E17" i="3"/>
  <c r="B16" i="3"/>
  <c r="E16" i="3" s="1"/>
  <c r="C16" i="3"/>
  <c r="D16" i="3"/>
  <c r="C7" i="3"/>
  <c r="E7" i="3" s="1"/>
  <c r="D7" i="3"/>
  <c r="B14" i="3"/>
  <c r="C14" i="3"/>
  <c r="C19" i="3" s="1"/>
  <c r="D14" i="3"/>
  <c r="B15" i="3"/>
  <c r="E15" i="3" s="1"/>
  <c r="C15" i="3"/>
  <c r="D15" i="3"/>
  <c r="C18" i="3"/>
  <c r="E18" i="3" s="1"/>
  <c r="D18" i="3"/>
  <c r="D19" i="3" s="1"/>
  <c r="E23" i="3"/>
  <c r="E26" i="3" s="1"/>
  <c r="E24" i="3"/>
  <c r="E25" i="3"/>
  <c r="E32" i="3"/>
  <c r="E38" i="3"/>
  <c r="E40" i="3"/>
  <c r="E41" i="3"/>
  <c r="E42" i="3"/>
  <c r="E43" i="3"/>
  <c r="E44" i="3"/>
  <c r="E49" i="3"/>
  <c r="E50" i="3"/>
  <c r="E54" i="3"/>
  <c r="E56" i="3" s="1"/>
  <c r="E55" i="3"/>
  <c r="E60" i="3"/>
  <c r="E61" i="3"/>
  <c r="E68" i="3"/>
  <c r="E69" i="3"/>
  <c r="E70" i="3"/>
  <c r="E71" i="3"/>
  <c r="E72" i="3"/>
  <c r="B35" i="8"/>
  <c r="D42" i="8"/>
  <c r="E42" i="8"/>
  <c r="F42" i="8"/>
  <c r="B42" i="8"/>
  <c r="C35" i="8"/>
  <c r="E35" i="8"/>
  <c r="A2" i="8"/>
  <c r="C11" i="8"/>
  <c r="D11" i="8"/>
  <c r="E11" i="8"/>
  <c r="F11" i="8"/>
  <c r="G11" i="8"/>
  <c r="B11" i="8"/>
  <c r="B22" i="8"/>
  <c r="F80" i="3"/>
  <c r="D3" i="3"/>
  <c r="D31" i="6"/>
  <c r="T15" i="2"/>
  <c r="S15" i="2"/>
  <c r="U13" i="2" s="1"/>
  <c r="R15" i="2"/>
  <c r="Q15" i="2"/>
  <c r="P15" i="2"/>
  <c r="AC7" i="4"/>
  <c r="AC8" i="4"/>
  <c r="AC9" i="4"/>
  <c r="AC10" i="4"/>
  <c r="AC11" i="4"/>
  <c r="AC12" i="4"/>
  <c r="AC13" i="4"/>
  <c r="F39" i="4" s="1"/>
  <c r="AC14" i="4"/>
  <c r="AC6" i="4"/>
  <c r="AH6" i="4" s="1"/>
  <c r="W7" i="4"/>
  <c r="W8" i="4"/>
  <c r="W9" i="4"/>
  <c r="W10" i="4"/>
  <c r="E45" i="4" s="1"/>
  <c r="W11" i="4"/>
  <c r="E38" i="4" s="1"/>
  <c r="W12" i="4"/>
  <c r="W13" i="4"/>
  <c r="E39" i="4" s="1"/>
  <c r="W14" i="4"/>
  <c r="W6" i="4"/>
  <c r="W15" i="4" s="1"/>
  <c r="Q7" i="4"/>
  <c r="Q8" i="4"/>
  <c r="D44" i="4" s="1"/>
  <c r="D48" i="4" s="1"/>
  <c r="Q9" i="4"/>
  <c r="D45" i="4" s="1"/>
  <c r="Q10" i="4"/>
  <c r="Q11" i="4"/>
  <c r="D46" i="4" s="1"/>
  <c r="Q12" i="4"/>
  <c r="Q13" i="4"/>
  <c r="Q14" i="4"/>
  <c r="Q6" i="4"/>
  <c r="Q15" i="4" s="1"/>
  <c r="K7" i="4"/>
  <c r="K8" i="4"/>
  <c r="K9" i="4"/>
  <c r="C37" i="4" s="1"/>
  <c r="K10" i="4"/>
  <c r="K11" i="4"/>
  <c r="K12" i="4"/>
  <c r="K13" i="4"/>
  <c r="K14" i="4"/>
  <c r="C47" i="4" s="1"/>
  <c r="K6" i="4"/>
  <c r="K15" i="4" s="1"/>
  <c r="F36" i="4"/>
  <c r="F40" i="4" s="1"/>
  <c r="AL5" i="2"/>
  <c r="AI5" i="2"/>
  <c r="AJ5" i="2"/>
  <c r="AK5" i="2"/>
  <c r="AH5" i="2"/>
  <c r="AH4" i="2"/>
  <c r="AC4" i="2"/>
  <c r="X4" i="2"/>
  <c r="N5" i="2"/>
  <c r="U5" i="2" s="1"/>
  <c r="AB5" i="2" s="1"/>
  <c r="J5" i="2"/>
  <c r="AD5" i="2" s="1"/>
  <c r="K5" i="2"/>
  <c r="R5" i="2" s="1"/>
  <c r="Z5" i="2" s="1"/>
  <c r="L5" i="2"/>
  <c r="AF5" i="2" s="1"/>
  <c r="M5" i="2"/>
  <c r="T5" i="2" s="1"/>
  <c r="I5" i="2"/>
  <c r="AC5" i="2" s="1"/>
  <c r="A2" i="2"/>
  <c r="F57" i="4"/>
  <c r="AG5" i="2"/>
  <c r="P3" i="4"/>
  <c r="V3" i="4"/>
  <c r="AB3" i="4"/>
  <c r="AH7" i="4"/>
  <c r="AI7" i="4" s="1"/>
  <c r="F45" i="4"/>
  <c r="J5" i="4"/>
  <c r="P5" i="4"/>
  <c r="V5" i="4"/>
  <c r="AB5" i="4"/>
  <c r="K5" i="4"/>
  <c r="Q5" i="4"/>
  <c r="W5" i="4" s="1"/>
  <c r="AC5" i="4" s="1"/>
  <c r="L5" i="4"/>
  <c r="R5" i="4"/>
  <c r="X5" i="4"/>
  <c r="AD5" i="4"/>
  <c r="H5" i="4"/>
  <c r="N5" i="4"/>
  <c r="T5" i="4" s="1"/>
  <c r="Z5" i="4" s="1"/>
  <c r="A7" i="4"/>
  <c r="A8" i="4"/>
  <c r="A9" i="4"/>
  <c r="A10" i="4"/>
  <c r="A11" i="4"/>
  <c r="A12" i="4"/>
  <c r="A13" i="4"/>
  <c r="A14" i="4"/>
  <c r="A6" i="4"/>
  <c r="M15" i="2"/>
  <c r="L15" i="2"/>
  <c r="N7" i="2" s="1"/>
  <c r="K15" i="2"/>
  <c r="J15" i="2"/>
  <c r="I15" i="2"/>
  <c r="AF9" i="2"/>
  <c r="AE9" i="2"/>
  <c r="AD9" i="2"/>
  <c r="AC9" i="2"/>
  <c r="AA9" i="2"/>
  <c r="Z9" i="2"/>
  <c r="Y9" i="2"/>
  <c r="X9" i="2"/>
  <c r="AF8" i="2"/>
  <c r="AE8" i="2"/>
  <c r="AD8" i="2"/>
  <c r="AC8" i="2"/>
  <c r="AA8" i="2"/>
  <c r="Z8" i="2"/>
  <c r="Y8" i="2"/>
  <c r="X8" i="2"/>
  <c r="AF7" i="2"/>
  <c r="AE7" i="2"/>
  <c r="AD7" i="2"/>
  <c r="AC7" i="2"/>
  <c r="AA7" i="2"/>
  <c r="Z7" i="2"/>
  <c r="Y7" i="2"/>
  <c r="X7" i="2"/>
  <c r="AF6" i="2"/>
  <c r="AF10" i="2" s="1"/>
  <c r="AE6" i="2"/>
  <c r="AD6" i="2"/>
  <c r="AC6" i="2"/>
  <c r="AA6" i="2"/>
  <c r="AA10" i="2" s="1"/>
  <c r="AB6" i="2" s="1"/>
  <c r="Z6" i="2"/>
  <c r="Z10" i="2" s="1"/>
  <c r="AO8" i="2" s="1"/>
  <c r="Y6" i="2"/>
  <c r="X6" i="2"/>
  <c r="X10" i="2" s="1"/>
  <c r="AO6" i="2" s="1"/>
  <c r="A2" i="4"/>
  <c r="D57" i="4"/>
  <c r="C57" i="4"/>
  <c r="P16" i="4"/>
  <c r="V16" i="4"/>
  <c r="AB16" i="4"/>
  <c r="X15" i="4"/>
  <c r="F22" i="4"/>
  <c r="E31" i="4" s="1"/>
  <c r="T15" i="4"/>
  <c r="B22" i="4"/>
  <c r="E27" i="4"/>
  <c r="O15" i="4"/>
  <c r="C21" i="4" s="1"/>
  <c r="D28" i="4" s="1"/>
  <c r="O16" i="4"/>
  <c r="J15" i="4"/>
  <c r="D20" i="4"/>
  <c r="C29" i="4" s="1"/>
  <c r="I5" i="4"/>
  <c r="O5" i="4"/>
  <c r="U5" i="4"/>
  <c r="AA5" i="4"/>
  <c r="N8" i="2"/>
  <c r="AH8" i="4"/>
  <c r="AC10" i="2"/>
  <c r="AP6" i="2" s="1"/>
  <c r="Y10" i="2"/>
  <c r="AO7" i="2" s="1"/>
  <c r="AD10" i="2"/>
  <c r="AP7" i="2" s="1"/>
  <c r="AE10" i="2"/>
  <c r="AP8" i="2" s="1"/>
  <c r="C39" i="4"/>
  <c r="E36" i="4"/>
  <c r="E44" i="4"/>
  <c r="D36" i="4"/>
  <c r="C45" i="4"/>
  <c r="D47" i="4"/>
  <c r="AH9" i="4"/>
  <c r="F46" i="4"/>
  <c r="F38" i="4"/>
  <c r="D39" i="4"/>
  <c r="C46" i="4"/>
  <c r="C38" i="4"/>
  <c r="F37" i="4"/>
  <c r="E47" i="4"/>
  <c r="E37" i="4"/>
  <c r="AH10" i="4"/>
  <c r="H15" i="4"/>
  <c r="B20" i="4"/>
  <c r="C27" i="4" s="1"/>
  <c r="L15" i="4"/>
  <c r="F20" i="4"/>
  <c r="C31" i="4"/>
  <c r="V15" i="4"/>
  <c r="D22" i="4"/>
  <c r="E29" i="4" s="1"/>
  <c r="AA15" i="4"/>
  <c r="AA16" i="4" s="1"/>
  <c r="E57" i="4"/>
  <c r="I15" i="4"/>
  <c r="N15" i="4"/>
  <c r="B21" i="4"/>
  <c r="D27" i="4"/>
  <c r="R15" i="4"/>
  <c r="F21" i="4" s="1"/>
  <c r="D31" i="4" s="1"/>
  <c r="AB15" i="4"/>
  <c r="D23" i="4" s="1"/>
  <c r="F29" i="4" s="1"/>
  <c r="P15" i="4"/>
  <c r="D21" i="4"/>
  <c r="D29" i="4"/>
  <c r="U15" i="4"/>
  <c r="Z15" i="4"/>
  <c r="B23" i="4" s="1"/>
  <c r="F27" i="4" s="1"/>
  <c r="AD15" i="4"/>
  <c r="F23" i="4"/>
  <c r="F31" i="4"/>
  <c r="AC15" i="4"/>
  <c r="E23" i="4"/>
  <c r="F30" i="4" s="1"/>
  <c r="U16" i="4"/>
  <c r="C22" i="4"/>
  <c r="E28" i="4" s="1"/>
  <c r="I16" i="4"/>
  <c r="C20" i="4"/>
  <c r="C28" i="4" s="1"/>
  <c r="B57" i="4"/>
  <c r="A2" i="3"/>
  <c r="L73" i="3"/>
  <c r="F73" i="3"/>
  <c r="F14" i="2" s="1"/>
  <c r="C73" i="3"/>
  <c r="C14" i="2"/>
  <c r="C125" i="2" s="1"/>
  <c r="B73" i="3"/>
  <c r="B14" i="2"/>
  <c r="B125" i="2" s="1"/>
  <c r="A73" i="3"/>
  <c r="F62" i="3"/>
  <c r="F13" i="2" s="1"/>
  <c r="D62" i="3"/>
  <c r="D13" i="2"/>
  <c r="D124" i="2" s="1"/>
  <c r="C62" i="3"/>
  <c r="C13" i="2"/>
  <c r="B62" i="3"/>
  <c r="B13" i="2" s="1"/>
  <c r="B124" i="2" s="1"/>
  <c r="A62" i="3"/>
  <c r="F56" i="3"/>
  <c r="F12" i="2"/>
  <c r="D56" i="3"/>
  <c r="D12" i="2"/>
  <c r="D123" i="2" s="1"/>
  <c r="C56" i="3"/>
  <c r="C12" i="2"/>
  <c r="C123" i="2" s="1"/>
  <c r="B56" i="3"/>
  <c r="B12" i="2" s="1"/>
  <c r="B123" i="2" s="1"/>
  <c r="A56" i="3"/>
  <c r="F50" i="3"/>
  <c r="F11" i="2"/>
  <c r="A50" i="3"/>
  <c r="D50" i="3"/>
  <c r="D11" i="2" s="1"/>
  <c r="C50" i="3"/>
  <c r="C11" i="2"/>
  <c r="C122" i="2" s="1"/>
  <c r="B50" i="3"/>
  <c r="B11" i="2"/>
  <c r="F45" i="3"/>
  <c r="F10" i="2" s="1"/>
  <c r="D45" i="3"/>
  <c r="D10" i="2" s="1"/>
  <c r="D120" i="2" s="1"/>
  <c r="A45" i="3"/>
  <c r="F34" i="3"/>
  <c r="F9" i="2" s="1"/>
  <c r="D34" i="3"/>
  <c r="D9" i="2" s="1"/>
  <c r="D119" i="2" s="1"/>
  <c r="A34" i="3"/>
  <c r="F26" i="3"/>
  <c r="F8" i="2" s="1"/>
  <c r="D26" i="3"/>
  <c r="D8" i="2"/>
  <c r="D118" i="2" s="1"/>
  <c r="A26" i="3"/>
  <c r="A19" i="3"/>
  <c r="F18" i="3"/>
  <c r="F17" i="3"/>
  <c r="F16" i="3"/>
  <c r="F15" i="3"/>
  <c r="F14" i="3"/>
  <c r="F19" i="3" s="1"/>
  <c r="A10" i="3"/>
  <c r="F9" i="3"/>
  <c r="F8" i="3"/>
  <c r="F10" i="3" s="1"/>
  <c r="F6" i="2" s="1"/>
  <c r="F7" i="3"/>
  <c r="E13" i="5"/>
  <c r="AI8" i="2"/>
  <c r="E13" i="4"/>
  <c r="B34" i="3"/>
  <c r="B9" i="2"/>
  <c r="B119" i="2" s="1"/>
  <c r="C10" i="3"/>
  <c r="C6" i="2" s="1"/>
  <c r="C114" i="2" s="1"/>
  <c r="C26" i="3"/>
  <c r="C8" i="2"/>
  <c r="C118" i="2" s="1"/>
  <c r="C34" i="3"/>
  <c r="C9" i="2" s="1"/>
  <c r="C119" i="2" s="1"/>
  <c r="E119" i="2" s="1"/>
  <c r="C45" i="3"/>
  <c r="C10" i="2" s="1"/>
  <c r="C120" i="2" s="1"/>
  <c r="B26" i="3"/>
  <c r="B8" i="2"/>
  <c r="B45" i="3"/>
  <c r="B10" i="2" s="1"/>
  <c r="D73" i="3"/>
  <c r="D14" i="2" s="1"/>
  <c r="D125" i="2" s="1"/>
  <c r="E11" i="4"/>
  <c r="AG9" i="4" s="1"/>
  <c r="E8" i="4"/>
  <c r="B38" i="4"/>
  <c r="E14" i="4"/>
  <c r="E12" i="4"/>
  <c r="B39" i="4" s="1"/>
  <c r="E10" i="4"/>
  <c r="AG8" i="4" s="1"/>
  <c r="AI8" i="4" s="1"/>
  <c r="E7" i="4"/>
  <c r="D15" i="4"/>
  <c r="D19" i="4"/>
  <c r="B29" i="4"/>
  <c r="C15" i="4"/>
  <c r="C19" i="4" s="1"/>
  <c r="B28" i="4" s="1"/>
  <c r="E9" i="4"/>
  <c r="E6" i="4"/>
  <c r="AG6" i="4" s="1"/>
  <c r="B15" i="4"/>
  <c r="B19" i="4" s="1"/>
  <c r="B27" i="4" s="1"/>
  <c r="C16" i="4"/>
  <c r="AG7" i="4"/>
  <c r="B36" i="4"/>
  <c r="A2" i="5"/>
  <c r="D25" i="5"/>
  <c r="C25" i="5"/>
  <c r="D21" i="5"/>
  <c r="C21" i="5"/>
  <c r="E20" i="5"/>
  <c r="E19" i="5"/>
  <c r="E18" i="5"/>
  <c r="E17" i="5"/>
  <c r="E16" i="5"/>
  <c r="E15" i="5"/>
  <c r="E14" i="5"/>
  <c r="E12" i="5"/>
  <c r="E11" i="5"/>
  <c r="E10" i="5"/>
  <c r="E9" i="5"/>
  <c r="E8" i="5"/>
  <c r="E7" i="5"/>
  <c r="E21" i="5" s="1"/>
  <c r="C4" i="5" s="1"/>
  <c r="A2" i="7"/>
  <c r="A2" i="6"/>
  <c r="E22" i="7"/>
  <c r="E37" i="7" s="1"/>
  <c r="I18" i="7"/>
  <c r="H18" i="7"/>
  <c r="G18" i="7"/>
  <c r="E18" i="7"/>
  <c r="D18" i="7"/>
  <c r="C18" i="7"/>
  <c r="I17" i="7"/>
  <c r="H17" i="7"/>
  <c r="G17" i="7"/>
  <c r="E17" i="7"/>
  <c r="D17" i="7"/>
  <c r="C17" i="7"/>
  <c r="I16" i="7"/>
  <c r="H16" i="7"/>
  <c r="G16" i="7"/>
  <c r="E16" i="7"/>
  <c r="D16" i="7"/>
  <c r="C16" i="7"/>
  <c r="I15" i="7"/>
  <c r="H15" i="7"/>
  <c r="G15" i="7"/>
  <c r="E15" i="7"/>
  <c r="D15" i="7"/>
  <c r="C15" i="7"/>
  <c r="K11" i="7"/>
  <c r="M11" i="7"/>
  <c r="E11" i="7"/>
  <c r="D11" i="7" s="1"/>
  <c r="C11" i="7" s="1"/>
  <c r="B11" i="7" s="1"/>
  <c r="H11" i="7"/>
  <c r="I11" i="7" s="1"/>
  <c r="E10" i="7"/>
  <c r="K10" i="7" s="1"/>
  <c r="H10" i="7"/>
  <c r="I10" i="7" s="1"/>
  <c r="D10" i="7"/>
  <c r="C10" i="7" s="1"/>
  <c r="B10" i="7" s="1"/>
  <c r="E9" i="7"/>
  <c r="K9" i="7" s="1"/>
  <c r="E8" i="7"/>
  <c r="K8" i="7"/>
  <c r="L8" i="7" s="1"/>
  <c r="E7" i="7"/>
  <c r="H7" i="7"/>
  <c r="I7" i="7" s="1"/>
  <c r="E6" i="7"/>
  <c r="H6" i="7"/>
  <c r="I6" i="7" s="1"/>
  <c r="D6" i="7"/>
  <c r="C6" i="7"/>
  <c r="B6" i="7" s="1"/>
  <c r="E5" i="7"/>
  <c r="H5" i="7" s="1"/>
  <c r="I5" i="7" s="1"/>
  <c r="D7" i="7"/>
  <c r="C7" i="7" s="1"/>
  <c r="B7" i="7" s="1"/>
  <c r="H8" i="7"/>
  <c r="I8" i="7" s="1"/>
  <c r="C22" i="7"/>
  <c r="E35" i="7"/>
  <c r="K6" i="7"/>
  <c r="L6" i="7" s="1"/>
  <c r="K7" i="7"/>
  <c r="M7" i="7" s="1"/>
  <c r="H9" i="7"/>
  <c r="I9" i="7" s="1"/>
  <c r="D8" i="7"/>
  <c r="C8" i="7"/>
  <c r="B8" i="7" s="1"/>
  <c r="L11" i="7"/>
  <c r="D22" i="7"/>
  <c r="D9" i="7"/>
  <c r="C9" i="7" s="1"/>
  <c r="B9" i="7" s="1"/>
  <c r="E23" i="7"/>
  <c r="C23" i="7"/>
  <c r="D23" i="7"/>
  <c r="F23" i="7"/>
  <c r="E24" i="7"/>
  <c r="C24" i="7"/>
  <c r="D24" i="7" s="1"/>
  <c r="F24" i="7" s="1"/>
  <c r="E25" i="7"/>
  <c r="C25" i="7"/>
  <c r="D25" i="7"/>
  <c r="F25" i="7"/>
  <c r="E26" i="7"/>
  <c r="C26" i="7"/>
  <c r="D26" i="7" s="1"/>
  <c r="F26" i="7" s="1"/>
  <c r="E27" i="7"/>
  <c r="C27" i="7"/>
  <c r="D27" i="7"/>
  <c r="F27" i="7"/>
  <c r="E28" i="7"/>
  <c r="C28" i="7"/>
  <c r="D28" i="7" s="1"/>
  <c r="F28" i="7" s="1"/>
  <c r="E29" i="7"/>
  <c r="C29" i="7"/>
  <c r="D29" i="7"/>
  <c r="F29" i="7"/>
  <c r="E30" i="7"/>
  <c r="C30" i="7"/>
  <c r="D30" i="7" s="1"/>
  <c r="F30" i="7" s="1"/>
  <c r="E31" i="7"/>
  <c r="C31" i="7"/>
  <c r="D31" i="7"/>
  <c r="F31" i="7"/>
  <c r="L7" i="7"/>
  <c r="E36" i="7"/>
  <c r="F22" i="7"/>
  <c r="AG7" i="2" l="1"/>
  <c r="AG8" i="2"/>
  <c r="AG9" i="2"/>
  <c r="AB8" i="2"/>
  <c r="AG6" i="2"/>
  <c r="U14" i="2"/>
  <c r="AB7" i="2"/>
  <c r="AB10" i="2" s="1"/>
  <c r="U12" i="2"/>
  <c r="N13" i="2"/>
  <c r="S5" i="2"/>
  <c r="AA5" i="2" s="1"/>
  <c r="U11" i="2"/>
  <c r="N12" i="2"/>
  <c r="AB9" i="2"/>
  <c r="AP9" i="2"/>
  <c r="N14" i="2"/>
  <c r="E114" i="2"/>
  <c r="E120" i="2"/>
  <c r="F8" i="4"/>
  <c r="E123" i="2"/>
  <c r="E125" i="2"/>
  <c r="F13" i="4"/>
  <c r="F9" i="4"/>
  <c r="B45" i="4" s="1"/>
  <c r="AJ8" i="2"/>
  <c r="D122" i="2"/>
  <c r="AI9" i="2"/>
  <c r="C124" i="2"/>
  <c r="E124" i="2" s="1"/>
  <c r="AH8" i="2"/>
  <c r="B122" i="2"/>
  <c r="F6" i="4"/>
  <c r="F11" i="4"/>
  <c r="B46" i="4" s="1"/>
  <c r="F14" i="4"/>
  <c r="E8" i="2"/>
  <c r="B118" i="2"/>
  <c r="E118" i="2" s="1"/>
  <c r="F10" i="4"/>
  <c r="F12" i="4"/>
  <c r="B37" i="8"/>
  <c r="E45" i="3"/>
  <c r="E62" i="3"/>
  <c r="E13" i="2"/>
  <c r="H12" i="7"/>
  <c r="I12" i="7" s="1"/>
  <c r="E8" i="3"/>
  <c r="C16" i="8"/>
  <c r="D12" i="7"/>
  <c r="C12" i="7" s="1"/>
  <c r="B12" i="7" s="1"/>
  <c r="E10" i="3"/>
  <c r="C75" i="9"/>
  <c r="E20" i="4"/>
  <c r="C30" i="4" s="1"/>
  <c r="D51" i="4"/>
  <c r="E21" i="4"/>
  <c r="D30" i="4" s="1"/>
  <c r="E73" i="3"/>
  <c r="L9" i="7"/>
  <c r="M9" i="7"/>
  <c r="L12" i="7"/>
  <c r="AH9" i="2"/>
  <c r="E12" i="2"/>
  <c r="E22" i="4"/>
  <c r="E30" i="4" s="1"/>
  <c r="E51" i="4"/>
  <c r="AH11" i="4"/>
  <c r="AI6" i="4"/>
  <c r="C76" i="3"/>
  <c r="B83" i="3" s="1"/>
  <c r="C7" i="2"/>
  <c r="F76" i="3"/>
  <c r="B84" i="3" s="1"/>
  <c r="F7" i="2"/>
  <c r="AO9" i="2"/>
  <c r="D75" i="9"/>
  <c r="M10" i="7"/>
  <c r="L10" i="7"/>
  <c r="E40" i="4"/>
  <c r="AI9" i="4"/>
  <c r="D7" i="2"/>
  <c r="D116" i="2" s="1"/>
  <c r="D76" i="3"/>
  <c r="AJ9" i="2"/>
  <c r="D5" i="7"/>
  <c r="C5" i="7" s="1"/>
  <c r="B5" i="7" s="1"/>
  <c r="F51" i="4"/>
  <c r="D38" i="4"/>
  <c r="D40" i="4" s="1"/>
  <c r="F44" i="4"/>
  <c r="F48" i="4" s="1"/>
  <c r="E72" i="9"/>
  <c r="E14" i="2"/>
  <c r="M6" i="7"/>
  <c r="E25" i="5"/>
  <c r="F16" i="4" s="1"/>
  <c r="E15" i="4"/>
  <c r="E19" i="4" s="1"/>
  <c r="B30" i="4" s="1"/>
  <c r="G30" i="4" s="1"/>
  <c r="C23" i="4"/>
  <c r="F28" i="4" s="1"/>
  <c r="G28" i="4" s="1"/>
  <c r="C44" i="4"/>
  <c r="C48" i="4" s="1"/>
  <c r="F47" i="4"/>
  <c r="D37" i="4"/>
  <c r="N11" i="2"/>
  <c r="U10" i="2"/>
  <c r="E26" i="5"/>
  <c r="C2" i="5" s="1"/>
  <c r="N10" i="2"/>
  <c r="U9" i="2"/>
  <c r="H9" i="8"/>
  <c r="G22" i="8"/>
  <c r="H8" i="8"/>
  <c r="H10" i="8"/>
  <c r="B75" i="9"/>
  <c r="E9" i="2"/>
  <c r="M8" i="7"/>
  <c r="AG10" i="4"/>
  <c r="AG11" i="4" s="1"/>
  <c r="B19" i="3"/>
  <c r="B7" i="2" s="1"/>
  <c r="E46" i="4"/>
  <c r="E48" i="4" s="1"/>
  <c r="N9" i="2"/>
  <c r="Q5" i="2"/>
  <c r="Y5" i="2" s="1"/>
  <c r="U8" i="2"/>
  <c r="K5" i="7"/>
  <c r="B10" i="3"/>
  <c r="B76" i="3" s="1"/>
  <c r="AJ7" i="2"/>
  <c r="N6" i="2"/>
  <c r="P5" i="2"/>
  <c r="X5" i="2" s="1"/>
  <c r="AE5" i="2"/>
  <c r="U6" i="2"/>
  <c r="U7" i="2"/>
  <c r="F18" i="8"/>
  <c r="E18" i="8"/>
  <c r="E14" i="3"/>
  <c r="E19" i="3" s="1"/>
  <c r="B37" i="4"/>
  <c r="C36" i="4"/>
  <c r="C40" i="4" s="1"/>
  <c r="B39" i="6"/>
  <c r="C39" i="6" s="1"/>
  <c r="B33" i="6" s="1"/>
  <c r="D33" i="6" s="1"/>
  <c r="B19" i="8"/>
  <c r="B26" i="8" s="1"/>
  <c r="C38" i="6"/>
  <c r="B32" i="6" s="1"/>
  <c r="D32" i="6" s="1"/>
  <c r="D4" i="3"/>
  <c r="E10" i="2"/>
  <c r="AI7" i="2"/>
  <c r="B83" i="9"/>
  <c r="E11" i="2"/>
  <c r="AK8" i="2" s="1"/>
  <c r="AH7" i="2"/>
  <c r="E122" i="2" l="1"/>
  <c r="D126" i="2"/>
  <c r="AG10" i="2"/>
  <c r="B47" i="4"/>
  <c r="F7" i="4"/>
  <c r="F15" i="4" s="1"/>
  <c r="F19" i="4" s="1"/>
  <c r="B31" i="4" s="1"/>
  <c r="G31" i="4" s="1"/>
  <c r="U15" i="2"/>
  <c r="AI6" i="2"/>
  <c r="AI10" i="2" s="1"/>
  <c r="AQ7" i="2" s="1"/>
  <c r="C116" i="2"/>
  <c r="D15" i="2"/>
  <c r="AJ6" i="2"/>
  <c r="AJ10" i="2" s="1"/>
  <c r="AQ8" i="2" s="1"/>
  <c r="F15" i="2"/>
  <c r="E16" i="8"/>
  <c r="E37" i="8" s="1"/>
  <c r="AK9" i="2"/>
  <c r="D16" i="8"/>
  <c r="D37" i="8" s="1"/>
  <c r="F16" i="8"/>
  <c r="F37" i="8" s="1"/>
  <c r="C37" i="8"/>
  <c r="AK7" i="2"/>
  <c r="AI10" i="4"/>
  <c r="C15" i="2"/>
  <c r="B82" i="3"/>
  <c r="B6" i="2"/>
  <c r="F52" i="4"/>
  <c r="G36" i="4"/>
  <c r="B28" i="8"/>
  <c r="B27" i="8"/>
  <c r="E75" i="9"/>
  <c r="G34" i="9" s="1"/>
  <c r="G18" i="8"/>
  <c r="G29" i="4"/>
  <c r="B32" i="4"/>
  <c r="L16" i="4"/>
  <c r="G38" i="4"/>
  <c r="C52" i="4"/>
  <c r="M5" i="7"/>
  <c r="L5" i="7"/>
  <c r="AI11" i="4"/>
  <c r="G27" i="4"/>
  <c r="C51" i="4"/>
  <c r="E76" i="3"/>
  <c r="B40" i="4"/>
  <c r="G37" i="4" s="1"/>
  <c r="E7" i="2"/>
  <c r="B81" i="9"/>
  <c r="D52" i="4"/>
  <c r="B82" i="9"/>
  <c r="C17" i="8"/>
  <c r="C44" i="8" s="1"/>
  <c r="N15" i="2"/>
  <c r="E52" i="4"/>
  <c r="E116" i="2" l="1"/>
  <c r="C126" i="2"/>
  <c r="B126" i="2"/>
  <c r="B44" i="4"/>
  <c r="B48" i="4" s="1"/>
  <c r="G44" i="9"/>
  <c r="G72" i="9"/>
  <c r="G26" i="9"/>
  <c r="G10" i="9"/>
  <c r="G19" i="9"/>
  <c r="G16" i="8"/>
  <c r="B29" i="8"/>
  <c r="E4" i="3"/>
  <c r="G50" i="3"/>
  <c r="B81" i="3"/>
  <c r="G56" i="3"/>
  <c r="G62" i="3"/>
  <c r="B80" i="3"/>
  <c r="G19" i="3"/>
  <c r="G34" i="3"/>
  <c r="G10" i="3"/>
  <c r="G45" i="3"/>
  <c r="G73" i="3"/>
  <c r="G26" i="3"/>
  <c r="AH6" i="2"/>
  <c r="AH10" i="2" s="1"/>
  <c r="AQ6" i="2" s="1"/>
  <c r="AQ9" i="2" s="1"/>
  <c r="E6" i="2"/>
  <c r="B15" i="2"/>
  <c r="E4" i="9"/>
  <c r="F4" i="9" s="1"/>
  <c r="G49" i="9"/>
  <c r="B79" i="3"/>
  <c r="E17" i="8"/>
  <c r="D17" i="8"/>
  <c r="F17" i="8"/>
  <c r="C19" i="8"/>
  <c r="C26" i="8" s="1"/>
  <c r="G40" i="4"/>
  <c r="G39" i="4"/>
  <c r="B80" i="9"/>
  <c r="R16" i="4"/>
  <c r="C32" i="4"/>
  <c r="B79" i="9"/>
  <c r="E126" i="2" l="1"/>
  <c r="F36" i="8"/>
  <c r="E36" i="8"/>
  <c r="B36" i="8"/>
  <c r="C36" i="8"/>
  <c r="D36" i="8"/>
  <c r="G17" i="8"/>
  <c r="C43" i="8" s="1"/>
  <c r="G75" i="9"/>
  <c r="C28" i="8"/>
  <c r="AK6" i="2"/>
  <c r="E15" i="2"/>
  <c r="D44" i="8"/>
  <c r="D19" i="8"/>
  <c r="D27" i="8" s="1"/>
  <c r="D32" i="4"/>
  <c r="X16" i="4"/>
  <c r="C27" i="8"/>
  <c r="F44" i="8"/>
  <c r="F19" i="8"/>
  <c r="E44" i="8"/>
  <c r="E19" i="8"/>
  <c r="G76" i="3"/>
  <c r="C22" i="8"/>
  <c r="F4" i="3"/>
  <c r="F43" i="8" l="1"/>
  <c r="B43" i="8"/>
  <c r="D43" i="8"/>
  <c r="G19" i="8"/>
  <c r="E43" i="8"/>
  <c r="C29" i="8"/>
  <c r="E26" i="8"/>
  <c r="E28" i="8"/>
  <c r="E27" i="8"/>
  <c r="F28" i="8"/>
  <c r="F26" i="8"/>
  <c r="G9" i="2"/>
  <c r="G8" i="2"/>
  <c r="G7" i="2"/>
  <c r="G13" i="2"/>
  <c r="G11" i="2"/>
  <c r="G6" i="2"/>
  <c r="G12" i="2"/>
  <c r="G10" i="2"/>
  <c r="G14" i="2"/>
  <c r="AD16" i="4"/>
  <c r="F32" i="4" s="1"/>
  <c r="E32" i="4"/>
  <c r="D28" i="8"/>
  <c r="D26" i="8"/>
  <c r="F27" i="8"/>
  <c r="AK10" i="2"/>
  <c r="AL6" i="2" s="1"/>
  <c r="G28" i="8" l="1"/>
  <c r="G26" i="8"/>
  <c r="F29" i="8"/>
  <c r="G27" i="8"/>
  <c r="D29" i="8"/>
  <c r="AL8" i="2"/>
  <c r="AL7" i="2"/>
  <c r="AL9" i="2"/>
  <c r="G15" i="2"/>
  <c r="E29" i="8"/>
  <c r="AL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tc={F643838C-FB0A-49BD-A710-42B37803EB5D}</author>
    <author>tc={7C5212F1-5EB4-48FA-BC28-29D214B0FD71}</author>
    <author>tc={6F18E7E2-7B33-4C64-86E5-D072ADEB2015}</author>
    <author>tc={5903914D-6C8A-40D1-80EF-CD5F8BDC44DE}</author>
  </authors>
  <commentList>
    <comment ref="B7" authorId="0" shapeId="0" xr:uid="{F643838C-FB0A-49BD-A710-42B37803EB5D}">
      <text>
        <t>[Threaded comment]
Your version of Excel allows you to read this threaded comment; however, any edits to it will get removed if the file is opened in a newer version of Excel. Learn more: https://go.microsoft.com/fwlink/?linkid=870924
Comment:
    This includes $15k in rollover funds.</t>
      </text>
    </comment>
    <comment ref="B18" authorId="1" shapeId="0" xr:uid="{7C5212F1-5EB4-48FA-BC28-29D214B0FD71}">
      <text>
        <t>[Threaded comment]
Your version of Excel allows you to read this threaded comment; however, any edits to it will get removed if the file is opened in a newer version of Excel. Learn more: https://go.microsoft.com/fwlink/?linkid=870924
Comment:
    This includes $15k in rollover funds.</t>
      </text>
    </comment>
    <comment ref="B39" authorId="2" shapeId="0" xr:uid="{6F18E7E2-7B33-4C64-86E5-D072ADEB2015}">
      <text>
        <t>[Threaded comment]
Your version of Excel allows you to read this threaded comment; however, any edits to it will get removed if the file is opened in a newer version of Excel. Learn more: https://go.microsoft.com/fwlink/?linkid=870924
Comment:
    This assumes $25k in rollover funds.</t>
      </text>
    </comment>
    <comment ref="B43" authorId="3" shapeId="0" xr:uid="{5903914D-6C8A-40D1-80EF-CD5F8BDC44DE}">
      <text>
        <t>[Threaded comment]
Your version of Excel allows you to read this threaded comment; however, any edits to it will get removed if the file is opened in a newer version of Excel. Learn more: https://go.microsoft.com/fwlink/?linkid=870924
Comment:
    Uses $100k in carryover funds from early years to accelerate this work.</t>
      </text>
    </comment>
  </commentList>
</comments>
</file>

<file path=xl/sharedStrings.xml><?xml version="1.0" encoding="utf-8"?>
<sst xmlns="http://schemas.openxmlformats.org/spreadsheetml/2006/main" count="603" uniqueCount="325">
  <si>
    <t>Typical Rates for RTF Activities</t>
  </si>
  <si>
    <t>Periodic Salary Estimates</t>
  </si>
  <si>
    <t>Annual</t>
  </si>
  <si>
    <t>Month</t>
  </si>
  <si>
    <t>Week</t>
  </si>
  <si>
    <t>Day</t>
  </si>
  <si>
    <t>Hour</t>
  </si>
  <si>
    <t>1 day/wk</t>
  </si>
  <si>
    <t>2 day/wk</t>
  </si>
  <si>
    <t>1 day/mo</t>
  </si>
  <si>
    <t>2 day/mo</t>
  </si>
  <si>
    <t>3 day/mo</t>
  </si>
  <si>
    <t>ESTIMATOR</t>
  </si>
  <si>
    <t>Technical Work Rates</t>
  </si>
  <si>
    <t>Rate</t>
  </si>
  <si>
    <t>1 Day</t>
  </si>
  <si>
    <t>2 Day</t>
  </si>
  <si>
    <t>3 Day</t>
  </si>
  <si>
    <t>1 Week</t>
  </si>
  <si>
    <t>2 Week</t>
  </si>
  <si>
    <t>3 Week</t>
  </si>
  <si>
    <t>Percent of Year</t>
  </si>
  <si>
    <t>Percent of time</t>
  </si>
  <si>
    <t>Hours per year</t>
  </si>
  <si>
    <t>Hours per Month</t>
  </si>
  <si>
    <t>Hours per Week</t>
  </si>
  <si>
    <t>Days per Month</t>
  </si>
  <si>
    <t>Inputs</t>
  </si>
  <si>
    <t>Result</t>
  </si>
  <si>
    <t>hrs/year</t>
  </si>
  <si>
    <t>hrs/mo</t>
  </si>
  <si>
    <t>hrs/week</t>
  </si>
  <si>
    <t>Percent time</t>
  </si>
  <si>
    <t>Enter all-in staff rate</t>
  </si>
  <si>
    <t>FTE</t>
  </si>
  <si>
    <t>Name</t>
  </si>
  <si>
    <t>Admin Area</t>
  </si>
  <si>
    <t>Estimated Fraction of Time on RTF Administration</t>
  </si>
  <si>
    <t>Estimated Fraction of Time on RTF Technical Work</t>
  </si>
  <si>
    <t>Total Fraction FTE to RTF</t>
  </si>
  <si>
    <t>Ben Kujala</t>
  </si>
  <si>
    <t xml:space="preserve">Division Director </t>
  </si>
  <si>
    <t>Charlie Grist</t>
  </si>
  <si>
    <t>Manager of Conservation Resources</t>
  </si>
  <si>
    <t>Massoud Jourabchi</t>
  </si>
  <si>
    <t>Load Forecast Economics</t>
  </si>
  <si>
    <t>Tina Jayaweera</t>
  </si>
  <si>
    <t>Senior Energy Analyst</t>
  </si>
  <si>
    <t>Kevin Smith</t>
  </si>
  <si>
    <t>Senior Energy Efficiency Analyst</t>
  </si>
  <si>
    <t>Trina Gerlack</t>
  </si>
  <si>
    <t>Travel</t>
  </si>
  <si>
    <t>Michael Osborne</t>
  </si>
  <si>
    <t>Billing</t>
  </si>
  <si>
    <t>Legal &amp; Contracts</t>
  </si>
  <si>
    <t>Sandra Hirotsu</t>
  </si>
  <si>
    <t>Financials &amp; Contracts</t>
  </si>
  <si>
    <t>Judi Hertz</t>
  </si>
  <si>
    <t>Contracts</t>
  </si>
  <si>
    <t>Carol Winkel</t>
  </si>
  <si>
    <t>RTF Annual Report</t>
  </si>
  <si>
    <t>Jennifer Light</t>
  </si>
  <si>
    <t>RTF Manager, RTF Chair</t>
  </si>
  <si>
    <t>With RTF Manager as part of RTF funds</t>
  </si>
  <si>
    <t>Table of Contents</t>
  </si>
  <si>
    <t>Estimate of NPCC Contribution</t>
  </si>
  <si>
    <t>Estimate of NPCC Staff Administration Cost for RTF (2020)</t>
  </si>
  <si>
    <t>Annika Roberts</t>
  </si>
  <si>
    <t>Admin</t>
  </si>
  <si>
    <t>Bethany Slyter</t>
  </si>
  <si>
    <t>Andrea Goodwin</t>
  </si>
  <si>
    <t>Enter Values in these columns for UES/Protocol</t>
  </si>
  <si>
    <t>Detail by Category</t>
  </si>
  <si>
    <t>Contract RFP</t>
  </si>
  <si>
    <t>Contract Analyst Team</t>
  </si>
  <si>
    <t>RTF Manager</t>
  </si>
  <si>
    <t>Subtotal
Funders</t>
  </si>
  <si>
    <t>Sub-section % of total</t>
  </si>
  <si>
    <t>n units</t>
  </si>
  <si>
    <t>Contract cost per unit</t>
  </si>
  <si>
    <t>Contract Analyst Team cost per unit</t>
  </si>
  <si>
    <t>RTF Manager cost per unit</t>
  </si>
  <si>
    <t>Council Staff cost per unit</t>
  </si>
  <si>
    <t>Notes</t>
  </si>
  <si>
    <t xml:space="preserve"> </t>
  </si>
  <si>
    <t>Development of new measures for Small &amp; Rural utilities</t>
  </si>
  <si>
    <t>Support contract analyst and potential contract RFP time for subcommittee management and potential measure development. Supports Bonneville's small and rural utilities.</t>
  </si>
  <si>
    <t>Develop new dual fuel measures</t>
  </si>
  <si>
    <t>Development of new gas-only measures</t>
  </si>
  <si>
    <t>Continued enhancement of Impact Evaluation Guidance</t>
  </si>
  <si>
    <t>Standardization of Technical Analysis</t>
  </si>
  <si>
    <t>Guidelines review and updates</t>
  </si>
  <si>
    <t>n/a</t>
  </si>
  <si>
    <t>Standard Information Workbook updates</t>
  </si>
  <si>
    <t>Coordination and review across measures</t>
  </si>
  <si>
    <t>Assumes 15% of CAT meeting time and internal review of each others measures. This directly supports measure development and other work efforts.</t>
  </si>
  <si>
    <t>Tool Development</t>
  </si>
  <si>
    <t>ProCost: Engine updates and ongoing maintenance</t>
  </si>
  <si>
    <t>SEEM: Ongoing maintenance and other updates</t>
  </si>
  <si>
    <t>EnergyPlus: Commercial building model maintenance</t>
  </si>
  <si>
    <t>Adapting models for climate change</t>
  </si>
  <si>
    <t>Regional Coordination on Energy Efficiency</t>
  </si>
  <si>
    <t>Regional Research Coordination</t>
  </si>
  <si>
    <t>Council Plan Support</t>
  </si>
  <si>
    <t>Market Analysis: NEEA/BPA Research Review</t>
  </si>
  <si>
    <t>Market Analysis: Sub-Regional Market Data and Analysis</t>
  </si>
  <si>
    <t>Savings Shape Development</t>
  </si>
  <si>
    <t>Demand Response Products</t>
  </si>
  <si>
    <t>Develop DR Technology Supply Curve Inputs</t>
  </si>
  <si>
    <t>Website: Development and Management</t>
  </si>
  <si>
    <t>Annual Regional Conservation Progress Report</t>
  </si>
  <si>
    <t>RTF Meetings and Member Support</t>
  </si>
  <si>
    <t>RTF Meetings, phone, web conference, meeting minutes</t>
  </si>
  <si>
    <t>RTF Members and Contract Analyst RTF Meeting Participation Travel</t>
  </si>
  <si>
    <t>RTF Management</t>
  </si>
  <si>
    <t xml:space="preserve">Manage RTF work flow, develop agenda &amp; procedures &amp; budgets &amp; SOWs </t>
  </si>
  <si>
    <t>RTF Manager time spent on improving general RTF processes</t>
  </si>
  <si>
    <t>RTF Manager time spent reviewing work products and engaging with subcommittees</t>
  </si>
  <si>
    <t xml:space="preserve">Manage RTF business activities, contracts, financial, bylaws, RTF PAC </t>
  </si>
  <si>
    <t>RTF Outreach and Training</t>
  </si>
  <si>
    <t>Guidelines training, webinars, presentations related to RTF matters. Minimal contract analyst support</t>
  </si>
  <si>
    <t>Annual Report</t>
  </si>
  <si>
    <t>Development of Annual Report</t>
  </si>
  <si>
    <t>RTF/Council Coordination</t>
  </si>
  <si>
    <t>Council meetings and other coordination with broader Council efforts</t>
  </si>
  <si>
    <t>Total New Work</t>
  </si>
  <si>
    <t>WORK PLAN METRICS</t>
  </si>
  <si>
    <t>% Split by Allocation (Contract RFP):</t>
  </si>
  <si>
    <t>% Split by Allocation (Contract Analyst Team):</t>
  </si>
  <si>
    <t>% Split by Allocation (RTF Manager):</t>
  </si>
  <si>
    <t>QC Contract amount allocated:</t>
  </si>
  <si>
    <t>Equivalent Contract Analyst FTE:</t>
  </si>
  <si>
    <t>Equivalent Council Staff FTE:</t>
  </si>
  <si>
    <t>Wage + Inflation Rate:</t>
  </si>
  <si>
    <t>Estimated 2021</t>
  </si>
  <si>
    <t>Estimated 2022</t>
  </si>
  <si>
    <t>Estimated 2023</t>
  </si>
  <si>
    <t>Estimated 2024</t>
  </si>
  <si>
    <t>Category</t>
  </si>
  <si>
    <t>Subtotal Funders</t>
  </si>
  <si>
    <t>Major RTF Functions</t>
  </si>
  <si>
    <t>2024 Est.</t>
  </si>
  <si>
    <t>Net Change</t>
  </si>
  <si>
    <t>Measure Updates and New Development</t>
  </si>
  <si>
    <t>Estimated based on sunset dates, likely frequency of updates, measure status, etc. Anticipating lots of updates in 2021 and 2024, including more new measures tied to Plan scoping. Guidelines and SIW work is less frequent.</t>
  </si>
  <si>
    <t>Anticipate post 2021 Plan updates to ProCost. Climate modeling work heavy post plan in 2021 and 2022. Anticipate enhancements to ProCost and SEEM in 2024 with new RBSA and prep for next Plan (9P).</t>
  </si>
  <si>
    <t>Regional research coordination fairly flat/steady. Council Plan support minimal in 2021-2023, but ramping up. Focus on post-Plan analysis, savings shape, and decarbonization in 2021-2023.</t>
  </si>
  <si>
    <t>Demand Response</t>
  </si>
  <si>
    <t>Not currently included in the budget</t>
  </si>
  <si>
    <t>RTF Base Operations</t>
  </si>
  <si>
    <t>Increase in member budgets by 5% in 2022 to account for new members with potential increase in support. Assuming any other increases tied to wage/inflation.</t>
  </si>
  <si>
    <t>Total</t>
  </si>
  <si>
    <t>Subtotal New Work</t>
  </si>
  <si>
    <t>Council Staff</t>
  </si>
  <si>
    <t>Council Staff FTE</t>
  </si>
  <si>
    <t>Total Funding Increase</t>
  </si>
  <si>
    <t>Annual increase year to year</t>
  </si>
  <si>
    <t>Annual increase from 2020 base year</t>
  </si>
  <si>
    <t>Electric</t>
  </si>
  <si>
    <t>Gas</t>
  </si>
  <si>
    <t>% of total</t>
  </si>
  <si>
    <t>Technical Analysis</t>
  </si>
  <si>
    <t>Contract Analysts</t>
  </si>
  <si>
    <t xml:space="preserve">Tool Development and Regional Coordination </t>
  </si>
  <si>
    <t>Regional Coordination</t>
  </si>
  <si>
    <t>Administration</t>
  </si>
  <si>
    <t>Total Including Council Contribution</t>
  </si>
  <si>
    <t>Council Contribution</t>
  </si>
  <si>
    <t>Council Staff Contribution</t>
  </si>
  <si>
    <t xml:space="preserve">Assumes Council contributes fully to RTF site. </t>
  </si>
  <si>
    <t>Category Level Budget &amp; Historical Comparison</t>
  </si>
  <si>
    <t>Final 2019</t>
  </si>
  <si>
    <t>RTF Contract Analyst Team</t>
  </si>
  <si>
    <t>Existing Measure Maintenance</t>
  </si>
  <si>
    <t>New Measure Development</t>
  </si>
  <si>
    <t>Website and Regional Conservation Progress</t>
  </si>
  <si>
    <t>RTF Meeting Support</t>
  </si>
  <si>
    <t>Sheet Name</t>
  </si>
  <si>
    <t>Typical Rates</t>
  </si>
  <si>
    <t xml:space="preserve">Assumptions used to estimate approximate costs of contractor, and RTF staff work.  Use as a reference.    </t>
  </si>
  <si>
    <t>Funding Shares</t>
  </si>
  <si>
    <t>NPCC Contribution</t>
  </si>
  <si>
    <t>Five year work plan by category. This is based on setting levels for funding agreements. Out years were developed based on planned work flow and working towards a flat budget. More detail on the out years is provided in the Business Plan.</t>
  </si>
  <si>
    <t>Provides a breakdown of Council staff contributions, in terms of percent of time used to support RTF technical or overhead work. These are rough estimates.</t>
  </si>
  <si>
    <t>Website and Conservation Tracking</t>
  </si>
  <si>
    <t>Tools and Regional Coordination</t>
  </si>
  <si>
    <t>Measure Analysis</t>
  </si>
  <si>
    <t>Percent</t>
  </si>
  <si>
    <t>Organization</t>
  </si>
  <si>
    <t>RTF Proposed Funding Shares</t>
  </si>
  <si>
    <t>Bonneville Power Administration</t>
  </si>
  <si>
    <t>Puget Sound Energy</t>
  </si>
  <si>
    <t>Idaho Power Company</t>
  </si>
  <si>
    <t>Avista Corporation, Inc</t>
  </si>
  <si>
    <t>PacifiCorp (Idaho)</t>
  </si>
  <si>
    <t>Seattle City Light</t>
  </si>
  <si>
    <t>PUD No 1 of Clark County</t>
  </si>
  <si>
    <t>Tacoma Power</t>
  </si>
  <si>
    <t>Snohomish County PUD</t>
  </si>
  <si>
    <t>Eugene Water and Electric</t>
  </si>
  <si>
    <t>Chelan County</t>
  </si>
  <si>
    <t>PUD No 1 of Cowlitz County</t>
  </si>
  <si>
    <t>Cascade Natural Gas</t>
  </si>
  <si>
    <t>NW Natural</t>
  </si>
  <si>
    <t>NorthWestern Energy*</t>
  </si>
  <si>
    <t>*NorthWestern's share represents 52% of NEEA allocation.</t>
  </si>
  <si>
    <t>Category (2021)</t>
  </si>
  <si>
    <t xml:space="preserve">Category-level budget for 2021.  High-level division of RTF work product categories. This provides a comparison of the proposed budget for 2021 to the previously two years of the RTF. All data in this sheet are either linked to "Category Detail (2021)" or hard coded based on past years. Do not make changes on this sheet. </t>
  </si>
  <si>
    <t>Category Detail (2021)</t>
  </si>
  <si>
    <t>Detailed budget for 2021. Breaks down the high-level divisions into specific elements with specific costs and specific pacing for each.</t>
  </si>
  <si>
    <t>Proposed 2021</t>
  </si>
  <si>
    <t>Final 2020</t>
  </si>
  <si>
    <t xml:space="preserve">Total </t>
  </si>
  <si>
    <t>Proposed 2021 Amount</t>
  </si>
  <si>
    <t>Remaining</t>
  </si>
  <si>
    <t>Applied Rollover Funds</t>
  </si>
  <si>
    <t>Travel to relevant Council meetings, related conferences, and other related regional travel; anticipate less than previous years.</t>
  </si>
  <si>
    <t>PAC materials preparation, contract and task order development, various business activities. Contract for Audit (estimated based on 2019 amount).</t>
  </si>
  <si>
    <t>Review, Analytical, and Subcommittee Support</t>
  </si>
  <si>
    <t>Inflation Update Calculator</t>
  </si>
  <si>
    <t>Original</t>
  </si>
  <si>
    <t>Updated Amount</t>
  </si>
  <si>
    <t>Assumes contracting out most of data analysis. Focus is on tracking electric savings.</t>
  </si>
  <si>
    <t xml:space="preserve">Assumes more work on building out analytical tools. </t>
  </si>
  <si>
    <t>Category Detail for 2021</t>
  </si>
  <si>
    <t>Assumed Fuel Type</t>
  </si>
  <si>
    <t>E</t>
  </si>
  <si>
    <t>D</t>
  </si>
  <si>
    <t>G</t>
  </si>
  <si>
    <t>Rollover Estimate: 2020 Electric</t>
  </si>
  <si>
    <t>Rollover Estimate: 2020 Gas</t>
  </si>
  <si>
    <t>Strategic Plan Amount</t>
  </si>
  <si>
    <t>Actual 2020 Rollover - Total</t>
  </si>
  <si>
    <t>Portland General Electric**</t>
  </si>
  <si>
    <t>Energy Trust of Oregon**</t>
  </si>
  <si>
    <t>PacifiCorp (Washington)**</t>
  </si>
  <si>
    <t>Share of RTF Budget (rounded)</t>
  </si>
  <si>
    <t>Electric Only UES/Standard Protocol slated to sunset</t>
  </si>
  <si>
    <t>Not assuming any existing measures will be updated to focus only on gas analysis in 2021.</t>
  </si>
  <si>
    <t>Estimating potentially 5 new electric measures (more com HPWH, grocery measures in plan, others)</t>
  </si>
  <si>
    <t>Estimating potentially 2 new dual fuel measures (cellular shades, demand control ventilation are options)</t>
  </si>
  <si>
    <t>Estimating potentially 2 new gas measures, with a plan to bring more in the out years (res tankless water heaters, rack ovens or griddles)</t>
  </si>
  <si>
    <t xml:space="preserve">Anticipate 17 electric UES and 1 standard protocol in 2021. </t>
  </si>
  <si>
    <t xml:space="preserve">Guidelines updated in 2020. No additional updates needed in 2021. </t>
  </si>
  <si>
    <t xml:space="preserve">SIW updated in 2019. Planning update in 2022. </t>
  </si>
  <si>
    <t xml:space="preserve">Assume in person meetings in 2021. Minutes $23K, phone/web conference $4K, Lunches $6K. Council staff contribution for meeting support. </t>
  </si>
  <si>
    <t>Assumes updates to reflect 2021 Plan outcomes and rerunning of all measures relative to new cost-effectiveness assumptions.</t>
  </si>
  <si>
    <t>2020-2024</t>
  </si>
  <si>
    <t>Fuel Type</t>
  </si>
  <si>
    <t>Funding Agreement Amounts</t>
  </si>
  <si>
    <t>Natural Gas Funding</t>
  </si>
  <si>
    <t>Electric Funding</t>
  </si>
  <si>
    <t>Work Plan Estimate</t>
  </si>
  <si>
    <t>Remaining*</t>
  </si>
  <si>
    <t>Actual Spend</t>
  </si>
  <si>
    <t>Updated Budget and Remaining</t>
  </si>
  <si>
    <t>Checks</t>
  </si>
  <si>
    <t>Agreed to Funding Amounts</t>
  </si>
  <si>
    <t>Funding Breakdown by Fuel Type - Work Plan Estimate Compared to Previous Year Actuals and Remaining Funds</t>
  </si>
  <si>
    <t>Fuel Funding Splits</t>
  </si>
  <si>
    <t>This provides the funding breakdown between electric and natural gas. It is used as a reference of actual spend and work plan estimates relative to funding agreement levels.</t>
  </si>
  <si>
    <t>Develop new electric-only measures</t>
  </si>
  <si>
    <t>** Adjusted to account for ETO's portion of demand response work; 57% to PGE and 43% to PacifiCorp WA</t>
  </si>
  <si>
    <t>Annual Percent Splits</t>
  </si>
  <si>
    <t>Total 5-year</t>
  </si>
  <si>
    <t>Natural Gas Tracking By Year, Relative to Strategic Plan Assumptions</t>
  </si>
  <si>
    <t>Strategic Plan Assumptions</t>
  </si>
  <si>
    <t>Percent Difference</t>
  </si>
  <si>
    <t xml:space="preserve">Strategic Plan Detailed Build Up - To be used for rough estimation of expected flow of work based on different fuel needs. </t>
  </si>
  <si>
    <t>Natural Gas</t>
  </si>
  <si>
    <t>Electric Gas Tracking By Year, Relative to Strategic Plan Assumptions</t>
  </si>
  <si>
    <t>Amount</t>
  </si>
  <si>
    <t>Assumes minimal Council support outside of regular RTF work (2 weeks). More anticipated in the out years.</t>
  </si>
  <si>
    <t>Regional Effort on EE Values/2021 Plan Implementation</t>
  </si>
  <si>
    <t>Assumes efforts related to implementing the plan, particularly around any regional studies on EE directed at RTF. Minimal effort assumed in 2021 (more work in out years if identified).</t>
  </si>
  <si>
    <t>Models finalized and tested in 2020. Assumes no planned updates to models in 2021.</t>
  </si>
  <si>
    <t>Developing approach to account for climate change in RTF analysis in alignment with 2021 Plan.</t>
  </si>
  <si>
    <t>Exploring approaches to sub-regional baselines (2 weeks)</t>
  </si>
  <si>
    <t>Category Detail for 2021 Assuming Strategic Plan Funding Level</t>
  </si>
  <si>
    <t>Assumes development of savings shapes from residential and commercial end use studies. Develop methodology, analyze data, create shapes. Accelerate shape developing with contract funds. Assumes more work in 2022 and 2023.</t>
  </si>
  <si>
    <t>Strategic Plan Category Level Budget for 2020-2024</t>
  </si>
  <si>
    <t>Approved Calendar 2020</t>
  </si>
  <si>
    <t>Strategic Plan (2020-2024)</t>
  </si>
  <si>
    <t>Actual Spend*</t>
  </si>
  <si>
    <t>**Remaining is estimated by dividing unspent/unallocated funds proportionally across remaining years.</t>
  </si>
  <si>
    <t>Remaining**</t>
  </si>
  <si>
    <t>Dual Fuel UES/Standard Protocol slated to sunset</t>
  </si>
  <si>
    <t>Dual Fuel UES updates - gas portion only in advance of sunset date</t>
  </si>
  <si>
    <t>CBSA Data Review for RTF Analysis</t>
  </si>
  <si>
    <t>Rollover (electric)</t>
  </si>
  <si>
    <t>CBSA Project</t>
  </si>
  <si>
    <t>Rollover (dual)</t>
  </si>
  <si>
    <t>Res Behavior Guidance</t>
  </si>
  <si>
    <t>Early carryover (electric)</t>
  </si>
  <si>
    <t>Rollover Estimates (to inform above table)</t>
  </si>
  <si>
    <t>Specific Projects Identified as Above and Beyond Strategic Plan</t>
  </si>
  <si>
    <t>Annual Funding Shares</t>
  </si>
  <si>
    <t>Estimated Additional Funding Available for 2021</t>
  </si>
  <si>
    <t>Carryover Electric from Previous Cycles</t>
  </si>
  <si>
    <t>*Actual Spend as of July 15. Will update before final work plan.</t>
  </si>
  <si>
    <t>Carryover from Previous Cycle (Elec)</t>
  </si>
  <si>
    <t>Carryover from Previous Cycles</t>
  </si>
  <si>
    <t>Variable Speed Drive Analysis</t>
  </si>
  <si>
    <t>Accelerate savings shape work</t>
  </si>
  <si>
    <t>Actuals/Estimates/Remaining</t>
  </si>
  <si>
    <t>Propsoed 2021 Work Plan, September 1, 2020</t>
  </si>
  <si>
    <t>Anticipate 10 dual fuel measures sunset in 2021</t>
  </si>
  <si>
    <t xml:space="preserve">Supports impact evaluation for whole building type programs, which would provide both electric and gas savings. </t>
  </si>
  <si>
    <t>Engagement with regional researchers on their evaluations and other projects related to RTF question. Also includes engagement in the RBSA III. Estimate assumes 5 CAT days a month.</t>
  </si>
  <si>
    <t>Assumes a mix of in person and virutual meetings in 2021. RTF member support for meetings, travel, and specific project reviews; based on past years with some adder for more member support, Assumes 5% of analyst time plus some travel</t>
  </si>
  <si>
    <t xml:space="preserve">Assume work building out residential building model. Includes a DR component noted below. </t>
  </si>
  <si>
    <t>Assumes support of Market Analysis Subcommittee (2 weeks total) and additional support of BPA market models. Total around 7-8% of an analysts time. RTF Manager coordination accounted for below.</t>
  </si>
  <si>
    <t>Budget Comparisons Based on Strategic Plan Amount Only - As of August 30</t>
  </si>
  <si>
    <t>Worsheet shows WP estimate before applying rollover/carryover funds</t>
  </si>
  <si>
    <t>Estimate of year end on August 20, 2020</t>
  </si>
  <si>
    <t>WP Based on SP Amounts</t>
  </si>
  <si>
    <t>This worksheet provides the proposed funding levels based on the strategic plan budget amount before allocating any rollover or carryover funds. This is to be used for reference only.</t>
  </si>
  <si>
    <t xml:space="preserve">Funding shares by sponsors based on the NEEA formula and the cost share agreements between gas and electric utilities. This worksheet also includes the estimate of carryover and rollover funds and outlines assumptions for how those will be applied in 2021. </t>
  </si>
  <si>
    <t>Anticipate 17 electric UES and 1 standard protocol in 2021. This includes $15k in rollover funds to inform a project around VSDs.</t>
  </si>
  <si>
    <t>Assumes small contract to support RTF analysis in understanding 2019 CBSA data relative to RTF measures and previous studies. All funds are rollover funds.</t>
  </si>
  <si>
    <t>Supports impact evaluation for whole building type programs, which would provide both electric and gas savings. This includes $15k in rollover funds to inform a project around residential behavior.</t>
  </si>
  <si>
    <t>Assumes development of savings shapes from residential and commercial end use studies. Develop methodology, analyze data, create shapes. Accelerate shape developing with contract funds (carryover). Assumes more work in 2022 and 2023.</t>
  </si>
  <si>
    <t>Existing Measure Maintenance (Additional Funds)</t>
  </si>
  <si>
    <t>New Measure Development (Additional Funds)</t>
  </si>
  <si>
    <t>Regional Coordination (Additional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</si>
</sst>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44" formatCode="_(&quot;$&quot;* #,##0.00_);_(&quot;$&quot;* \(#,##0.00\);_(&quot;$&quot;* &quot;-&quot;??_);_(@_)"/>
    <numFmt numFmtId="43" formatCode="_(* #,##0.00_);_(* \(#,##0.00\);_(* &quot;-&quot;??_);_(@_)"/>
    <numFmt numFmtId="164" formatCode="_([$$-409]* #,##0.00_);_([$$-409]* \(#,##0.00\);_([$$-409]* &quot;-&quot;??_);_(@_)"/>
    <numFmt numFmtId="165" formatCode="&quot;$&quot;#,##0.00"/>
    <numFmt numFmtId="166" formatCode="&quot;$&quot;#,##0"/>
    <numFmt numFmtId="167" formatCode="0.0"/>
    <numFmt numFmtId="168" formatCode="&quot;$&quot;#,##0.0"/>
    <numFmt numFmtId="169" formatCode="&quot;$&quot;#,##0.0_);\(&quot;$&quot;#,##0.0\)"/>
    <numFmt numFmtId="170" formatCode="_(&quot;$&quot;* #,##0_);_(&quot;$&quot;* \(#,##0\);_(&quot;$&quot;* &quot;-&quot;??_);_(@_)"/>
    <numFmt numFmtId="171" formatCode="_(* #,##0.0_);_(* \(#,##0.0\);_(* &quot;-&quot;??_);_(@_)"/>
    <numFmt numFmtId="172" formatCode="_(&quot;$&quot;* #,##0.0_);_(&quot;$&quot;* \(#,##0.0\);_(&quot;$&quot;* &quot;-&quot;??_);_(@_)"/>
    <numFmt numFmtId="173" formatCode="#,##0.0_);\(#,##0.0\)"/>
    <numFmt numFmtId="174" formatCode="_([$$-409]* #,##0_);_([$$-409]* \(#,##0\);_([$$-409]* &quot;-&quot;??_);_(@_)"/>
    <numFmt numFmtId="175" formatCode="0.0%"/>
  </numFmts>
  <fonts count="23" x14ac:knownFonts="1">
    <font>
      <sz val="10"/>
      <color theme="1"/>
      <name val="Arial"/>
      <family val="2"/>
    </font>
    <font>
      <sz val="10"/>
      <color theme="1"/>
      <name val="Arial"/>
      <family val="2"/>
    </font>
    <font>
      <sz val="12"/>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sz val="11"/>
      <name val="Calibri"/>
      <family val="2"/>
      <scheme val="minor"/>
    </font>
    <font>
      <sz val="12"/>
      <name val="Calibri"/>
      <family val="2"/>
      <scheme val="minor"/>
    </font>
    <font>
      <sz val="10"/>
      <name val="Arial"/>
      <family val="2"/>
    </font>
    <font>
      <i/>
      <sz val="12"/>
      <name val="Calibri"/>
      <family val="2"/>
      <scheme val="minor"/>
    </font>
    <font>
      <b/>
      <sz val="12"/>
      <name val="Calibri"/>
      <family val="2"/>
      <scheme val="minor"/>
    </font>
    <font>
      <i/>
      <sz val="12"/>
      <color theme="1"/>
      <name val="Calibri"/>
      <family val="2"/>
      <scheme val="minor"/>
    </font>
    <font>
      <b/>
      <sz val="12"/>
      <color indexed="8"/>
      <name val="Calibri"/>
      <family val="2"/>
      <scheme val="minor"/>
    </font>
    <font>
      <sz val="12"/>
      <color rgb="FF000000"/>
      <name val="Calibri"/>
      <family val="2"/>
      <scheme val="minor"/>
    </font>
    <font>
      <sz val="12"/>
      <color indexed="8"/>
      <name val="Calibri"/>
      <family val="2"/>
      <scheme val="minor"/>
    </font>
    <font>
      <sz val="12"/>
      <color rgb="FF00B050"/>
      <name val="Calibri"/>
      <family val="2"/>
      <scheme val="minor"/>
    </font>
    <font>
      <i/>
      <sz val="12"/>
      <color rgb="FFFF0000"/>
      <name val="Calibri"/>
      <family val="2"/>
      <scheme val="minor"/>
    </font>
    <font>
      <b/>
      <sz val="11"/>
      <color theme="1"/>
      <name val="Calibri"/>
      <family val="2"/>
      <scheme val="minor"/>
    </font>
    <font>
      <sz val="11"/>
      <color theme="1"/>
      <name val="Calibri"/>
      <family val="2"/>
      <scheme val="minor"/>
    </font>
    <font>
      <b/>
      <sz val="11"/>
      <name val="Calibri"/>
      <family val="2"/>
      <scheme val="minor"/>
    </font>
    <font>
      <sz val="10"/>
      <color theme="1"/>
      <name val="Calibri"/>
      <family val="2"/>
      <scheme val="minor"/>
    </font>
    <font>
      <sz val="12"/>
      <color rgb="FFFF0000"/>
      <name val="Calibri"/>
      <family val="2"/>
      <scheme val="minor"/>
    </font>
    <font>
      <b/>
      <sz val="10"/>
      <color theme="1"/>
      <name val="Calibri"/>
      <family val="2"/>
      <scheme val="minor"/>
    </font>
  </fonts>
  <fills count="26">
    <fill>
      <patternFill patternType="none"/>
    </fill>
    <fill>
      <patternFill patternType="gray125"/>
    </fill>
    <fill>
      <patternFill patternType="solid">
        <fgColor theme="2"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1" tint="4.9989318521683403E-2"/>
        <bgColor indexed="64"/>
      </patternFill>
    </fill>
    <fill>
      <patternFill patternType="solid">
        <fgColor rgb="FFFFFF99"/>
        <bgColor indexed="64"/>
      </patternFill>
    </fill>
    <fill>
      <patternFill patternType="solid">
        <fgColor indexed="41"/>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F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bgColor indexed="64"/>
      </patternFill>
    </fill>
    <fill>
      <patternFill patternType="solid">
        <fgColor theme="6" tint="0.59999389629810485"/>
        <bgColor indexed="64"/>
      </patternFill>
    </fill>
    <fill>
      <patternFill patternType="solid">
        <fgColor theme="7"/>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indexed="64"/>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auto="1"/>
      </bottom>
      <diagonal/>
    </border>
    <border>
      <left style="medium">
        <color indexed="64"/>
      </left>
      <right style="medium">
        <color indexed="64"/>
      </right>
      <top style="thin">
        <color auto="1"/>
      </top>
      <bottom style="thin">
        <color auto="1"/>
      </bottom>
      <diagonal/>
    </border>
    <border>
      <left/>
      <right style="medium">
        <color auto="1"/>
      </right>
      <top/>
      <bottom style="medium">
        <color auto="1"/>
      </bottom>
      <diagonal/>
    </border>
    <border>
      <left/>
      <right style="medium">
        <color indexed="64"/>
      </right>
      <top style="medium">
        <color indexed="64"/>
      </top>
      <bottom/>
      <diagonal/>
    </border>
    <border>
      <left/>
      <right style="medium">
        <color indexed="64"/>
      </right>
      <top/>
      <bottom/>
      <diagonal/>
    </border>
    <border>
      <left style="medium">
        <color auto="1"/>
      </left>
      <right style="thin">
        <color auto="1"/>
      </right>
      <top style="thin">
        <color auto="1"/>
      </top>
      <bottom/>
      <diagonal/>
    </border>
    <border>
      <left/>
      <right/>
      <top style="medium">
        <color indexed="64"/>
      </top>
      <bottom/>
      <diagonal/>
    </border>
    <border>
      <left style="thin">
        <color auto="1"/>
      </left>
      <right style="medium">
        <color auto="1"/>
      </right>
      <top style="medium">
        <color auto="1"/>
      </top>
      <bottom style="medium">
        <color auto="1"/>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0" fontId="18" fillId="0" borderId="0"/>
  </cellStyleXfs>
  <cellXfs count="518">
    <xf numFmtId="0" fontId="0" fillId="0" borderId="0" xfId="0"/>
    <xf numFmtId="0" fontId="2" fillId="0" borderId="0" xfId="0" applyFont="1"/>
    <xf numFmtId="0" fontId="3" fillId="0" borderId="0" xfId="0" applyFont="1"/>
    <xf numFmtId="0" fontId="4" fillId="0" borderId="0" xfId="0" applyFont="1"/>
    <xf numFmtId="0" fontId="5" fillId="2" borderId="0" xfId="0" applyFont="1" applyFill="1"/>
    <xf numFmtId="0" fontId="2" fillId="2" borderId="0" xfId="0" applyFont="1" applyFill="1"/>
    <xf numFmtId="5" fontId="2" fillId="0" borderId="0" xfId="0" applyNumberFormat="1" applyFont="1"/>
    <xf numFmtId="5" fontId="2" fillId="0" borderId="0" xfId="2" applyNumberFormat="1" applyFont="1" applyAlignment="1">
      <alignment horizontal="center" vertical="center"/>
    </xf>
    <xf numFmtId="0" fontId="2" fillId="0" borderId="0" xfId="0" applyFont="1" applyAlignment="1">
      <alignment horizontal="right"/>
    </xf>
    <xf numFmtId="0" fontId="2" fillId="3" borderId="0" xfId="0" applyFont="1" applyFill="1"/>
    <xf numFmtId="0" fontId="5" fillId="2" borderId="1" xfId="0" applyFont="1" applyFill="1" applyBorder="1" applyAlignment="1">
      <alignment wrapText="1"/>
    </xf>
    <xf numFmtId="0" fontId="5" fillId="2" borderId="2" xfId="0" applyFont="1" applyFill="1" applyBorder="1" applyAlignment="1">
      <alignment wrapText="1"/>
    </xf>
    <xf numFmtId="0" fontId="5" fillId="2" borderId="3" xfId="0" applyFont="1" applyFill="1" applyBorder="1" applyAlignment="1">
      <alignment wrapText="1"/>
    </xf>
    <xf numFmtId="9" fontId="2" fillId="0" borderId="4" xfId="0" applyNumberFormat="1" applyFont="1" applyBorder="1"/>
    <xf numFmtId="0" fontId="2" fillId="0" borderId="0" xfId="0" applyFont="1" applyBorder="1"/>
    <xf numFmtId="1" fontId="2" fillId="0" borderId="0" xfId="0" applyNumberFormat="1" applyFont="1" applyBorder="1"/>
    <xf numFmtId="1" fontId="2" fillId="0" borderId="5" xfId="0" applyNumberFormat="1" applyFont="1" applyBorder="1"/>
    <xf numFmtId="2" fontId="6" fillId="0" borderId="0" xfId="0" applyNumberFormat="1" applyFont="1" applyFill="1"/>
    <xf numFmtId="0" fontId="6" fillId="0" borderId="0" xfId="0" applyFont="1" applyFill="1"/>
    <xf numFmtId="0" fontId="7" fillId="0" borderId="0" xfId="0" applyFont="1" applyFill="1"/>
    <xf numFmtId="7" fontId="7" fillId="0" borderId="0" xfId="0" applyNumberFormat="1" applyFont="1" applyFill="1"/>
    <xf numFmtId="0" fontId="7" fillId="0" borderId="0" xfId="0" applyFont="1"/>
    <xf numFmtId="2" fontId="6" fillId="0" borderId="0" xfId="0" applyNumberFormat="1" applyFont="1"/>
    <xf numFmtId="164" fontId="7" fillId="0" borderId="0" xfId="0" applyNumberFormat="1" applyFont="1" applyFill="1"/>
    <xf numFmtId="0" fontId="6" fillId="0" borderId="0" xfId="0" applyFont="1"/>
    <xf numFmtId="167" fontId="2" fillId="0" borderId="5" xfId="0" applyNumberFormat="1" applyFont="1" applyBorder="1"/>
    <xf numFmtId="9" fontId="2" fillId="0" borderId="6" xfId="0" applyNumberFormat="1" applyFont="1" applyBorder="1"/>
    <xf numFmtId="1" fontId="2" fillId="0" borderId="7" xfId="0" applyNumberFormat="1" applyFont="1" applyBorder="1"/>
    <xf numFmtId="0" fontId="2" fillId="0" borderId="7" xfId="0" applyFont="1" applyBorder="1"/>
    <xf numFmtId="167" fontId="2" fillId="0" borderId="8" xfId="0" applyNumberFormat="1" applyFont="1" applyBorder="1"/>
    <xf numFmtId="166" fontId="6" fillId="0" borderId="0" xfId="2" applyNumberFormat="1" applyFont="1" applyFill="1"/>
    <xf numFmtId="0" fontId="2" fillId="0" borderId="12" xfId="0" applyFont="1" applyBorder="1" applyAlignment="1">
      <alignment horizontal="center"/>
    </xf>
    <xf numFmtId="5" fontId="6" fillId="0" borderId="0" xfId="0" applyNumberFormat="1" applyFont="1" applyFill="1"/>
    <xf numFmtId="0" fontId="2" fillId="0" borderId="12" xfId="0" applyFont="1" applyBorder="1" applyAlignment="1">
      <alignment horizontal="left"/>
    </xf>
    <xf numFmtId="0" fontId="2" fillId="4" borderId="12" xfId="0" applyFont="1" applyFill="1" applyBorder="1" applyAlignment="1">
      <alignment horizontal="center"/>
    </xf>
    <xf numFmtId="0" fontId="2" fillId="5" borderId="12" xfId="0" applyFont="1" applyFill="1" applyBorder="1" applyAlignment="1">
      <alignment horizontal="center"/>
    </xf>
    <xf numFmtId="9" fontId="2" fillId="0" borderId="12" xfId="4" applyFont="1" applyBorder="1" applyAlignment="1">
      <alignment horizontal="center"/>
    </xf>
    <xf numFmtId="165" fontId="7" fillId="0" borderId="0" xfId="0" applyNumberFormat="1" applyFont="1"/>
    <xf numFmtId="168" fontId="7" fillId="0" borderId="0" xfId="0" applyNumberFormat="1" applyFont="1"/>
    <xf numFmtId="5" fontId="7" fillId="0" borderId="0" xfId="0" applyNumberFormat="1" applyFont="1" applyFill="1"/>
    <xf numFmtId="9" fontId="2" fillId="0" borderId="0" xfId="3" applyFont="1"/>
    <xf numFmtId="166" fontId="2" fillId="0" borderId="0" xfId="0" applyNumberFormat="1" applyFont="1"/>
    <xf numFmtId="0" fontId="2" fillId="0" borderId="0" xfId="0" applyFont="1" applyFill="1"/>
    <xf numFmtId="164" fontId="6" fillId="0" borderId="0" xfId="0" applyNumberFormat="1" applyFont="1" applyFill="1"/>
    <xf numFmtId="169" fontId="7" fillId="0" borderId="0" xfId="0" applyNumberFormat="1" applyFont="1" applyFill="1"/>
    <xf numFmtId="0" fontId="9" fillId="0" borderId="0" xfId="0" applyFont="1"/>
    <xf numFmtId="5" fontId="9" fillId="0" borderId="0" xfId="0" applyNumberFormat="1" applyFont="1" applyFill="1"/>
    <xf numFmtId="166" fontId="2" fillId="0" borderId="0" xfId="0" applyNumberFormat="1" applyFont="1" applyFill="1"/>
    <xf numFmtId="0" fontId="9" fillId="0" borderId="0" xfId="0" applyFont="1" applyFill="1"/>
    <xf numFmtId="9" fontId="7" fillId="0" borderId="0" xfId="3" applyFont="1"/>
    <xf numFmtId="5" fontId="10" fillId="0" borderId="0" xfId="0" applyNumberFormat="1" applyFont="1" applyFill="1"/>
    <xf numFmtId="7" fontId="7" fillId="0" borderId="0" xfId="0" applyNumberFormat="1" applyFont="1"/>
    <xf numFmtId="169" fontId="7" fillId="0" borderId="0" xfId="0" applyNumberFormat="1" applyFont="1"/>
    <xf numFmtId="165" fontId="2" fillId="0" borderId="0" xfId="0" applyNumberFormat="1" applyFont="1"/>
    <xf numFmtId="1" fontId="2" fillId="0" borderId="0" xfId="0" applyNumberFormat="1" applyFont="1" applyFill="1"/>
    <xf numFmtId="5" fontId="7" fillId="0" borderId="0" xfId="0" applyNumberFormat="1" applyFont="1"/>
    <xf numFmtId="0" fontId="11" fillId="0" borderId="0" xfId="0" applyFont="1"/>
    <xf numFmtId="0" fontId="7" fillId="0" borderId="0" xfId="5" applyFont="1"/>
    <xf numFmtId="44" fontId="7" fillId="0" borderId="0" xfId="5" applyNumberFormat="1" applyFont="1"/>
    <xf numFmtId="0" fontId="10" fillId="0" borderId="0" xfId="5" applyFont="1" applyFill="1"/>
    <xf numFmtId="0" fontId="7" fillId="0" borderId="0" xfId="5" applyFont="1" applyFill="1"/>
    <xf numFmtId="0" fontId="10" fillId="7" borderId="12" xfId="5" applyFont="1" applyFill="1" applyBorder="1" applyAlignment="1">
      <alignment wrapText="1"/>
    </xf>
    <xf numFmtId="0" fontId="7" fillId="0" borderId="12" xfId="5" applyFont="1" applyBorder="1"/>
    <xf numFmtId="9" fontId="7" fillId="0" borderId="12" xfId="5" applyNumberFormat="1" applyFont="1" applyFill="1" applyBorder="1"/>
    <xf numFmtId="9" fontId="7" fillId="0" borderId="12" xfId="5" applyNumberFormat="1" applyFont="1" applyBorder="1"/>
    <xf numFmtId="0" fontId="7" fillId="0" borderId="12" xfId="5" applyFont="1" applyFill="1" applyBorder="1"/>
    <xf numFmtId="9" fontId="7" fillId="0" borderId="12" xfId="4" applyFont="1" applyFill="1" applyBorder="1"/>
    <xf numFmtId="9" fontId="7" fillId="0" borderId="12" xfId="4" applyFont="1" applyBorder="1"/>
    <xf numFmtId="9" fontId="7" fillId="8" borderId="12" xfId="5" applyNumberFormat="1" applyFont="1" applyFill="1" applyBorder="1"/>
    <xf numFmtId="170" fontId="2" fillId="0" borderId="0" xfId="6" applyNumberFormat="1" applyFont="1" applyFill="1"/>
    <xf numFmtId="0" fontId="10" fillId="0" borderId="0" xfId="5" applyFont="1"/>
    <xf numFmtId="170" fontId="7" fillId="0" borderId="0" xfId="5" applyNumberFormat="1" applyFont="1"/>
    <xf numFmtId="0" fontId="7" fillId="10" borderId="12" xfId="5" applyFont="1" applyFill="1" applyBorder="1"/>
    <xf numFmtId="9" fontId="7" fillId="10" borderId="12" xfId="5" applyNumberFormat="1" applyFont="1" applyFill="1" applyBorder="1"/>
    <xf numFmtId="0" fontId="10" fillId="11" borderId="13" xfId="5" applyFont="1" applyFill="1" applyBorder="1"/>
    <xf numFmtId="171" fontId="10" fillId="11" borderId="12" xfId="7" applyNumberFormat="1" applyFont="1" applyFill="1" applyBorder="1"/>
    <xf numFmtId="0" fontId="10" fillId="11" borderId="12" xfId="5" applyFont="1" applyFill="1" applyBorder="1"/>
    <xf numFmtId="170" fontId="2" fillId="12" borderId="0" xfId="6" applyNumberFormat="1" applyFont="1" applyFill="1"/>
    <xf numFmtId="0" fontId="7" fillId="12" borderId="0" xfId="5" applyFont="1" applyFill="1" applyAlignment="1">
      <alignment horizontal="center"/>
    </xf>
    <xf numFmtId="171" fontId="2" fillId="13" borderId="9" xfId="7" applyNumberFormat="1" applyFont="1" applyFill="1" applyBorder="1"/>
    <xf numFmtId="0" fontId="7" fillId="13" borderId="11" xfId="5" applyFont="1" applyFill="1" applyBorder="1"/>
    <xf numFmtId="0" fontId="12" fillId="0" borderId="12" xfId="0" applyFont="1" applyBorder="1" applyAlignment="1">
      <alignment horizontal="left" wrapText="1"/>
    </xf>
    <xf numFmtId="0" fontId="12" fillId="0" borderId="12" xfId="0" applyFont="1" applyBorder="1" applyAlignment="1">
      <alignment horizontal="center" wrapText="1"/>
    </xf>
    <xf numFmtId="0" fontId="12" fillId="8" borderId="12" xfId="0" applyFont="1" applyFill="1" applyBorder="1" applyAlignment="1">
      <alignment horizontal="center" wrapText="1"/>
    </xf>
    <xf numFmtId="0" fontId="12" fillId="15" borderId="0" xfId="0" applyFont="1" applyFill="1"/>
    <xf numFmtId="0" fontId="12" fillId="15" borderId="0" xfId="0" applyFont="1" applyFill="1" applyAlignment="1">
      <alignment wrapText="1"/>
    </xf>
    <xf numFmtId="0" fontId="2" fillId="15" borderId="0" xfId="0" applyFont="1" applyFill="1" applyAlignment="1">
      <alignment wrapText="1"/>
    </xf>
    <xf numFmtId="170" fontId="7" fillId="15" borderId="0" xfId="2" applyNumberFormat="1" applyFont="1" applyFill="1" applyAlignment="1">
      <alignment wrapText="1"/>
    </xf>
    <xf numFmtId="0" fontId="13" fillId="15" borderId="0" xfId="0" applyFont="1" applyFill="1"/>
    <xf numFmtId="5" fontId="7" fillId="15" borderId="0" xfId="2" applyNumberFormat="1" applyFont="1" applyFill="1" applyAlignment="1">
      <alignment horizontal="center" vertical="center"/>
    </xf>
    <xf numFmtId="9" fontId="7" fillId="15" borderId="0" xfId="3" applyFont="1" applyFill="1" applyAlignment="1">
      <alignment wrapText="1"/>
    </xf>
    <xf numFmtId="0" fontId="7" fillId="15" borderId="0" xfId="0" applyFont="1" applyFill="1" applyAlignment="1">
      <alignment wrapText="1"/>
    </xf>
    <xf numFmtId="170" fontId="2" fillId="15" borderId="0" xfId="2" applyNumberFormat="1" applyFont="1" applyFill="1" applyAlignment="1">
      <alignment wrapText="1"/>
    </xf>
    <xf numFmtId="0" fontId="14" fillId="15" borderId="0" xfId="0" applyFont="1" applyFill="1"/>
    <xf numFmtId="5" fontId="10" fillId="15" borderId="0" xfId="2" applyNumberFormat="1" applyFont="1" applyFill="1" applyAlignment="1">
      <alignment horizontal="center" vertical="center"/>
    </xf>
    <xf numFmtId="9" fontId="10" fillId="15" borderId="0" xfId="3" applyFont="1" applyFill="1" applyAlignment="1">
      <alignment wrapText="1"/>
    </xf>
    <xf numFmtId="172" fontId="2" fillId="15" borderId="0" xfId="2" applyNumberFormat="1" applyFont="1" applyFill="1" applyAlignment="1">
      <alignment wrapText="1"/>
    </xf>
    <xf numFmtId="0" fontId="10" fillId="15" borderId="0" xfId="0" applyFont="1" applyFill="1" applyAlignment="1">
      <alignment wrapText="1"/>
    </xf>
    <xf numFmtId="44" fontId="2" fillId="15" borderId="0" xfId="2" applyNumberFormat="1" applyFont="1" applyFill="1" applyAlignment="1">
      <alignment wrapText="1"/>
    </xf>
    <xf numFmtId="0" fontId="7" fillId="15" borderId="0" xfId="0" applyFont="1" applyFill="1" applyAlignment="1">
      <alignment horizontal="right" wrapText="1"/>
    </xf>
    <xf numFmtId="5" fontId="10" fillId="15" borderId="0" xfId="0" applyNumberFormat="1" applyFont="1" applyFill="1" applyAlignment="1">
      <alignment wrapText="1"/>
    </xf>
    <xf numFmtId="0" fontId="2" fillId="15" borderId="0" xfId="0" applyFont="1" applyFill="1"/>
    <xf numFmtId="0" fontId="7" fillId="15" borderId="0" xfId="0" applyFont="1" applyFill="1"/>
    <xf numFmtId="5" fontId="7" fillId="0" borderId="0" xfId="2" applyNumberFormat="1" applyFont="1" applyFill="1" applyAlignment="1">
      <alignment horizontal="center" vertical="center"/>
    </xf>
    <xf numFmtId="7" fontId="7" fillId="0" borderId="0" xfId="2" applyNumberFormat="1" applyFont="1" applyFill="1" applyAlignment="1">
      <alignment horizontal="center" vertical="center"/>
    </xf>
    <xf numFmtId="0" fontId="14" fillId="0" borderId="0" xfId="0" applyFont="1" applyFill="1"/>
    <xf numFmtId="0" fontId="12" fillId="0" borderId="0" xfId="0" applyFont="1" applyFill="1"/>
    <xf numFmtId="5" fontId="10" fillId="0" borderId="0" xfId="2" applyNumberFormat="1" applyFont="1" applyFill="1" applyAlignment="1">
      <alignment horizontal="center" vertical="center"/>
    </xf>
    <xf numFmtId="9" fontId="10" fillId="0" borderId="0" xfId="3" applyFont="1" applyFill="1"/>
    <xf numFmtId="0" fontId="14" fillId="0" borderId="0" xfId="0" applyFont="1"/>
    <xf numFmtId="5" fontId="7" fillId="0" borderId="0" xfId="2" applyNumberFormat="1" applyFont="1" applyAlignment="1">
      <alignment horizontal="center" vertical="center"/>
    </xf>
    <xf numFmtId="0" fontId="12" fillId="10" borderId="0" xfId="0" applyFont="1" applyFill="1"/>
    <xf numFmtId="5" fontId="5" fillId="10" borderId="0" xfId="0" applyNumberFormat="1" applyFont="1" applyFill="1" applyAlignment="1">
      <alignment horizontal="center"/>
    </xf>
    <xf numFmtId="9" fontId="5" fillId="10" borderId="0" xfId="3" applyFont="1" applyFill="1"/>
    <xf numFmtId="0" fontId="2" fillId="10" borderId="0" xfId="0" applyFont="1" applyFill="1"/>
    <xf numFmtId="5" fontId="5" fillId="0" borderId="0" xfId="0" applyNumberFormat="1" applyFont="1" applyFill="1" applyAlignment="1">
      <alignment horizontal="center"/>
    </xf>
    <xf numFmtId="7" fontId="2" fillId="0" borderId="0" xfId="0" applyNumberFormat="1" applyFont="1"/>
    <xf numFmtId="0" fontId="2" fillId="16" borderId="12" xfId="0" applyFont="1" applyFill="1" applyBorder="1"/>
    <xf numFmtId="0" fontId="5" fillId="16" borderId="1" xfId="0" applyFont="1" applyFill="1" applyBorder="1" applyAlignment="1">
      <alignment horizontal="right" vertical="center"/>
    </xf>
    <xf numFmtId="9" fontId="5" fillId="16" borderId="3" xfId="3" applyFont="1" applyFill="1" applyBorder="1" applyAlignment="1">
      <alignment horizontal="center"/>
    </xf>
    <xf numFmtId="0" fontId="5" fillId="16" borderId="4" xfId="0" applyFont="1" applyFill="1" applyBorder="1" applyAlignment="1">
      <alignment horizontal="right" vertical="center"/>
    </xf>
    <xf numFmtId="9" fontId="5" fillId="16" borderId="5" xfId="3" applyFont="1" applyFill="1" applyBorder="1" applyAlignment="1">
      <alignment horizontal="center"/>
    </xf>
    <xf numFmtId="5" fontId="5" fillId="16" borderId="5" xfId="0" applyNumberFormat="1" applyFont="1" applyFill="1" applyBorder="1" applyAlignment="1">
      <alignment horizontal="center" vertical="center"/>
    </xf>
    <xf numFmtId="0" fontId="5" fillId="16" borderId="6" xfId="0" applyFont="1" applyFill="1" applyBorder="1" applyAlignment="1">
      <alignment horizontal="right"/>
    </xf>
    <xf numFmtId="173" fontId="5" fillId="16" borderId="8" xfId="1" applyNumberFormat="1" applyFont="1" applyFill="1" applyBorder="1" applyAlignment="1">
      <alignment horizontal="center"/>
    </xf>
    <xf numFmtId="0" fontId="15" fillId="0" borderId="0" xfId="0" applyFont="1"/>
    <xf numFmtId="0" fontId="11" fillId="0" borderId="0" xfId="0" applyFont="1" applyAlignment="1">
      <alignment horizontal="right"/>
    </xf>
    <xf numFmtId="0" fontId="11" fillId="0" borderId="0" xfId="0" applyFont="1" applyAlignment="1">
      <alignment horizontal="left"/>
    </xf>
    <xf numFmtId="0" fontId="2" fillId="0" borderId="0" xfId="0" applyFont="1" applyAlignment="1">
      <alignment wrapText="1"/>
    </xf>
    <xf numFmtId="0" fontId="2" fillId="0" borderId="0" xfId="0" applyFont="1" applyFill="1" applyAlignment="1">
      <alignment wrapText="1"/>
    </xf>
    <xf numFmtId="0" fontId="12" fillId="9" borderId="0" xfId="0" applyFont="1" applyFill="1"/>
    <xf numFmtId="5" fontId="7" fillId="9" borderId="0" xfId="2" applyNumberFormat="1" applyFont="1" applyFill="1" applyAlignment="1">
      <alignment horizontal="center" vertical="center"/>
    </xf>
    <xf numFmtId="0" fontId="7" fillId="9" borderId="0" xfId="0" applyFont="1" applyFill="1"/>
    <xf numFmtId="0" fontId="2" fillId="9" borderId="0" xfId="0" applyFont="1" applyFill="1"/>
    <xf numFmtId="0" fontId="15" fillId="9" borderId="0" xfId="0" applyFont="1" applyFill="1" applyAlignment="1"/>
    <xf numFmtId="0" fontId="14" fillId="9" borderId="0" xfId="0" applyFont="1" applyFill="1"/>
    <xf numFmtId="9" fontId="10" fillId="9" borderId="0" xfId="3" applyFont="1" applyFill="1"/>
    <xf numFmtId="0" fontId="7" fillId="9" borderId="0" xfId="0" applyFont="1" applyFill="1" applyAlignment="1"/>
    <xf numFmtId="5" fontId="10" fillId="9" borderId="0" xfId="2" applyNumberFormat="1" applyFont="1" applyFill="1" applyAlignment="1">
      <alignment horizontal="center" vertical="center"/>
    </xf>
    <xf numFmtId="7" fontId="2" fillId="9" borderId="0" xfId="0" applyNumberFormat="1" applyFont="1" applyFill="1"/>
    <xf numFmtId="7" fontId="7" fillId="9" borderId="0" xfId="0" applyNumberFormat="1" applyFont="1" applyFill="1"/>
    <xf numFmtId="5" fontId="7" fillId="9" borderId="0" xfId="0" applyNumberFormat="1" applyFont="1" applyFill="1" applyAlignment="1">
      <alignment horizontal="center"/>
    </xf>
    <xf numFmtId="0" fontId="2" fillId="17" borderId="12" xfId="0" applyFont="1" applyFill="1" applyBorder="1" applyAlignment="1">
      <alignment wrapText="1"/>
    </xf>
    <xf numFmtId="5" fontId="0" fillId="0" borderId="0" xfId="0" applyNumberFormat="1" applyFont="1" applyFill="1" applyBorder="1" applyAlignment="1">
      <alignment horizontal="center" vertical="center"/>
    </xf>
    <xf numFmtId="0" fontId="5" fillId="16" borderId="14" xfId="0" applyFont="1" applyFill="1" applyBorder="1" applyAlignment="1">
      <alignment horizontal="center"/>
    </xf>
    <xf numFmtId="0" fontId="2" fillId="16" borderId="14" xfId="0" applyFont="1" applyFill="1" applyBorder="1"/>
    <xf numFmtId="0" fontId="5" fillId="16" borderId="4" xfId="0" applyFont="1" applyFill="1" applyBorder="1" applyAlignment="1">
      <alignment horizontal="right"/>
    </xf>
    <xf numFmtId="173" fontId="5" fillId="16" borderId="5" xfId="1" applyNumberFormat="1" applyFont="1" applyFill="1" applyBorder="1" applyAlignment="1">
      <alignment horizontal="center"/>
    </xf>
    <xf numFmtId="0" fontId="3" fillId="0" borderId="0" xfId="0" applyFont="1" applyFill="1"/>
    <xf numFmtId="0" fontId="5" fillId="0" borderId="0" xfId="0" applyFont="1"/>
    <xf numFmtId="0" fontId="4" fillId="0" borderId="0" xfId="0" applyFont="1" applyFill="1"/>
    <xf numFmtId="0" fontId="2" fillId="0" borderId="0" xfId="0" applyFont="1" applyFill="1" applyAlignment="1">
      <alignment horizontal="right"/>
    </xf>
    <xf numFmtId="10" fontId="2" fillId="0" borderId="0" xfId="0" applyNumberFormat="1" applyFont="1" applyFill="1"/>
    <xf numFmtId="0" fontId="2" fillId="16" borderId="0" xfId="0" applyFont="1" applyFill="1" applyAlignment="1">
      <alignment horizontal="right"/>
    </xf>
    <xf numFmtId="10" fontId="2" fillId="16" borderId="0" xfId="0" applyNumberFormat="1" applyFont="1" applyFill="1"/>
    <xf numFmtId="0" fontId="5" fillId="0" borderId="0" xfId="0" applyFont="1" applyFill="1" applyBorder="1" applyAlignment="1"/>
    <xf numFmtId="0" fontId="12" fillId="10" borderId="12" xfId="5" applyFont="1" applyFill="1" applyBorder="1"/>
    <xf numFmtId="0" fontId="12" fillId="10" borderId="12" xfId="5" applyFont="1" applyFill="1" applyBorder="1" applyAlignment="1">
      <alignment horizontal="center" wrapText="1"/>
    </xf>
    <xf numFmtId="0" fontId="12" fillId="10" borderId="9" xfId="5" applyFont="1" applyFill="1" applyBorder="1" applyAlignment="1">
      <alignment horizontal="center" wrapText="1"/>
    </xf>
    <xf numFmtId="0" fontId="12" fillId="10" borderId="16" xfId="5" applyFont="1" applyFill="1" applyBorder="1" applyAlignment="1">
      <alignment horizontal="center" wrapText="1"/>
    </xf>
    <xf numFmtId="0" fontId="12" fillId="10" borderId="11" xfId="5" applyFont="1" applyFill="1" applyBorder="1" applyAlignment="1">
      <alignment horizontal="center" wrapText="1"/>
    </xf>
    <xf numFmtId="0" fontId="12" fillId="10" borderId="17" xfId="5" applyFont="1" applyFill="1" applyBorder="1" applyAlignment="1">
      <alignment horizontal="center" wrapText="1"/>
    </xf>
    <xf numFmtId="0" fontId="12" fillId="10" borderId="12" xfId="5" applyFont="1" applyFill="1" applyBorder="1" applyAlignment="1">
      <alignment wrapText="1"/>
    </xf>
    <xf numFmtId="0" fontId="14" fillId="9" borderId="9" xfId="5" applyFont="1" applyFill="1" applyBorder="1" applyAlignment="1">
      <alignment vertical="center" wrapText="1"/>
    </xf>
    <xf numFmtId="5" fontId="2" fillId="9" borderId="12" xfId="0" applyNumberFormat="1" applyFont="1" applyFill="1" applyBorder="1" applyAlignment="1">
      <alignment horizontal="center" vertical="center"/>
    </xf>
    <xf numFmtId="5" fontId="2" fillId="9" borderId="16" xfId="0" applyNumberFormat="1" applyFont="1" applyFill="1" applyBorder="1" applyAlignment="1">
      <alignment horizontal="center" vertical="center"/>
    </xf>
    <xf numFmtId="5" fontId="2" fillId="9" borderId="11" xfId="0" applyNumberFormat="1" applyFont="1" applyFill="1" applyBorder="1" applyAlignment="1">
      <alignment horizontal="center" vertical="center"/>
    </xf>
    <xf numFmtId="0" fontId="14" fillId="0" borderId="9" xfId="5" applyFont="1" applyFill="1" applyBorder="1" applyAlignment="1">
      <alignment vertical="center" wrapText="1"/>
    </xf>
    <xf numFmtId="5" fontId="2" fillId="0" borderId="12" xfId="0" applyNumberFormat="1" applyFont="1" applyFill="1" applyBorder="1" applyAlignment="1">
      <alignment horizontal="center" vertical="center"/>
    </xf>
    <xf numFmtId="5" fontId="0" fillId="6" borderId="9" xfId="0" applyNumberFormat="1" applyFont="1" applyFill="1" applyBorder="1" applyAlignment="1">
      <alignment vertical="center" wrapText="1"/>
    </xf>
    <xf numFmtId="0" fontId="14" fillId="18" borderId="9" xfId="5" applyFont="1" applyFill="1" applyBorder="1" applyAlignment="1">
      <alignment vertical="center" wrapText="1"/>
    </xf>
    <xf numFmtId="5" fontId="2" fillId="18" borderId="12" xfId="0" applyNumberFormat="1" applyFont="1" applyFill="1" applyBorder="1" applyAlignment="1">
      <alignment horizontal="center" vertical="center"/>
    </xf>
    <xf numFmtId="5" fontId="2" fillId="18" borderId="16" xfId="0" applyNumberFormat="1" applyFont="1" applyFill="1" applyBorder="1" applyAlignment="1">
      <alignment horizontal="center" vertical="center"/>
    </xf>
    <xf numFmtId="5" fontId="2" fillId="18" borderId="11" xfId="0" applyNumberFormat="1" applyFont="1" applyFill="1" applyBorder="1" applyAlignment="1">
      <alignment horizontal="center" vertical="center"/>
    </xf>
    <xf numFmtId="0" fontId="14" fillId="19" borderId="9" xfId="5" applyFont="1" applyFill="1" applyBorder="1" applyAlignment="1">
      <alignment vertical="center" wrapText="1"/>
    </xf>
    <xf numFmtId="5" fontId="2" fillId="19" borderId="12" xfId="0" applyNumberFormat="1" applyFont="1" applyFill="1" applyBorder="1" applyAlignment="1">
      <alignment horizontal="center" vertical="center"/>
    </xf>
    <xf numFmtId="5" fontId="2" fillId="19" borderId="9" xfId="0" applyNumberFormat="1" applyFont="1" applyFill="1" applyBorder="1" applyAlignment="1">
      <alignment vertical="center"/>
    </xf>
    <xf numFmtId="0" fontId="12" fillId="10" borderId="12" xfId="5" applyFont="1" applyFill="1" applyBorder="1" applyAlignment="1">
      <alignment vertical="center" wrapText="1"/>
    </xf>
    <xf numFmtId="5" fontId="5" fillId="10" borderId="12" xfId="0" applyNumberFormat="1" applyFont="1" applyFill="1" applyBorder="1" applyAlignment="1">
      <alignment horizontal="center" vertical="center"/>
    </xf>
    <xf numFmtId="5" fontId="5" fillId="10" borderId="16" xfId="0" applyNumberFormat="1" applyFont="1" applyFill="1" applyBorder="1" applyAlignment="1">
      <alignment horizontal="center" vertical="center"/>
    </xf>
    <xf numFmtId="5" fontId="5" fillId="10" borderId="11" xfId="0" applyNumberFormat="1" applyFont="1" applyFill="1" applyBorder="1" applyAlignment="1">
      <alignment horizontal="center" vertical="center"/>
    </xf>
    <xf numFmtId="5" fontId="5" fillId="8" borderId="12" xfId="0" applyNumberFormat="1" applyFont="1" applyFill="1" applyBorder="1" applyAlignment="1">
      <alignment horizontal="center" vertical="center"/>
    </xf>
    <xf numFmtId="5" fontId="5" fillId="8" borderId="16" xfId="0" applyNumberFormat="1" applyFont="1" applyFill="1" applyBorder="1" applyAlignment="1">
      <alignment horizontal="center" vertical="center"/>
    </xf>
    <xf numFmtId="5" fontId="5" fillId="8" borderId="11" xfId="0" applyNumberFormat="1" applyFont="1" applyFill="1" applyBorder="1" applyAlignment="1">
      <alignment horizontal="center" vertical="center"/>
    </xf>
    <xf numFmtId="5" fontId="5" fillId="0" borderId="12" xfId="0" applyNumberFormat="1" applyFont="1" applyBorder="1" applyAlignment="1">
      <alignment horizontal="center" vertical="center"/>
    </xf>
    <xf numFmtId="5" fontId="5" fillId="0" borderId="16" xfId="0" applyNumberFormat="1" applyFont="1" applyBorder="1" applyAlignment="1">
      <alignment horizontal="center" vertical="center"/>
    </xf>
    <xf numFmtId="5" fontId="5" fillId="0" borderId="11" xfId="0" applyNumberFormat="1" applyFont="1" applyBorder="1" applyAlignment="1">
      <alignment horizontal="center" vertical="center"/>
    </xf>
    <xf numFmtId="0" fontId="14" fillId="0" borderId="12" xfId="5" applyFont="1" applyFill="1" applyBorder="1" applyAlignment="1">
      <alignment vertical="center" wrapText="1"/>
    </xf>
    <xf numFmtId="0" fontId="2" fillId="0" borderId="12" xfId="0" applyFont="1" applyBorder="1"/>
    <xf numFmtId="173" fontId="2" fillId="0" borderId="12" xfId="0" applyNumberFormat="1" applyFont="1" applyBorder="1" applyAlignment="1">
      <alignment horizontal="center" vertical="center"/>
    </xf>
    <xf numFmtId="173" fontId="2" fillId="0" borderId="9" xfId="0" applyNumberFormat="1" applyFont="1" applyBorder="1" applyAlignment="1">
      <alignment horizontal="center" vertical="center"/>
    </xf>
    <xf numFmtId="0" fontId="2" fillId="0" borderId="16" xfId="0" applyFont="1" applyBorder="1"/>
    <xf numFmtId="173" fontId="2" fillId="0" borderId="11" xfId="0" applyNumberFormat="1" applyFont="1" applyBorder="1" applyAlignment="1">
      <alignment horizontal="center" vertical="center"/>
    </xf>
    <xf numFmtId="173" fontId="2" fillId="0" borderId="12" xfId="0" applyNumberFormat="1" applyFont="1" applyFill="1" applyBorder="1" applyAlignment="1">
      <alignment horizontal="center" vertical="center"/>
    </xf>
    <xf numFmtId="173" fontId="2" fillId="0" borderId="9" xfId="0" applyNumberFormat="1" applyFont="1" applyFill="1" applyBorder="1" applyAlignment="1">
      <alignment horizontal="center" vertical="center"/>
    </xf>
    <xf numFmtId="5" fontId="2" fillId="0" borderId="16" xfId="0" applyNumberFormat="1" applyFont="1" applyFill="1" applyBorder="1"/>
    <xf numFmtId="5" fontId="2" fillId="0" borderId="16" xfId="0" applyNumberFormat="1" applyFont="1" applyBorder="1"/>
    <xf numFmtId="0" fontId="2" fillId="0" borderId="0" xfId="0" applyFont="1" applyAlignment="1">
      <alignment horizontal="center" vertical="center"/>
    </xf>
    <xf numFmtId="5" fontId="2" fillId="0" borderId="0" xfId="0" applyNumberFormat="1" applyFont="1" applyFill="1" applyAlignment="1">
      <alignment vertical="top"/>
    </xf>
    <xf numFmtId="170" fontId="2" fillId="0" borderId="0" xfId="2" applyNumberFormat="1" applyFont="1" applyFill="1"/>
    <xf numFmtId="170" fontId="2" fillId="0" borderId="0" xfId="2" applyNumberFormat="1" applyFont="1"/>
    <xf numFmtId="5" fontId="2" fillId="0" borderId="0" xfId="0" applyNumberFormat="1" applyFont="1" applyAlignment="1">
      <alignment vertical="top"/>
    </xf>
    <xf numFmtId="170" fontId="2" fillId="0" borderId="0" xfId="0" applyNumberFormat="1" applyFont="1" applyFill="1" applyAlignment="1">
      <alignment vertical="top"/>
    </xf>
    <xf numFmtId="0" fontId="2" fillId="0" borderId="12" xfId="0" applyFont="1" applyBorder="1" applyAlignment="1">
      <alignment horizontal="right"/>
    </xf>
    <xf numFmtId="5" fontId="2" fillId="0" borderId="12" xfId="0" applyNumberFormat="1" applyFont="1" applyBorder="1" applyAlignment="1">
      <alignment horizontal="center"/>
    </xf>
    <xf numFmtId="0" fontId="2" fillId="0" borderId="12" xfId="0" applyFont="1" applyFill="1" applyBorder="1" applyAlignment="1">
      <alignment horizontal="right"/>
    </xf>
    <xf numFmtId="170" fontId="16" fillId="0" borderId="0" xfId="2" applyNumberFormat="1" applyFont="1"/>
    <xf numFmtId="0" fontId="5" fillId="10" borderId="12" xfId="0" applyFont="1" applyFill="1" applyBorder="1" applyAlignment="1">
      <alignment horizontal="right"/>
    </xf>
    <xf numFmtId="0" fontId="7" fillId="9" borderId="12" xfId="0" applyFont="1" applyFill="1" applyBorder="1" applyAlignment="1">
      <alignment horizontal="right"/>
    </xf>
    <xf numFmtId="5" fontId="2" fillId="9" borderId="12" xfId="0" applyNumberFormat="1" applyFont="1" applyFill="1" applyBorder="1" applyAlignment="1">
      <alignment horizontal="center"/>
    </xf>
    <xf numFmtId="0" fontId="7" fillId="18" borderId="12" xfId="0" applyFont="1" applyFill="1" applyBorder="1" applyAlignment="1">
      <alignment horizontal="right"/>
    </xf>
    <xf numFmtId="5" fontId="2" fillId="18" borderId="12" xfId="0" applyNumberFormat="1" applyFont="1" applyFill="1" applyBorder="1" applyAlignment="1">
      <alignment horizontal="center"/>
    </xf>
    <xf numFmtId="0" fontId="5" fillId="0" borderId="12" xfId="0" applyFont="1" applyBorder="1" applyAlignment="1">
      <alignment horizontal="right"/>
    </xf>
    <xf numFmtId="5" fontId="5" fillId="0" borderId="12" xfId="0" applyNumberFormat="1" applyFont="1" applyBorder="1"/>
    <xf numFmtId="0" fontId="7" fillId="0" borderId="12" xfId="0" applyFont="1" applyFill="1" applyBorder="1" applyAlignment="1">
      <alignment horizontal="right"/>
    </xf>
    <xf numFmtId="5" fontId="2" fillId="20" borderId="12" xfId="0" applyNumberFormat="1" applyFont="1" applyFill="1" applyBorder="1" applyAlignment="1">
      <alignment horizontal="right"/>
    </xf>
    <xf numFmtId="5" fontId="2" fillId="0" borderId="12" xfId="0" applyNumberFormat="1" applyFont="1" applyFill="1" applyBorder="1"/>
    <xf numFmtId="0" fontId="10" fillId="0" borderId="12" xfId="0" applyFont="1" applyFill="1" applyBorder="1" applyAlignment="1">
      <alignment horizontal="right"/>
    </xf>
    <xf numFmtId="5" fontId="5" fillId="0" borderId="12" xfId="0" applyNumberFormat="1" applyFont="1" applyFill="1" applyBorder="1"/>
    <xf numFmtId="0" fontId="10" fillId="0" borderId="0" xfId="0" applyFont="1" applyFill="1" applyBorder="1" applyAlignment="1">
      <alignment horizontal="right"/>
    </xf>
    <xf numFmtId="5" fontId="5" fillId="0" borderId="0" xfId="0" applyNumberFormat="1" applyFont="1" applyBorder="1"/>
    <xf numFmtId="0" fontId="12" fillId="18" borderId="0" xfId="0" applyFont="1" applyFill="1"/>
    <xf numFmtId="5" fontId="7" fillId="18" borderId="0" xfId="2" applyNumberFormat="1" applyFont="1" applyFill="1" applyAlignment="1">
      <alignment horizontal="center" vertical="center"/>
    </xf>
    <xf numFmtId="0" fontId="7" fillId="18" borderId="0" xfId="0" applyFont="1" applyFill="1"/>
    <xf numFmtId="0" fontId="2" fillId="18" borderId="0" xfId="0" applyFont="1" applyFill="1"/>
    <xf numFmtId="0" fontId="14" fillId="18" borderId="0" xfId="0" applyFont="1" applyFill="1"/>
    <xf numFmtId="0" fontId="7" fillId="18" borderId="0" xfId="0" applyFont="1" applyFill="1" applyAlignment="1">
      <alignment wrapText="1"/>
    </xf>
    <xf numFmtId="170" fontId="7" fillId="18" borderId="0" xfId="2" applyNumberFormat="1" applyFont="1" applyFill="1" applyAlignment="1">
      <alignment wrapText="1"/>
    </xf>
    <xf numFmtId="170" fontId="2" fillId="18" borderId="0" xfId="2" applyNumberFormat="1" applyFont="1" applyFill="1" applyAlignment="1">
      <alignment wrapText="1"/>
    </xf>
    <xf numFmtId="5" fontId="10" fillId="18" borderId="0" xfId="2" applyNumberFormat="1" applyFont="1" applyFill="1" applyAlignment="1">
      <alignment horizontal="center" vertical="center"/>
    </xf>
    <xf numFmtId="9" fontId="10" fillId="18" borderId="0" xfId="3" applyFont="1" applyFill="1"/>
    <xf numFmtId="5" fontId="2" fillId="18" borderId="0" xfId="0" applyNumberFormat="1" applyFont="1" applyFill="1"/>
    <xf numFmtId="0" fontId="12" fillId="21" borderId="0" xfId="0" applyFont="1" applyFill="1"/>
    <xf numFmtId="5" fontId="7" fillId="21" borderId="0" xfId="2" applyNumberFormat="1" applyFont="1" applyFill="1" applyAlignment="1">
      <alignment horizontal="center" vertical="center"/>
    </xf>
    <xf numFmtId="5" fontId="10" fillId="21" borderId="0" xfId="2" applyNumberFormat="1" applyFont="1" applyFill="1" applyAlignment="1">
      <alignment horizontal="center" vertical="center"/>
    </xf>
    <xf numFmtId="0" fontId="7" fillId="21" borderId="0" xfId="0" applyFont="1" applyFill="1"/>
    <xf numFmtId="0" fontId="2" fillId="21" borderId="0" xfId="0" applyFont="1" applyFill="1"/>
    <xf numFmtId="0" fontId="14" fillId="21" borderId="0" xfId="0" applyFont="1" applyFill="1"/>
    <xf numFmtId="9" fontId="10" fillId="21" borderId="0" xfId="3" applyNumberFormat="1" applyFont="1" applyFill="1"/>
    <xf numFmtId="7" fontId="7" fillId="21" borderId="0" xfId="0" applyNumberFormat="1" applyFont="1" applyFill="1"/>
    <xf numFmtId="0" fontId="10" fillId="21" borderId="0" xfId="0" applyFont="1" applyFill="1" applyAlignment="1"/>
    <xf numFmtId="9" fontId="7" fillId="21" borderId="0" xfId="3" applyFont="1" applyFill="1"/>
    <xf numFmtId="5" fontId="7" fillId="21" borderId="0" xfId="0" applyNumberFormat="1" applyFont="1" applyFill="1"/>
    <xf numFmtId="7" fontId="2" fillId="21" borderId="0" xfId="0" applyNumberFormat="1" applyFont="1" applyFill="1"/>
    <xf numFmtId="9" fontId="7" fillId="21" borderId="0" xfId="0" applyNumberFormat="1" applyFont="1" applyFill="1"/>
    <xf numFmtId="0" fontId="14" fillId="15" borderId="9" xfId="5" applyFont="1" applyFill="1" applyBorder="1" applyAlignment="1">
      <alignment vertical="center" wrapText="1"/>
    </xf>
    <xf numFmtId="5" fontId="2" fillId="15" borderId="12" xfId="0" applyNumberFormat="1" applyFont="1" applyFill="1" applyBorder="1" applyAlignment="1">
      <alignment horizontal="center" vertical="center"/>
    </xf>
    <xf numFmtId="5" fontId="2" fillId="15" borderId="16" xfId="0" applyNumberFormat="1" applyFont="1" applyFill="1" applyBorder="1" applyAlignment="1">
      <alignment horizontal="center" vertical="center"/>
    </xf>
    <xf numFmtId="5" fontId="2" fillId="15" borderId="11" xfId="0" applyNumberFormat="1" applyFont="1" applyFill="1" applyBorder="1" applyAlignment="1">
      <alignment horizontal="center" vertical="center"/>
    </xf>
    <xf numFmtId="0" fontId="14" fillId="21" borderId="9" xfId="5" applyFont="1" applyFill="1" applyBorder="1" applyAlignment="1">
      <alignment vertical="center" wrapText="1"/>
    </xf>
    <xf numFmtId="5" fontId="2" fillId="21" borderId="12" xfId="0" applyNumberFormat="1" applyFont="1" applyFill="1" applyBorder="1" applyAlignment="1">
      <alignment horizontal="center" vertical="center"/>
    </xf>
    <xf numFmtId="5" fontId="2" fillId="21" borderId="16" xfId="0" applyNumberFormat="1" applyFont="1" applyFill="1" applyBorder="1" applyAlignment="1">
      <alignment horizontal="center" vertical="center"/>
    </xf>
    <xf numFmtId="5" fontId="2" fillId="21" borderId="11" xfId="0" applyNumberFormat="1" applyFont="1" applyFill="1" applyBorder="1" applyAlignment="1">
      <alignment horizontal="center" vertical="center"/>
    </xf>
    <xf numFmtId="0" fontId="0" fillId="0" borderId="0" xfId="0" applyFill="1"/>
    <xf numFmtId="0" fontId="0" fillId="0" borderId="0" xfId="0" applyFont="1"/>
    <xf numFmtId="0" fontId="12" fillId="10" borderId="12" xfId="5" applyFont="1" applyFill="1" applyBorder="1" applyAlignment="1">
      <alignment horizontal="center" vertical="center" wrapText="1"/>
    </xf>
    <xf numFmtId="5" fontId="2" fillId="9" borderId="17" xfId="0" applyNumberFormat="1" applyFont="1" applyFill="1" applyBorder="1" applyAlignment="1">
      <alignment horizontal="center" vertical="center"/>
    </xf>
    <xf numFmtId="9" fontId="2" fillId="9" borderId="12" xfId="3" applyNumberFormat="1" applyFont="1" applyFill="1" applyBorder="1" applyAlignment="1">
      <alignment horizontal="center" vertical="center" wrapText="1"/>
    </xf>
    <xf numFmtId="5" fontId="2" fillId="0" borderId="0" xfId="3" applyNumberFormat="1" applyFont="1"/>
    <xf numFmtId="5" fontId="2" fillId="9" borderId="9" xfId="0" applyNumberFormat="1" applyFont="1" applyFill="1" applyBorder="1" applyAlignment="1">
      <alignment horizontal="center" vertical="center"/>
    </xf>
    <xf numFmtId="5" fontId="2" fillId="0" borderId="12" xfId="0" applyNumberFormat="1" applyFont="1" applyBorder="1" applyAlignment="1">
      <alignment horizontal="center" vertical="center"/>
    </xf>
    <xf numFmtId="0" fontId="12" fillId="0" borderId="12" xfId="5" applyFont="1" applyBorder="1" applyAlignment="1">
      <alignment horizontal="center" vertical="center" wrapText="1"/>
    </xf>
    <xf numFmtId="5" fontId="2" fillId="18" borderId="9" xfId="0" applyNumberFormat="1" applyFont="1" applyFill="1" applyBorder="1" applyAlignment="1">
      <alignment horizontal="center" vertical="center"/>
    </xf>
    <xf numFmtId="5" fontId="2" fillId="18" borderId="17" xfId="0" applyNumberFormat="1" applyFont="1" applyFill="1" applyBorder="1" applyAlignment="1">
      <alignment horizontal="center" vertical="center"/>
    </xf>
    <xf numFmtId="9" fontId="2" fillId="18" borderId="12" xfId="3" applyNumberFormat="1" applyFont="1" applyFill="1" applyBorder="1" applyAlignment="1">
      <alignment horizontal="center" vertical="center" wrapText="1"/>
    </xf>
    <xf numFmtId="0" fontId="14" fillId="18" borderId="9" xfId="5" applyFont="1" applyFill="1" applyBorder="1" applyAlignment="1">
      <alignment horizontal="center" vertical="center" wrapText="1"/>
    </xf>
    <xf numFmtId="9" fontId="2" fillId="18" borderId="16" xfId="3" applyFont="1" applyFill="1" applyBorder="1" applyAlignment="1">
      <alignment horizontal="center" vertical="center"/>
    </xf>
    <xf numFmtId="0" fontId="12" fillId="0" borderId="12" xfId="5" applyFont="1" applyBorder="1" applyAlignment="1">
      <alignment vertical="center" wrapText="1"/>
    </xf>
    <xf numFmtId="5" fontId="5" fillId="0" borderId="9" xfId="0" applyNumberFormat="1" applyFont="1" applyBorder="1" applyAlignment="1">
      <alignment horizontal="center" vertical="center"/>
    </xf>
    <xf numFmtId="5" fontId="5" fillId="0" borderId="17" xfId="0" applyNumberFormat="1" applyFont="1" applyBorder="1" applyAlignment="1">
      <alignment horizontal="center" vertical="center"/>
    </xf>
    <xf numFmtId="9" fontId="5" fillId="0" borderId="12" xfId="3" applyFont="1" applyBorder="1" applyAlignment="1">
      <alignment horizontal="center" vertical="center" wrapText="1"/>
    </xf>
    <xf numFmtId="0" fontId="12" fillId="0" borderId="9" xfId="5" applyFont="1" applyBorder="1" applyAlignment="1">
      <alignment horizontal="center" vertical="center" wrapText="1"/>
    </xf>
    <xf numFmtId="5" fontId="5" fillId="0" borderId="22" xfId="0" applyNumberFormat="1" applyFont="1" applyBorder="1" applyAlignment="1">
      <alignment horizontal="center" vertical="center"/>
    </xf>
    <xf numFmtId="5" fontId="5" fillId="0" borderId="23" xfId="0" applyNumberFormat="1" applyFont="1" applyBorder="1" applyAlignment="1">
      <alignment horizontal="center" vertical="center"/>
    </xf>
    <xf numFmtId="9" fontId="5" fillId="0" borderId="24" xfId="3" applyFont="1" applyBorder="1" applyAlignment="1">
      <alignment horizontal="center" vertical="center" wrapText="1"/>
    </xf>
    <xf numFmtId="5" fontId="0" fillId="0" borderId="0" xfId="0" applyNumberFormat="1"/>
    <xf numFmtId="5" fontId="17" fillId="0" borderId="0" xfId="0" applyNumberFormat="1" applyFont="1" applyBorder="1" applyAlignment="1">
      <alignment horizontal="center" vertical="center"/>
    </xf>
    <xf numFmtId="165" fontId="0" fillId="0" borderId="0" xfId="0" applyNumberFormat="1"/>
    <xf numFmtId="0" fontId="0" fillId="0" borderId="0" xfId="0" applyAlignment="1">
      <alignment horizontal="right"/>
    </xf>
    <xf numFmtId="5" fontId="2" fillId="9" borderId="12" xfId="0" applyNumberFormat="1" applyFont="1" applyFill="1" applyBorder="1"/>
    <xf numFmtId="5" fontId="2" fillId="18" borderId="12" xfId="0" applyNumberFormat="1" applyFont="1" applyFill="1" applyBorder="1"/>
    <xf numFmtId="0" fontId="7" fillId="15" borderId="12" xfId="0" applyFont="1" applyFill="1" applyBorder="1" applyAlignment="1">
      <alignment horizontal="right"/>
    </xf>
    <xf numFmtId="5" fontId="2" fillId="15" borderId="12" xfId="0" applyNumberFormat="1" applyFont="1" applyFill="1" applyBorder="1"/>
    <xf numFmtId="5" fontId="2" fillId="15" borderId="12" xfId="0" applyNumberFormat="1" applyFont="1" applyFill="1" applyBorder="1" applyAlignment="1">
      <alignment horizontal="center"/>
    </xf>
    <xf numFmtId="0" fontId="7" fillId="21" borderId="12" xfId="0" applyFont="1" applyFill="1" applyBorder="1" applyAlignment="1">
      <alignment horizontal="right"/>
    </xf>
    <xf numFmtId="5" fontId="2" fillId="21" borderId="12" xfId="0" applyNumberFormat="1" applyFont="1" applyFill="1" applyBorder="1"/>
    <xf numFmtId="5" fontId="2" fillId="21" borderId="12" xfId="0" applyNumberFormat="1" applyFont="1" applyFill="1" applyBorder="1" applyAlignment="1">
      <alignment horizontal="center"/>
    </xf>
    <xf numFmtId="0" fontId="2" fillId="16" borderId="12" xfId="0" applyFont="1" applyFill="1" applyBorder="1" applyAlignment="1">
      <alignment horizontal="right"/>
    </xf>
    <xf numFmtId="167" fontId="2" fillId="16" borderId="12" xfId="0" applyNumberFormat="1" applyFont="1" applyFill="1" applyBorder="1" applyAlignment="1">
      <alignment horizontal="center"/>
    </xf>
    <xf numFmtId="0" fontId="12" fillId="16" borderId="12" xfId="5" applyFont="1" applyFill="1" applyBorder="1" applyAlignment="1">
      <alignment horizontal="center" wrapText="1"/>
    </xf>
    <xf numFmtId="0" fontId="2" fillId="16" borderId="0" xfId="0" applyFont="1" applyFill="1"/>
    <xf numFmtId="0" fontId="5" fillId="16" borderId="12" xfId="0" applyFont="1" applyFill="1" applyBorder="1" applyAlignment="1">
      <alignment horizontal="right"/>
    </xf>
    <xf numFmtId="5" fontId="2" fillId="15" borderId="17" xfId="0" applyNumberFormat="1" applyFont="1" applyFill="1" applyBorder="1" applyAlignment="1">
      <alignment horizontal="center" vertical="center"/>
    </xf>
    <xf numFmtId="9" fontId="2" fillId="15" borderId="12" xfId="3" applyNumberFormat="1" applyFont="1" applyFill="1" applyBorder="1" applyAlignment="1">
      <alignment horizontal="center" vertical="center" wrapText="1"/>
    </xf>
    <xf numFmtId="5" fontId="2" fillId="15" borderId="9" xfId="0" applyNumberFormat="1" applyFont="1" applyFill="1" applyBorder="1" applyAlignment="1">
      <alignment horizontal="center" vertical="center"/>
    </xf>
    <xf numFmtId="5" fontId="2" fillId="21" borderId="9" xfId="0" applyNumberFormat="1" applyFont="1" applyFill="1" applyBorder="1" applyAlignment="1">
      <alignment horizontal="center" vertical="center"/>
    </xf>
    <xf numFmtId="5" fontId="2" fillId="21" borderId="17" xfId="0" applyNumberFormat="1" applyFont="1" applyFill="1" applyBorder="1" applyAlignment="1">
      <alignment horizontal="center" vertical="center"/>
    </xf>
    <xf numFmtId="9" fontId="2" fillId="21" borderId="12" xfId="3" applyNumberFormat="1" applyFont="1" applyFill="1" applyBorder="1" applyAlignment="1">
      <alignment horizontal="center" vertical="center" wrapText="1"/>
    </xf>
    <xf numFmtId="0" fontId="0" fillId="0" borderId="0" xfId="0" applyBorder="1"/>
    <xf numFmtId="0" fontId="14" fillId="15" borderId="9" xfId="5" applyFont="1" applyFill="1" applyBorder="1" applyAlignment="1">
      <alignment horizontal="center" vertical="center" wrapText="1"/>
    </xf>
    <xf numFmtId="9" fontId="2" fillId="15" borderId="16" xfId="3" applyFont="1" applyFill="1" applyBorder="1" applyAlignment="1">
      <alignment horizontal="center" vertical="center" wrapText="1"/>
    </xf>
    <xf numFmtId="0" fontId="14" fillId="9" borderId="9" xfId="5" applyFont="1" applyFill="1" applyBorder="1" applyAlignment="1">
      <alignment horizontal="center" vertical="center" wrapText="1"/>
    </xf>
    <xf numFmtId="9" fontId="2" fillId="9" borderId="16" xfId="3" applyFont="1" applyFill="1" applyBorder="1" applyAlignment="1">
      <alignment horizontal="center" vertical="center"/>
    </xf>
    <xf numFmtId="0" fontId="14" fillId="21" borderId="9" xfId="5" applyFont="1" applyFill="1" applyBorder="1" applyAlignment="1">
      <alignment horizontal="center" vertical="center" wrapText="1"/>
    </xf>
    <xf numFmtId="9" fontId="2" fillId="21" borderId="16" xfId="3" applyFont="1" applyFill="1" applyBorder="1" applyAlignment="1">
      <alignment horizontal="center" vertical="center"/>
    </xf>
    <xf numFmtId="0" fontId="2" fillId="2" borderId="12" xfId="0" applyFont="1" applyFill="1" applyBorder="1"/>
    <xf numFmtId="0" fontId="2" fillId="0" borderId="12" xfId="0" applyFont="1" applyBorder="1" applyAlignment="1">
      <alignment vertical="center"/>
    </xf>
    <xf numFmtId="0" fontId="2" fillId="0" borderId="12" xfId="0" applyFont="1" applyBorder="1" applyAlignment="1">
      <alignment wrapText="1"/>
    </xf>
    <xf numFmtId="0" fontId="2" fillId="0" borderId="12" xfId="0" applyFont="1" applyBorder="1" applyAlignment="1">
      <alignment vertical="center" wrapText="1"/>
    </xf>
    <xf numFmtId="9" fontId="2" fillId="0" borderId="12" xfId="3" applyFont="1" applyBorder="1" applyAlignment="1">
      <alignment horizontal="center"/>
    </xf>
    <xf numFmtId="9" fontId="2" fillId="15" borderId="12" xfId="3" applyFont="1" applyFill="1" applyBorder="1" applyAlignment="1">
      <alignment horizontal="center"/>
    </xf>
    <xf numFmtId="9" fontId="2" fillId="9" borderId="12" xfId="3" applyFont="1" applyFill="1" applyBorder="1" applyAlignment="1">
      <alignment horizontal="center"/>
    </xf>
    <xf numFmtId="9" fontId="2" fillId="18" borderId="12" xfId="3" applyFont="1" applyFill="1" applyBorder="1" applyAlignment="1">
      <alignment horizontal="center"/>
    </xf>
    <xf numFmtId="9" fontId="2" fillId="21" borderId="12" xfId="3" applyFont="1" applyFill="1" applyBorder="1" applyAlignment="1">
      <alignment horizontal="center"/>
    </xf>
    <xf numFmtId="5" fontId="5" fillId="22" borderId="27" xfId="0" applyNumberFormat="1" applyFont="1" applyFill="1" applyBorder="1" applyAlignment="1">
      <alignment wrapText="1"/>
    </xf>
    <xf numFmtId="5" fontId="5" fillId="22" borderId="28" xfId="0" applyNumberFormat="1" applyFont="1" applyFill="1" applyBorder="1" applyAlignment="1">
      <alignment wrapText="1"/>
    </xf>
    <xf numFmtId="0" fontId="5" fillId="22" borderId="33" xfId="0" applyFont="1" applyFill="1" applyBorder="1" applyAlignment="1">
      <alignment vertical="center" wrapText="1"/>
    </xf>
    <xf numFmtId="5" fontId="5" fillId="22" borderId="29" xfId="0" applyNumberFormat="1" applyFont="1" applyFill="1" applyBorder="1" applyAlignment="1">
      <alignment wrapText="1"/>
    </xf>
    <xf numFmtId="5" fontId="5" fillId="16" borderId="31" xfId="0" applyNumberFormat="1" applyFont="1" applyFill="1" applyBorder="1" applyAlignment="1">
      <alignment wrapText="1"/>
    </xf>
    <xf numFmtId="0" fontId="2" fillId="0" borderId="30" xfId="0" applyFont="1" applyBorder="1"/>
    <xf numFmtId="170" fontId="2" fillId="0" borderId="0" xfId="0" applyNumberFormat="1" applyFont="1" applyBorder="1"/>
    <xf numFmtId="170" fontId="2" fillId="16" borderId="31" xfId="0" applyNumberFormat="1" applyFont="1" applyFill="1" applyBorder="1"/>
    <xf numFmtId="0" fontId="2" fillId="0" borderId="34" xfId="0" applyFont="1" applyBorder="1"/>
    <xf numFmtId="170" fontId="7" fillId="0" borderId="0" xfId="0" applyNumberFormat="1" applyFont="1" applyBorder="1"/>
    <xf numFmtId="170" fontId="2" fillId="16" borderId="35" xfId="0" applyNumberFormat="1" applyFont="1" applyFill="1" applyBorder="1"/>
    <xf numFmtId="0" fontId="2" fillId="0" borderId="34" xfId="0" applyFont="1" applyFill="1" applyBorder="1"/>
    <xf numFmtId="0" fontId="2" fillId="0" borderId="32" xfId="0" applyFont="1" applyBorder="1"/>
    <xf numFmtId="0" fontId="5" fillId="0" borderId="32" xfId="0" applyFont="1" applyBorder="1"/>
    <xf numFmtId="10" fontId="5" fillId="0" borderId="36" xfId="0" applyNumberFormat="1" applyFont="1" applyBorder="1"/>
    <xf numFmtId="170" fontId="5" fillId="0" borderId="27" xfId="0" applyNumberFormat="1" applyFont="1" applyBorder="1"/>
    <xf numFmtId="170" fontId="5" fillId="0" borderId="28" xfId="0" applyNumberFormat="1" applyFont="1" applyBorder="1"/>
    <xf numFmtId="170" fontId="5" fillId="0" borderId="29" xfId="0" applyNumberFormat="1" applyFont="1" applyBorder="1"/>
    <xf numFmtId="0" fontId="0" fillId="0" borderId="0" xfId="0" applyAlignment="1">
      <alignment horizontal="center"/>
    </xf>
    <xf numFmtId="0" fontId="5" fillId="23" borderId="28" xfId="0" applyFont="1" applyFill="1" applyBorder="1" applyAlignment="1">
      <alignment horizontal="center" vertical="center" wrapText="1"/>
    </xf>
    <xf numFmtId="0" fontId="5" fillId="23" borderId="36" xfId="0" applyFont="1" applyFill="1" applyBorder="1" applyAlignment="1">
      <alignment horizontal="center" vertical="center" wrapText="1"/>
    </xf>
    <xf numFmtId="10" fontId="18" fillId="13" borderId="31" xfId="0" applyNumberFormat="1" applyFont="1" applyFill="1" applyBorder="1" applyAlignment="1">
      <alignment vertical="center"/>
    </xf>
    <xf numFmtId="10" fontId="18" fillId="13" borderId="38" xfId="0" applyNumberFormat="1" applyFont="1" applyFill="1" applyBorder="1" applyAlignment="1">
      <alignment vertical="center"/>
    </xf>
    <xf numFmtId="170" fontId="2" fillId="0" borderId="12" xfId="0" applyNumberFormat="1" applyFont="1" applyBorder="1"/>
    <xf numFmtId="170" fontId="2" fillId="3" borderId="12" xfId="0" applyNumberFormat="1" applyFont="1" applyFill="1" applyBorder="1"/>
    <xf numFmtId="0" fontId="2" fillId="0" borderId="18" xfId="0" applyFont="1" applyBorder="1"/>
    <xf numFmtId="0" fontId="5" fillId="0" borderId="19" xfId="0" applyFont="1" applyBorder="1" applyAlignment="1">
      <alignment horizontal="center" wrapText="1"/>
    </xf>
    <xf numFmtId="0" fontId="5" fillId="0" borderId="21" xfId="0" applyFont="1" applyBorder="1" applyAlignment="1">
      <alignment horizontal="center" wrapText="1"/>
    </xf>
    <xf numFmtId="0" fontId="2" fillId="0" borderId="17" xfId="0" applyFont="1" applyBorder="1"/>
    <xf numFmtId="170" fontId="2" fillId="0" borderId="16" xfId="0" applyNumberFormat="1" applyFont="1" applyBorder="1"/>
    <xf numFmtId="0" fontId="2" fillId="0" borderId="22" xfId="0" applyFont="1" applyBorder="1"/>
    <xf numFmtId="170" fontId="2" fillId="3" borderId="23" xfId="0" applyNumberFormat="1" applyFont="1" applyFill="1" applyBorder="1"/>
    <xf numFmtId="170" fontId="2" fillId="0" borderId="24" xfId="0" applyNumberFormat="1" applyFont="1" applyBorder="1"/>
    <xf numFmtId="5" fontId="2" fillId="0" borderId="0" xfId="0" applyNumberFormat="1" applyFont="1" applyAlignment="1">
      <alignment vertical="center"/>
    </xf>
    <xf numFmtId="164" fontId="7" fillId="0" borderId="0" xfId="0" applyNumberFormat="1" applyFont="1"/>
    <xf numFmtId="0" fontId="8" fillId="0" borderId="0" xfId="0" applyFont="1"/>
    <xf numFmtId="174" fontId="6" fillId="0" borderId="0" xfId="0" applyNumberFormat="1" applyFont="1" applyFill="1"/>
    <xf numFmtId="166" fontId="19" fillId="0" borderId="0" xfId="2" applyNumberFormat="1" applyFont="1" applyFill="1"/>
    <xf numFmtId="0" fontId="19" fillId="0" borderId="0" xfId="0" applyFont="1" applyFill="1"/>
    <xf numFmtId="164" fontId="19" fillId="0" borderId="0" xfId="0" applyNumberFormat="1" applyFont="1" applyFill="1"/>
    <xf numFmtId="164" fontId="6" fillId="0" borderId="0" xfId="3" applyNumberFormat="1" applyFont="1" applyFill="1"/>
    <xf numFmtId="166" fontId="19" fillId="0" borderId="0" xfId="0" applyNumberFormat="1" applyFont="1" applyFill="1"/>
    <xf numFmtId="165" fontId="7" fillId="0" borderId="0" xfId="0" applyNumberFormat="1" applyFont="1" applyFill="1"/>
    <xf numFmtId="166" fontId="7" fillId="0" borderId="0" xfId="0" applyNumberFormat="1" applyFont="1" applyFill="1"/>
    <xf numFmtId="0" fontId="0" fillId="9" borderId="30" xfId="0" applyFill="1" applyBorder="1"/>
    <xf numFmtId="0" fontId="0" fillId="9" borderId="40" xfId="0" applyFill="1" applyBorder="1"/>
    <xf numFmtId="0" fontId="0" fillId="9" borderId="34" xfId="0" applyFill="1" applyBorder="1"/>
    <xf numFmtId="0" fontId="0" fillId="9" borderId="41" xfId="0" applyFill="1" applyBorder="1"/>
    <xf numFmtId="44" fontId="0" fillId="9" borderId="32" xfId="2" applyFont="1" applyFill="1" applyBorder="1"/>
    <xf numFmtId="44" fontId="0" fillId="9" borderId="39" xfId="2" applyFont="1" applyFill="1" applyBorder="1"/>
    <xf numFmtId="0" fontId="12" fillId="0" borderId="0" xfId="0" applyFont="1" applyFill="1" applyAlignment="1">
      <alignment wrapText="1"/>
    </xf>
    <xf numFmtId="0" fontId="2" fillId="0" borderId="0" xfId="0" applyFont="1" applyAlignment="1">
      <alignment horizontal="center"/>
    </xf>
    <xf numFmtId="0" fontId="2" fillId="0" borderId="0" xfId="0" applyFont="1" applyFill="1" applyAlignment="1">
      <alignment horizontal="center"/>
    </xf>
    <xf numFmtId="0" fontId="11" fillId="0" borderId="0" xfId="0" applyFont="1" applyAlignment="1">
      <alignment horizontal="center"/>
    </xf>
    <xf numFmtId="0" fontId="2" fillId="15" borderId="0" xfId="0" applyFont="1" applyFill="1" applyAlignment="1">
      <alignment horizontal="center" wrapText="1"/>
    </xf>
    <xf numFmtId="9" fontId="7" fillId="15" borderId="0" xfId="3" applyFont="1" applyFill="1" applyAlignment="1">
      <alignment horizontal="center" wrapText="1"/>
    </xf>
    <xf numFmtId="9" fontId="10" fillId="15" borderId="0" xfId="3" applyFont="1" applyFill="1" applyAlignment="1">
      <alignment horizontal="center" wrapText="1"/>
    </xf>
    <xf numFmtId="0" fontId="7" fillId="15" borderId="0" xfId="0" applyFont="1" applyFill="1" applyAlignment="1">
      <alignment horizontal="center" wrapText="1"/>
    </xf>
    <xf numFmtId="0" fontId="7" fillId="15" borderId="0" xfId="0" applyFont="1" applyFill="1" applyAlignment="1">
      <alignment horizontal="center"/>
    </xf>
    <xf numFmtId="0" fontId="7" fillId="0" borderId="0" xfId="0" applyFont="1" applyFill="1" applyAlignment="1">
      <alignment horizontal="center"/>
    </xf>
    <xf numFmtId="0" fontId="7" fillId="9" borderId="0" xfId="0" applyFont="1" applyFill="1" applyAlignment="1">
      <alignment horizontal="center"/>
    </xf>
    <xf numFmtId="0" fontId="7" fillId="18" borderId="0" xfId="0" applyFont="1" applyFill="1" applyAlignment="1">
      <alignment horizontal="center"/>
    </xf>
    <xf numFmtId="0" fontId="7" fillId="0" borderId="0" xfId="0" applyFont="1" applyAlignment="1">
      <alignment horizontal="center"/>
    </xf>
    <xf numFmtId="0" fontId="7" fillId="21" borderId="0" xfId="0" applyFont="1" applyFill="1" applyAlignment="1">
      <alignment horizontal="center"/>
    </xf>
    <xf numFmtId="9" fontId="10" fillId="21" borderId="0" xfId="3" applyNumberFormat="1" applyFont="1" applyFill="1" applyAlignment="1">
      <alignment horizontal="center"/>
    </xf>
    <xf numFmtId="7" fontId="7" fillId="21" borderId="0" xfId="0" applyNumberFormat="1" applyFont="1" applyFill="1" applyAlignment="1">
      <alignment horizontal="center"/>
    </xf>
    <xf numFmtId="0" fontId="2" fillId="21" borderId="0" xfId="0" applyFont="1" applyFill="1" applyAlignment="1">
      <alignment horizontal="center"/>
    </xf>
    <xf numFmtId="9" fontId="5" fillId="10" borderId="0" xfId="3" applyFont="1" applyFill="1" applyAlignment="1">
      <alignment horizontal="center"/>
    </xf>
    <xf numFmtId="7" fontId="2" fillId="0" borderId="0" xfId="0" applyNumberFormat="1" applyFont="1" applyAlignment="1">
      <alignment horizontal="center"/>
    </xf>
    <xf numFmtId="0" fontId="2" fillId="0" borderId="42" xfId="0" applyFont="1" applyBorder="1"/>
    <xf numFmtId="170" fontId="2" fillId="3" borderId="14" xfId="0" applyNumberFormat="1" applyFont="1" applyFill="1" applyBorder="1"/>
    <xf numFmtId="9" fontId="7" fillId="9" borderId="0" xfId="3" applyFont="1" applyFill="1" applyAlignment="1">
      <alignment horizontal="center"/>
    </xf>
    <xf numFmtId="9" fontId="7" fillId="0" borderId="0" xfId="3" applyFont="1" applyFill="1" applyAlignment="1">
      <alignment horizontal="center"/>
    </xf>
    <xf numFmtId="9" fontId="7" fillId="18" borderId="0" xfId="3" applyFont="1" applyFill="1" applyAlignment="1">
      <alignment horizontal="center"/>
    </xf>
    <xf numFmtId="9" fontId="7" fillId="21" borderId="0" xfId="3" applyNumberFormat="1" applyFont="1" applyFill="1" applyAlignment="1">
      <alignment horizontal="center"/>
    </xf>
    <xf numFmtId="5" fontId="2" fillId="0" borderId="0" xfId="0" applyNumberFormat="1" applyFont="1" applyAlignment="1">
      <alignment horizontal="right" vertical="center"/>
    </xf>
    <xf numFmtId="0" fontId="12" fillId="0" borderId="13" xfId="0" applyFont="1" applyBorder="1" applyAlignment="1">
      <alignment horizontal="center" wrapText="1"/>
    </xf>
    <xf numFmtId="5" fontId="2" fillId="14" borderId="36" xfId="0" applyNumberFormat="1" applyFont="1" applyFill="1" applyBorder="1" applyAlignment="1">
      <alignment horizontal="center" vertical="center"/>
    </xf>
    <xf numFmtId="0" fontId="5" fillId="22" borderId="31" xfId="0" applyFont="1" applyFill="1" applyBorder="1" applyAlignment="1">
      <alignment horizontal="center" vertical="center" wrapText="1"/>
    </xf>
    <xf numFmtId="44" fontId="2" fillId="0" borderId="0" xfId="0" applyNumberFormat="1" applyFont="1"/>
    <xf numFmtId="0" fontId="0" fillId="0" borderId="0" xfId="0" applyAlignment="1">
      <alignment horizontal="center"/>
    </xf>
    <xf numFmtId="170" fontId="5" fillId="16" borderId="36" xfId="0" applyNumberFormat="1" applyFont="1" applyFill="1" applyBorder="1"/>
    <xf numFmtId="10" fontId="18" fillId="13" borderId="37" xfId="0" applyNumberFormat="1" applyFont="1" applyFill="1" applyBorder="1" applyAlignment="1">
      <alignment horizontal="right" vertical="center"/>
    </xf>
    <xf numFmtId="170" fontId="2" fillId="0" borderId="34" xfId="0" applyNumberFormat="1" applyFont="1" applyBorder="1"/>
    <xf numFmtId="170" fontId="2" fillId="0" borderId="0" xfId="0" applyNumberFormat="1" applyFont="1"/>
    <xf numFmtId="170" fontId="2" fillId="0" borderId="41" xfId="0" applyNumberFormat="1" applyFont="1" applyBorder="1"/>
    <xf numFmtId="170" fontId="2" fillId="0" borderId="30" xfId="0" applyNumberFormat="1" applyFont="1" applyBorder="1"/>
    <xf numFmtId="170" fontId="2" fillId="0" borderId="43" xfId="0" applyNumberFormat="1" applyFont="1" applyBorder="1"/>
    <xf numFmtId="170" fontId="2" fillId="0" borderId="40" xfId="0" applyNumberFormat="1" applyFont="1" applyBorder="1"/>
    <xf numFmtId="7" fontId="0" fillId="0" borderId="0" xfId="0" applyNumberFormat="1" applyAlignment="1">
      <alignment horizontal="center"/>
    </xf>
    <xf numFmtId="166" fontId="6" fillId="0" borderId="0" xfId="0" applyNumberFormat="1" applyFont="1" applyFill="1"/>
    <xf numFmtId="0" fontId="5" fillId="19" borderId="0" xfId="0" applyFont="1" applyFill="1"/>
    <xf numFmtId="0" fontId="5" fillId="0" borderId="36" xfId="0" applyFont="1" applyBorder="1"/>
    <xf numFmtId="0" fontId="5" fillId="23" borderId="27" xfId="0" applyFont="1" applyFill="1" applyBorder="1" applyAlignment="1">
      <alignment horizontal="center" vertical="center" wrapText="1"/>
    </xf>
    <xf numFmtId="0" fontId="5" fillId="23" borderId="44" xfId="0" applyFont="1" applyFill="1" applyBorder="1" applyAlignment="1">
      <alignment horizontal="center" vertical="center" wrapText="1"/>
    </xf>
    <xf numFmtId="0" fontId="5" fillId="0" borderId="27" xfId="0" applyFont="1" applyBorder="1"/>
    <xf numFmtId="170" fontId="5" fillId="0" borderId="36" xfId="0" applyNumberFormat="1" applyFont="1" applyBorder="1"/>
    <xf numFmtId="0" fontId="20" fillId="0" borderId="0" xfId="0" applyFont="1"/>
    <xf numFmtId="44" fontId="20" fillId="0" borderId="0" xfId="0" applyNumberFormat="1" applyFont="1"/>
    <xf numFmtId="0" fontId="20" fillId="0" borderId="27" xfId="0" applyFont="1" applyBorder="1"/>
    <xf numFmtId="5" fontId="20" fillId="0" borderId="28" xfId="0" applyNumberFormat="1" applyFont="1" applyBorder="1"/>
    <xf numFmtId="0" fontId="20" fillId="0" borderId="28" xfId="0" applyFont="1" applyBorder="1"/>
    <xf numFmtId="170" fontId="20" fillId="0" borderId="28" xfId="0" applyNumberFormat="1" applyFont="1" applyBorder="1"/>
    <xf numFmtId="170" fontId="20" fillId="0" borderId="29" xfId="0" applyNumberFormat="1" applyFont="1" applyBorder="1"/>
    <xf numFmtId="170" fontId="5" fillId="0" borderId="0" xfId="0" applyNumberFormat="1" applyFont="1" applyBorder="1"/>
    <xf numFmtId="170" fontId="10" fillId="0" borderId="0" xfId="0" applyNumberFormat="1" applyFont="1" applyBorder="1"/>
    <xf numFmtId="170" fontId="21" fillId="0" borderId="0" xfId="0" applyNumberFormat="1" applyFont="1" applyFill="1" applyBorder="1"/>
    <xf numFmtId="0" fontId="20" fillId="0" borderId="0" xfId="0" applyFont="1" applyBorder="1"/>
    <xf numFmtId="9" fontId="5" fillId="0" borderId="36" xfId="3" applyFont="1" applyBorder="1"/>
    <xf numFmtId="170" fontId="2" fillId="0" borderId="0" xfId="0" applyNumberFormat="1" applyFont="1" applyBorder="1" applyAlignment="1">
      <alignment horizontal="right"/>
    </xf>
    <xf numFmtId="0" fontId="2" fillId="0" borderId="31" xfId="0" applyFont="1" applyBorder="1"/>
    <xf numFmtId="0" fontId="2" fillId="0" borderId="35" xfId="0" applyFont="1" applyBorder="1"/>
    <xf numFmtId="170" fontId="2" fillId="24" borderId="35" xfId="0" applyNumberFormat="1" applyFont="1" applyFill="1" applyBorder="1"/>
    <xf numFmtId="170" fontId="10" fillId="0" borderId="28" xfId="0" applyNumberFormat="1" applyFont="1" applyBorder="1"/>
    <xf numFmtId="9" fontId="5" fillId="0" borderId="0" xfId="3" applyFont="1" applyBorder="1"/>
    <xf numFmtId="9" fontId="5" fillId="0" borderId="28" xfId="3" applyFont="1" applyBorder="1"/>
    <xf numFmtId="9" fontId="5" fillId="0" borderId="29" xfId="3" applyFont="1" applyBorder="1"/>
    <xf numFmtId="9" fontId="2" fillId="0" borderId="43" xfId="3" applyFont="1" applyBorder="1"/>
    <xf numFmtId="9" fontId="2" fillId="0" borderId="33" xfId="3" applyFont="1" applyBorder="1"/>
    <xf numFmtId="0" fontId="20" fillId="0" borderId="31" xfId="0" applyFont="1" applyBorder="1" applyAlignment="1">
      <alignment horizontal="right"/>
    </xf>
    <xf numFmtId="0" fontId="20" fillId="19" borderId="0" xfId="0" applyFont="1" applyFill="1"/>
    <xf numFmtId="0" fontId="20" fillId="0" borderId="34" xfId="0" applyFont="1" applyBorder="1"/>
    <xf numFmtId="170" fontId="20" fillId="0" borderId="0" xfId="2" applyNumberFormat="1" applyFont="1"/>
    <xf numFmtId="9" fontId="2" fillId="0" borderId="31" xfId="3" applyFont="1" applyBorder="1"/>
    <xf numFmtId="9" fontId="2" fillId="0" borderId="35" xfId="3" applyFont="1" applyBorder="1"/>
    <xf numFmtId="9" fontId="2" fillId="24" borderId="30" xfId="3" applyFont="1" applyFill="1" applyBorder="1"/>
    <xf numFmtId="9" fontId="2" fillId="24" borderId="43" xfId="3" applyFont="1" applyFill="1" applyBorder="1"/>
    <xf numFmtId="9" fontId="2" fillId="24" borderId="40" xfId="3" applyFont="1" applyFill="1" applyBorder="1"/>
    <xf numFmtId="9" fontId="2" fillId="24" borderId="34" xfId="3" applyFont="1" applyFill="1" applyBorder="1"/>
    <xf numFmtId="9" fontId="2" fillId="24" borderId="0" xfId="3" applyFont="1" applyFill="1" applyBorder="1"/>
    <xf numFmtId="9" fontId="2" fillId="24" borderId="41" xfId="3" applyFont="1" applyFill="1" applyBorder="1"/>
    <xf numFmtId="9" fontId="5" fillId="24" borderId="27" xfId="3" applyFont="1" applyFill="1" applyBorder="1"/>
    <xf numFmtId="9" fontId="5" fillId="24" borderId="28" xfId="3" applyFont="1" applyFill="1" applyBorder="1"/>
    <xf numFmtId="9" fontId="5" fillId="24" borderId="29" xfId="3" applyFont="1" applyFill="1" applyBorder="1"/>
    <xf numFmtId="0" fontId="20" fillId="22" borderId="0" xfId="0" applyFont="1" applyFill="1"/>
    <xf numFmtId="9" fontId="20" fillId="0" borderId="0" xfId="0" applyNumberFormat="1" applyFont="1"/>
    <xf numFmtId="0" fontId="3" fillId="25" borderId="0" xfId="0" applyFont="1" applyFill="1"/>
    <xf numFmtId="0" fontId="20" fillId="25" borderId="0" xfId="0" applyFont="1" applyFill="1"/>
    <xf numFmtId="0" fontId="3" fillId="19" borderId="0" xfId="0" applyFont="1" applyFill="1"/>
    <xf numFmtId="170" fontId="2" fillId="0" borderId="14" xfId="0" applyNumberFormat="1" applyFont="1" applyFill="1" applyBorder="1"/>
    <xf numFmtId="170" fontId="2" fillId="0" borderId="23" xfId="0" applyNumberFormat="1" applyFont="1" applyFill="1" applyBorder="1"/>
    <xf numFmtId="5" fontId="7" fillId="18" borderId="0" xfId="0" applyNumberFormat="1" applyFont="1" applyFill="1" applyAlignment="1">
      <alignment horizontal="center"/>
    </xf>
    <xf numFmtId="170" fontId="20" fillId="0" borderId="0" xfId="0" applyNumberFormat="1" applyFont="1"/>
    <xf numFmtId="0" fontId="22" fillId="0" borderId="0" xfId="0" applyFont="1" applyFill="1"/>
    <xf numFmtId="0" fontId="20" fillId="0" borderId="0" xfId="0" applyFont="1" applyFill="1"/>
    <xf numFmtId="44" fontId="20" fillId="0" borderId="0" xfId="0" applyNumberFormat="1" applyFont="1" applyFill="1"/>
    <xf numFmtId="175" fontId="20" fillId="0" borderId="0" xfId="3" applyNumberFormat="1" applyFont="1"/>
    <xf numFmtId="170" fontId="2" fillId="16" borderId="40" xfId="0" applyNumberFormat="1" applyFont="1" applyFill="1" applyBorder="1"/>
    <xf numFmtId="170" fontId="2" fillId="16" borderId="41" xfId="0" applyNumberFormat="1" applyFont="1" applyFill="1" applyBorder="1"/>
    <xf numFmtId="170" fontId="2" fillId="16" borderId="29" xfId="0" applyNumberFormat="1" applyFont="1" applyFill="1" applyBorder="1"/>
    <xf numFmtId="175" fontId="2" fillId="0" borderId="35" xfId="3" applyNumberFormat="1" applyFont="1" applyBorder="1"/>
    <xf numFmtId="175" fontId="2" fillId="0" borderId="37" xfId="3" applyNumberFormat="1" applyFont="1" applyBorder="1" applyAlignment="1">
      <alignment horizontal="right"/>
    </xf>
    <xf numFmtId="0" fontId="5" fillId="0" borderId="37" xfId="0" applyFont="1" applyBorder="1"/>
    <xf numFmtId="0" fontId="5" fillId="23" borderId="30" xfId="0" applyFont="1" applyFill="1" applyBorder="1" applyAlignment="1">
      <alignment horizontal="center" vertical="center" wrapText="1"/>
    </xf>
    <xf numFmtId="0" fontId="5" fillId="23" borderId="43" xfId="0" applyFont="1" applyFill="1" applyBorder="1" applyAlignment="1">
      <alignment horizontal="center" vertical="center" wrapText="1"/>
    </xf>
    <xf numFmtId="9" fontId="2" fillId="0" borderId="0" xfId="3" applyFont="1" applyBorder="1"/>
    <xf numFmtId="9" fontId="2" fillId="0" borderId="30" xfId="3" applyFont="1" applyBorder="1"/>
    <xf numFmtId="9" fontId="2" fillId="0" borderId="34" xfId="3" applyFont="1" applyBorder="1"/>
    <xf numFmtId="9" fontId="2" fillId="0" borderId="32" xfId="3" applyFont="1" applyBorder="1"/>
    <xf numFmtId="9" fontId="5" fillId="0" borderId="27" xfId="3" applyFont="1" applyBorder="1"/>
    <xf numFmtId="175" fontId="20" fillId="0" borderId="35" xfId="3" applyNumberFormat="1" applyFont="1" applyBorder="1"/>
    <xf numFmtId="175" fontId="20" fillId="0" borderId="37" xfId="3" applyNumberFormat="1" applyFont="1" applyBorder="1"/>
    <xf numFmtId="169" fontId="2" fillId="0" borderId="0" xfId="0" applyNumberFormat="1" applyFont="1"/>
    <xf numFmtId="9" fontId="2" fillId="0" borderId="31" xfId="3" applyNumberFormat="1" applyFont="1" applyBorder="1"/>
    <xf numFmtId="9" fontId="2" fillId="0" borderId="35" xfId="3" applyNumberFormat="1" applyFont="1" applyBorder="1"/>
    <xf numFmtId="10" fontId="5" fillId="0" borderId="36" xfId="3" applyNumberFormat="1" applyFont="1" applyBorder="1"/>
    <xf numFmtId="0" fontId="12" fillId="10" borderId="9" xfId="5" applyFont="1" applyFill="1" applyBorder="1" applyAlignment="1">
      <alignment horizontal="center" vertical="center" wrapText="1"/>
    </xf>
    <xf numFmtId="0" fontId="12" fillId="10" borderId="10" xfId="5" applyFont="1" applyFill="1" applyBorder="1" applyAlignment="1">
      <alignment horizontal="center" vertical="center" wrapText="1"/>
    </xf>
    <xf numFmtId="0" fontId="12" fillId="10" borderId="11" xfId="5" applyFont="1" applyFill="1" applyBorder="1" applyAlignment="1">
      <alignment horizontal="center" vertical="center" wrapText="1"/>
    </xf>
    <xf numFmtId="0" fontId="12" fillId="10" borderId="25" xfId="5" applyFont="1" applyFill="1" applyBorder="1" applyAlignment="1">
      <alignment horizontal="center" vertical="center" wrapText="1"/>
    </xf>
    <xf numFmtId="0" fontId="12" fillId="10" borderId="20" xfId="5" applyFont="1" applyFill="1" applyBorder="1" applyAlignment="1">
      <alignment horizontal="center" vertical="center" wrapText="1"/>
    </xf>
    <xf numFmtId="0" fontId="12" fillId="10" borderId="26" xfId="5" applyFont="1" applyFill="1" applyBorder="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12" fillId="10" borderId="18" xfId="5" applyFont="1" applyFill="1" applyBorder="1" applyAlignment="1">
      <alignment horizontal="center" vertical="center" wrapText="1"/>
    </xf>
    <xf numFmtId="0" fontId="12" fillId="10" borderId="19" xfId="5" applyFont="1" applyFill="1" applyBorder="1" applyAlignment="1">
      <alignment horizontal="center" vertical="center" wrapText="1"/>
    </xf>
    <xf numFmtId="0" fontId="12" fillId="10" borderId="21" xfId="5" applyFont="1" applyFill="1" applyBorder="1" applyAlignment="1">
      <alignment horizontal="center" vertical="center" wrapText="1"/>
    </xf>
    <xf numFmtId="0" fontId="5" fillId="17" borderId="12" xfId="0" applyFont="1" applyFill="1" applyBorder="1" applyAlignment="1">
      <alignment horizontal="center" wrapText="1"/>
    </xf>
    <xf numFmtId="0" fontId="5" fillId="10" borderId="6" xfId="0" applyFont="1" applyFill="1" applyBorder="1" applyAlignment="1">
      <alignment horizontal="center"/>
    </xf>
    <xf numFmtId="0" fontId="5" fillId="10" borderId="7" xfId="0" applyFont="1" applyFill="1" applyBorder="1" applyAlignment="1">
      <alignment horizontal="center"/>
    </xf>
    <xf numFmtId="0" fontId="5" fillId="10" borderId="8" xfId="0" applyFont="1" applyFill="1" applyBorder="1" applyAlignment="1">
      <alignment horizontal="center"/>
    </xf>
    <xf numFmtId="0" fontId="5" fillId="10" borderId="15" xfId="0" applyFont="1" applyFill="1" applyBorder="1" applyAlignment="1">
      <alignment horizontal="center"/>
    </xf>
    <xf numFmtId="0" fontId="5" fillId="22" borderId="30" xfId="0" applyFont="1" applyFill="1" applyBorder="1" applyAlignment="1">
      <alignment horizontal="center" vertical="center" wrapText="1"/>
    </xf>
    <xf numFmtId="0" fontId="5" fillId="22" borderId="34" xfId="0" applyFont="1" applyFill="1" applyBorder="1" applyAlignment="1">
      <alignment horizontal="center" vertical="center" wrapText="1"/>
    </xf>
    <xf numFmtId="0" fontId="5" fillId="22" borderId="31" xfId="0" applyFont="1" applyFill="1" applyBorder="1" applyAlignment="1">
      <alignment horizontal="center" vertical="center" wrapText="1"/>
    </xf>
    <xf numFmtId="0" fontId="5" fillId="22" borderId="35" xfId="0" applyFont="1" applyFill="1" applyBorder="1" applyAlignment="1">
      <alignment horizontal="center" vertical="center" wrapText="1"/>
    </xf>
    <xf numFmtId="0" fontId="5" fillId="22" borderId="37" xfId="0" applyFont="1" applyFill="1" applyBorder="1" applyAlignment="1">
      <alignment horizontal="center" vertical="center" wrapText="1"/>
    </xf>
    <xf numFmtId="0" fontId="5" fillId="22" borderId="32" xfId="0" applyFont="1" applyFill="1" applyBorder="1" applyAlignment="1">
      <alignment horizontal="center" vertical="center" wrapText="1"/>
    </xf>
    <xf numFmtId="0" fontId="5" fillId="22" borderId="33" xfId="0" applyFont="1" applyFill="1" applyBorder="1" applyAlignment="1">
      <alignment horizontal="center" vertical="center" wrapText="1"/>
    </xf>
    <xf numFmtId="0" fontId="5" fillId="22" borderId="30" xfId="0" applyFont="1" applyFill="1" applyBorder="1" applyAlignment="1">
      <alignment horizontal="left" vertical="center" wrapText="1"/>
    </xf>
    <xf numFmtId="0" fontId="5" fillId="22" borderId="34" xfId="0" applyFont="1" applyFill="1" applyBorder="1" applyAlignment="1">
      <alignment horizontal="left" vertical="center" wrapText="1"/>
    </xf>
    <xf numFmtId="0" fontId="5" fillId="22" borderId="27" xfId="0" applyFont="1" applyFill="1" applyBorder="1" applyAlignment="1">
      <alignment horizontal="center" vertical="center" wrapText="1"/>
    </xf>
    <xf numFmtId="0" fontId="5" fillId="22" borderId="28" xfId="0" applyFont="1" applyFill="1" applyBorder="1" applyAlignment="1">
      <alignment horizontal="center" vertical="center" wrapText="1"/>
    </xf>
    <xf numFmtId="0" fontId="5" fillId="22" borderId="29"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5" fillId="24" borderId="43" xfId="0" applyFont="1" applyFill="1" applyBorder="1" applyAlignment="1">
      <alignment horizontal="center" vertical="center" wrapText="1"/>
    </xf>
    <xf numFmtId="0" fontId="5" fillId="24" borderId="40" xfId="0" applyFont="1" applyFill="1" applyBorder="1" applyAlignment="1">
      <alignment horizontal="center" vertical="center" wrapText="1"/>
    </xf>
    <xf numFmtId="0" fontId="5" fillId="22" borderId="43" xfId="0" applyFont="1" applyFill="1" applyBorder="1" applyAlignment="1">
      <alignment horizontal="center" vertical="center" wrapText="1"/>
    </xf>
    <xf numFmtId="0" fontId="5" fillId="22" borderId="40" xfId="0" applyFont="1" applyFill="1" applyBorder="1" applyAlignment="1">
      <alignment horizontal="center" vertical="center" wrapText="1"/>
    </xf>
    <xf numFmtId="0" fontId="5" fillId="23" borderId="31"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cellXfs>
  <cellStyles count="9">
    <cellStyle name="Comma" xfId="1" builtinId="3"/>
    <cellStyle name="Comma 2" xfId="7" xr:uid="{2BBBC486-830B-42F9-88DA-EC2B140085F1}"/>
    <cellStyle name="Currency" xfId="2" builtinId="4"/>
    <cellStyle name="Currency 2" xfId="6" xr:uid="{17AAFB12-4293-452D-8479-5903980659BF}"/>
    <cellStyle name="Normal" xfId="0" builtinId="0"/>
    <cellStyle name="Normal 2" xfId="5" xr:uid="{61122F08-D90A-4885-9E30-ACD75820767E}"/>
    <cellStyle name="Normal 3 3" xfId="8" xr:uid="{892D4A94-AD4F-4C76-A764-6178A47ED86C}"/>
    <cellStyle name="Percent" xfId="3" builtinId="5"/>
    <cellStyle name="Percent 2" xfId="4" xr:uid="{73BA2F9F-694B-43D8-A88F-3BDA53A939DF}"/>
  </cellStyles>
  <dxfs count="13">
    <dxf>
      <fill>
        <patternFill>
          <bgColor theme="9" tint="0.79998168889431442"/>
        </patternFill>
      </fill>
    </dxf>
    <dxf>
      <font>
        <b/>
        <i val="0"/>
        <color theme="1"/>
      </font>
      <fill>
        <patternFill>
          <bgColor rgb="FFFFCCCC"/>
        </patternFill>
      </fill>
    </dxf>
    <dxf>
      <font>
        <color theme="9" tint="-0.499984740745262"/>
      </font>
      <fill>
        <patternFill>
          <bgColor theme="9" tint="0.79998168889431442"/>
        </patternFill>
      </fill>
    </dxf>
    <dxf>
      <font>
        <color theme="9" tint="-0.499984740745262"/>
      </font>
      <fill>
        <patternFill>
          <bgColor theme="9" tint="0.79998168889431442"/>
        </patternFill>
      </fill>
    </dxf>
    <dxf>
      <font>
        <color theme="9" tint="-0.499984740745262"/>
      </font>
      <fill>
        <patternFill>
          <bgColor theme="9" tint="0.79998168889431442"/>
        </patternFill>
      </fill>
    </dxf>
    <dxf>
      <font>
        <color theme="9" tint="-0.499984740745262"/>
      </font>
      <fill>
        <patternFill>
          <bgColor theme="9" tint="0.79998168889431442"/>
        </patternFill>
      </fill>
    </dxf>
    <dxf>
      <font>
        <color theme="9" tint="-0.499984740745262"/>
      </font>
      <fill>
        <patternFill>
          <bgColor theme="9" tint="0.79998168889431442"/>
        </patternFill>
      </fill>
    </dxf>
    <dxf>
      <font>
        <color theme="9" tint="-0.499984740745262"/>
      </font>
      <fill>
        <patternFill>
          <bgColor theme="9"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ont>
        <b/>
        <i val="0"/>
        <color theme="1"/>
      </font>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RTF budgets - Contract RFP Allocation</a:t>
            </a:r>
          </a:p>
        </c:rich>
      </c:tx>
      <c:overlay val="1"/>
    </c:title>
    <c:autoTitleDeleted val="0"/>
    <c:plotArea>
      <c:layout/>
      <c:barChart>
        <c:barDir val="col"/>
        <c:grouping val="stacked"/>
        <c:varyColors val="0"/>
        <c:ser>
          <c:idx val="8"/>
          <c:order val="0"/>
          <c:tx>
            <c:strRef>
              <c:f>'[1]Category (2020)'!$B$14</c:f>
              <c:strCache>
                <c:ptCount val="1"/>
                <c:pt idx="0">
                  <c:v>RTF Management</c:v>
                </c:pt>
              </c:strCache>
            </c:strRef>
          </c:tx>
          <c:invertIfNegative val="0"/>
          <c:cat>
            <c:numLit>
              <c:formatCode>General</c:formatCode>
              <c:ptCount val="2"/>
              <c:pt idx="0">
                <c:v>2018</c:v>
              </c:pt>
              <c:pt idx="1">
                <c:v>2019</c:v>
              </c:pt>
            </c:numLit>
          </c:cat>
          <c:val>
            <c:numRef>
              <c:f>('[1]Category (2020)'!$J$14,'[1]Category (2020)'!$C$14)</c:f>
              <c:numCache>
                <c:formatCode>General</c:formatCode>
                <c:ptCount val="2"/>
                <c:pt idx="0">
                  <c:v>3300</c:v>
                </c:pt>
                <c:pt idx="1">
                  <c:v>4000</c:v>
                </c:pt>
              </c:numCache>
            </c:numRef>
          </c:val>
          <c:extLst>
            <c:ext xmlns:c16="http://schemas.microsoft.com/office/drawing/2014/chart" uri="{C3380CC4-5D6E-409C-BE32-E72D297353CC}">
              <c16:uniqueId val="{00000000-B41B-4D74-9A7C-297CB9B11EBC}"/>
            </c:ext>
          </c:extLst>
        </c:ser>
        <c:ser>
          <c:idx val="7"/>
          <c:order val="1"/>
          <c:tx>
            <c:v>Member Support &amp; Admin</c:v>
          </c:tx>
          <c:invertIfNegative val="0"/>
          <c:cat>
            <c:numLit>
              <c:formatCode>General</c:formatCode>
              <c:ptCount val="2"/>
              <c:pt idx="0">
                <c:v>2018</c:v>
              </c:pt>
              <c:pt idx="1">
                <c:v>2019</c:v>
              </c:pt>
            </c:numLit>
          </c:cat>
          <c:val>
            <c:numRef>
              <c:f>('[1]Category (2020)'!$J$13,'[1]Category (2020)'!$C$13)</c:f>
              <c:numCache>
                <c:formatCode>General</c:formatCode>
                <c:ptCount val="2"/>
                <c:pt idx="0">
                  <c:v>182000</c:v>
                </c:pt>
                <c:pt idx="1">
                  <c:v>163000</c:v>
                </c:pt>
              </c:numCache>
            </c:numRef>
          </c:val>
          <c:extLst>
            <c:ext xmlns:c16="http://schemas.microsoft.com/office/drawing/2014/chart" uri="{C3380CC4-5D6E-409C-BE32-E72D297353CC}">
              <c16:uniqueId val="{00000001-B41B-4D74-9A7C-297CB9B11EBC}"/>
            </c:ext>
          </c:extLst>
        </c:ser>
        <c:ser>
          <c:idx val="6"/>
          <c:order val="2"/>
          <c:tx>
            <c:v>Website, Database, &amp; RCP Support</c:v>
          </c:tx>
          <c:invertIfNegative val="0"/>
          <c:cat>
            <c:numLit>
              <c:formatCode>General</c:formatCode>
              <c:ptCount val="2"/>
              <c:pt idx="0">
                <c:v>2018</c:v>
              </c:pt>
              <c:pt idx="1">
                <c:v>2019</c:v>
              </c:pt>
            </c:numLit>
          </c:cat>
          <c:val>
            <c:numRef>
              <c:f>('[1]Category (2020)'!$J$12,'[1]Category (2020)'!$C$12)</c:f>
              <c:numCache>
                <c:formatCode>General</c:formatCode>
                <c:ptCount val="2"/>
                <c:pt idx="0">
                  <c:v>60000</c:v>
                </c:pt>
                <c:pt idx="1">
                  <c:v>50000</c:v>
                </c:pt>
              </c:numCache>
            </c:numRef>
          </c:val>
          <c:extLst>
            <c:ext xmlns:c16="http://schemas.microsoft.com/office/drawing/2014/chart" uri="{C3380CC4-5D6E-409C-BE32-E72D297353CC}">
              <c16:uniqueId val="{00000002-B41B-4D74-9A7C-297CB9B11EBC}"/>
            </c:ext>
          </c:extLst>
        </c:ser>
        <c:ser>
          <c:idx val="5"/>
          <c:order val="3"/>
          <c:tx>
            <c:v>Regional Coordination</c:v>
          </c:tx>
          <c:invertIfNegative val="0"/>
          <c:cat>
            <c:numLit>
              <c:formatCode>General</c:formatCode>
              <c:ptCount val="2"/>
              <c:pt idx="0">
                <c:v>2018</c:v>
              </c:pt>
              <c:pt idx="1">
                <c:v>2019</c:v>
              </c:pt>
            </c:numLit>
          </c:cat>
          <c:val>
            <c:numRef>
              <c:f>('[1]Category (2020)'!$J$11,'[1]Category (2020)'!$C$11)</c:f>
              <c:numCache>
                <c:formatCode>General</c:formatCode>
                <c:ptCount val="2"/>
                <c:pt idx="0">
                  <c:v>0</c:v>
                </c:pt>
                <c:pt idx="1">
                  <c:v>40000</c:v>
                </c:pt>
              </c:numCache>
            </c:numRef>
          </c:val>
          <c:extLst>
            <c:ext xmlns:c16="http://schemas.microsoft.com/office/drawing/2014/chart" uri="{C3380CC4-5D6E-409C-BE32-E72D297353CC}">
              <c16:uniqueId val="{00000003-B41B-4D74-9A7C-297CB9B11EBC}"/>
            </c:ext>
          </c:extLst>
        </c:ser>
        <c:ser>
          <c:idx val="3"/>
          <c:order val="4"/>
          <c:tx>
            <c:strRef>
              <c:f>'[1]Category (2020)'!$B$9</c:f>
              <c:strCache>
                <c:ptCount val="1"/>
                <c:pt idx="0">
                  <c:v>Tool Development</c:v>
                </c:pt>
              </c:strCache>
            </c:strRef>
          </c:tx>
          <c:invertIfNegative val="0"/>
          <c:cat>
            <c:numLit>
              <c:formatCode>General</c:formatCode>
              <c:ptCount val="2"/>
              <c:pt idx="0">
                <c:v>2018</c:v>
              </c:pt>
              <c:pt idx="1">
                <c:v>2019</c:v>
              </c:pt>
            </c:numLit>
          </c:cat>
          <c:val>
            <c:numRef>
              <c:f>('[1]Category (2020)'!$J$9,'[1]Category (2020)'!$C$9)</c:f>
              <c:numCache>
                <c:formatCode>General</c:formatCode>
                <c:ptCount val="2"/>
                <c:pt idx="0">
                  <c:v>130000</c:v>
                </c:pt>
                <c:pt idx="1">
                  <c:v>0</c:v>
                </c:pt>
              </c:numCache>
            </c:numRef>
          </c:val>
          <c:extLst>
            <c:ext xmlns:c16="http://schemas.microsoft.com/office/drawing/2014/chart" uri="{C3380CC4-5D6E-409C-BE32-E72D297353CC}">
              <c16:uniqueId val="{00000004-B41B-4D74-9A7C-297CB9B11EBC}"/>
            </c:ext>
          </c:extLst>
        </c:ser>
        <c:ser>
          <c:idx val="2"/>
          <c:order val="5"/>
          <c:tx>
            <c:strRef>
              <c:f>'[1]Category (2020)'!$B$8</c:f>
              <c:strCache>
                <c:ptCount val="1"/>
                <c:pt idx="0">
                  <c:v>Standardization of Technical Analysis</c:v>
                </c:pt>
              </c:strCache>
            </c:strRef>
          </c:tx>
          <c:invertIfNegative val="0"/>
          <c:cat>
            <c:numLit>
              <c:formatCode>General</c:formatCode>
              <c:ptCount val="2"/>
              <c:pt idx="0">
                <c:v>2018</c:v>
              </c:pt>
              <c:pt idx="1">
                <c:v>2019</c:v>
              </c:pt>
            </c:numLit>
          </c:cat>
          <c:val>
            <c:numRef>
              <c:f>('[1]Category (2020)'!$J$8,'[1]Category (2020)'!$C$8)</c:f>
              <c:numCache>
                <c:formatCode>General</c:formatCode>
                <c:ptCount val="2"/>
                <c:pt idx="0">
                  <c:v>23500</c:v>
                </c:pt>
                <c:pt idx="1">
                  <c:v>40000</c:v>
                </c:pt>
              </c:numCache>
            </c:numRef>
          </c:val>
          <c:extLst>
            <c:ext xmlns:c16="http://schemas.microsoft.com/office/drawing/2014/chart" uri="{C3380CC4-5D6E-409C-BE32-E72D297353CC}">
              <c16:uniqueId val="{00000005-B41B-4D74-9A7C-297CB9B11EBC}"/>
            </c:ext>
          </c:extLst>
        </c:ser>
        <c:ser>
          <c:idx val="1"/>
          <c:order val="6"/>
          <c:tx>
            <c:v>New Measure Development</c:v>
          </c:tx>
          <c:invertIfNegative val="0"/>
          <c:cat>
            <c:numLit>
              <c:formatCode>General</c:formatCode>
              <c:ptCount val="2"/>
              <c:pt idx="0">
                <c:v>2018</c:v>
              </c:pt>
              <c:pt idx="1">
                <c:v>2019</c:v>
              </c:pt>
            </c:numLit>
          </c:cat>
          <c:val>
            <c:numRef>
              <c:f>('[1]Category (2020)'!$J$7,'[1]Category (2020)'!$C$7)</c:f>
              <c:numCache>
                <c:formatCode>General</c:formatCode>
                <c:ptCount val="2"/>
                <c:pt idx="0">
                  <c:v>41000</c:v>
                </c:pt>
                <c:pt idx="1">
                  <c:v>44000</c:v>
                </c:pt>
              </c:numCache>
            </c:numRef>
          </c:val>
          <c:extLst>
            <c:ext xmlns:c16="http://schemas.microsoft.com/office/drawing/2014/chart" uri="{C3380CC4-5D6E-409C-BE32-E72D297353CC}">
              <c16:uniqueId val="{00000006-B41B-4D74-9A7C-297CB9B11EBC}"/>
            </c:ext>
          </c:extLst>
        </c:ser>
        <c:ser>
          <c:idx val="0"/>
          <c:order val="7"/>
          <c:tx>
            <c:strRef>
              <c:f>'[1]Category (2020)'!$B$6</c:f>
              <c:strCache>
                <c:ptCount val="1"/>
                <c:pt idx="0">
                  <c:v>Existing Measure Review &amp; Updates</c:v>
                </c:pt>
              </c:strCache>
            </c:strRef>
          </c:tx>
          <c:invertIfNegative val="0"/>
          <c:cat>
            <c:numLit>
              <c:formatCode>General</c:formatCode>
              <c:ptCount val="2"/>
              <c:pt idx="0">
                <c:v>2018</c:v>
              </c:pt>
              <c:pt idx="1">
                <c:v>2019</c:v>
              </c:pt>
            </c:numLit>
          </c:cat>
          <c:val>
            <c:numRef>
              <c:f>('[1]Category (2020)'!$J$6,'[1]Category (2020)'!$C$6)</c:f>
              <c:numCache>
                <c:formatCode>General</c:formatCode>
                <c:ptCount val="2"/>
                <c:pt idx="0">
                  <c:v>84000</c:v>
                </c:pt>
                <c:pt idx="1">
                  <c:v>92000</c:v>
                </c:pt>
              </c:numCache>
            </c:numRef>
          </c:val>
          <c:extLst>
            <c:ext xmlns:c16="http://schemas.microsoft.com/office/drawing/2014/chart" uri="{C3380CC4-5D6E-409C-BE32-E72D297353CC}">
              <c16:uniqueId val="{00000007-B41B-4D74-9A7C-297CB9B11EBC}"/>
            </c:ext>
          </c:extLst>
        </c:ser>
        <c:dLbls>
          <c:showLegendKey val="0"/>
          <c:showVal val="0"/>
          <c:showCatName val="0"/>
          <c:showSerName val="0"/>
          <c:showPercent val="0"/>
          <c:showBubbleSize val="0"/>
        </c:dLbls>
        <c:gapWidth val="150"/>
        <c:overlap val="100"/>
        <c:axId val="475779440"/>
        <c:axId val="475779832"/>
      </c:barChart>
      <c:catAx>
        <c:axId val="475779440"/>
        <c:scaling>
          <c:orientation val="minMax"/>
        </c:scaling>
        <c:delete val="0"/>
        <c:axPos val="b"/>
        <c:numFmt formatCode="General" sourceLinked="1"/>
        <c:majorTickMark val="out"/>
        <c:minorTickMark val="none"/>
        <c:tickLblPos val="nextTo"/>
        <c:txPr>
          <a:bodyPr/>
          <a:lstStyle/>
          <a:p>
            <a:pPr>
              <a:defRPr sz="1800" b="1"/>
            </a:pPr>
            <a:endParaRPr lang="en-US"/>
          </a:p>
        </c:txPr>
        <c:crossAx val="475779832"/>
        <c:crosses val="autoZero"/>
        <c:auto val="1"/>
        <c:lblAlgn val="ctr"/>
        <c:lblOffset val="100"/>
        <c:noMultiLvlLbl val="0"/>
      </c:catAx>
      <c:valAx>
        <c:axId val="475779832"/>
        <c:scaling>
          <c:orientation val="minMax"/>
        </c:scaling>
        <c:delete val="0"/>
        <c:axPos val="l"/>
        <c:numFmt formatCode="General" sourceLinked="1"/>
        <c:majorTickMark val="out"/>
        <c:minorTickMark val="none"/>
        <c:tickLblPos val="nextTo"/>
        <c:txPr>
          <a:bodyPr/>
          <a:lstStyle/>
          <a:p>
            <a:pPr>
              <a:defRPr sz="1200"/>
            </a:pPr>
            <a:endParaRPr lang="en-US"/>
          </a:p>
        </c:txPr>
        <c:crossAx val="475779440"/>
        <c:crosses val="autoZero"/>
        <c:crossBetween val="between"/>
      </c:valAx>
    </c:plotArea>
    <c:legend>
      <c:legendPos val="r"/>
      <c:overlay val="0"/>
      <c:txPr>
        <a:bodyPr/>
        <a:lstStyle/>
        <a:p>
          <a:pPr>
            <a:defRPr sz="1400"/>
          </a:pPr>
          <a:endParaRPr lang="en-US"/>
        </a:p>
      </c:txPr>
    </c:legend>
    <c:plotVisOnly val="1"/>
    <c:dispBlanksAs val="gap"/>
    <c:showDLblsOverMax val="0"/>
  </c:chart>
  <c:printSettings>
    <c:headerFooter/>
    <c:pageMargins b="0.75000000000001232" l="0.70000000000000162" r="0.70000000000000162" t="0.750000000000012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Contract RFP Funds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4715267786803138E-2"/>
          <c:y val="0.10000673019946656"/>
          <c:w val="0.44947671455785199"/>
          <c:h val="0.83744317811483504"/>
        </c:manualLayout>
      </c:layout>
      <c:barChart>
        <c:barDir val="col"/>
        <c:grouping val="stacked"/>
        <c:varyColors val="0"/>
        <c:ser>
          <c:idx val="11"/>
          <c:order val="0"/>
          <c:tx>
            <c:strRef>
              <c:f>'Category (2021)'!$A$125</c:f>
              <c:strCache>
                <c:ptCount val="1"/>
                <c:pt idx="0">
                  <c:v>RTF Management</c:v>
                </c:pt>
              </c:strCache>
            </c:strRef>
          </c:tx>
          <c:spPr>
            <a:solidFill>
              <a:schemeClr val="accent6">
                <a:lumMod val="60000"/>
              </a:schemeClr>
            </a:solidFill>
            <a:ln>
              <a:noFill/>
            </a:ln>
            <a:effectLst/>
          </c:spPr>
          <c:invertIfNegative val="0"/>
          <c:cat>
            <c:numLit>
              <c:formatCode>General</c:formatCode>
              <c:ptCount val="1"/>
              <c:pt idx="0">
                <c:v>2021</c:v>
              </c:pt>
            </c:numLit>
          </c:cat>
          <c:val>
            <c:numRef>
              <c:f>'Category (2021)'!$B$125</c:f>
              <c:numCache>
                <c:formatCode>"$"#,##0_);\("$"#,##0\)</c:formatCode>
                <c:ptCount val="1"/>
                <c:pt idx="0">
                  <c:v>4000</c:v>
                </c:pt>
              </c:numCache>
            </c:numRef>
          </c:val>
          <c:extLst>
            <c:ext xmlns:c16="http://schemas.microsoft.com/office/drawing/2014/chart" uri="{C3380CC4-5D6E-409C-BE32-E72D297353CC}">
              <c16:uniqueId val="{0000000B-8170-4653-8217-9A6F3EF2BF28}"/>
            </c:ext>
          </c:extLst>
        </c:ser>
        <c:ser>
          <c:idx val="10"/>
          <c:order val="1"/>
          <c:tx>
            <c:strRef>
              <c:f>'Category (2021)'!$A$124</c:f>
              <c:strCache>
                <c:ptCount val="1"/>
                <c:pt idx="0">
                  <c:v>RTF Meeting Support</c:v>
                </c:pt>
              </c:strCache>
            </c:strRef>
          </c:tx>
          <c:spPr>
            <a:solidFill>
              <a:schemeClr val="bg1">
                <a:lumMod val="50000"/>
              </a:schemeClr>
            </a:solidFill>
            <a:ln>
              <a:noFill/>
            </a:ln>
            <a:effectLst/>
          </c:spPr>
          <c:invertIfNegative val="0"/>
          <c:cat>
            <c:numLit>
              <c:formatCode>General</c:formatCode>
              <c:ptCount val="1"/>
              <c:pt idx="0">
                <c:v>2021</c:v>
              </c:pt>
            </c:numLit>
          </c:cat>
          <c:val>
            <c:numRef>
              <c:f>'Category (2021)'!$B$124</c:f>
              <c:numCache>
                <c:formatCode>"$"#,##0_);\("$"#,##0\)</c:formatCode>
                <c:ptCount val="1"/>
                <c:pt idx="0">
                  <c:v>148000</c:v>
                </c:pt>
              </c:numCache>
            </c:numRef>
          </c:val>
          <c:extLst>
            <c:ext xmlns:c16="http://schemas.microsoft.com/office/drawing/2014/chart" uri="{C3380CC4-5D6E-409C-BE32-E72D297353CC}">
              <c16:uniqueId val="{0000000A-8170-4653-8217-9A6F3EF2BF28}"/>
            </c:ext>
          </c:extLst>
        </c:ser>
        <c:ser>
          <c:idx val="9"/>
          <c:order val="2"/>
          <c:tx>
            <c:strRef>
              <c:f>'Category (2021)'!$A$123</c:f>
              <c:strCache>
                <c:ptCount val="1"/>
                <c:pt idx="0">
                  <c:v>Website and Regional Conservation Progress</c:v>
                </c:pt>
              </c:strCache>
            </c:strRef>
          </c:tx>
          <c:spPr>
            <a:solidFill>
              <a:schemeClr val="accent2">
                <a:lumMod val="50000"/>
              </a:schemeClr>
            </a:solidFill>
            <a:ln>
              <a:noFill/>
            </a:ln>
            <a:effectLst/>
          </c:spPr>
          <c:invertIfNegative val="0"/>
          <c:cat>
            <c:numLit>
              <c:formatCode>General</c:formatCode>
              <c:ptCount val="1"/>
              <c:pt idx="0">
                <c:v>2021</c:v>
              </c:pt>
            </c:numLit>
          </c:cat>
          <c:val>
            <c:numRef>
              <c:f>'Category (2021)'!$B$123</c:f>
              <c:numCache>
                <c:formatCode>"$"#,##0_);\("$"#,##0\)</c:formatCode>
                <c:ptCount val="1"/>
                <c:pt idx="0">
                  <c:v>56000</c:v>
                </c:pt>
              </c:numCache>
            </c:numRef>
          </c:val>
          <c:extLst>
            <c:ext xmlns:c16="http://schemas.microsoft.com/office/drawing/2014/chart" uri="{C3380CC4-5D6E-409C-BE32-E72D297353CC}">
              <c16:uniqueId val="{00000009-8170-4653-8217-9A6F3EF2BF28}"/>
            </c:ext>
          </c:extLst>
        </c:ser>
        <c:ser>
          <c:idx val="8"/>
          <c:order val="3"/>
          <c:tx>
            <c:strRef>
              <c:f>'Category (2021)'!$A$122</c:f>
              <c:strCache>
                <c:ptCount val="1"/>
                <c:pt idx="0">
                  <c:v>Demand Response</c:v>
                </c:pt>
              </c:strCache>
            </c:strRef>
          </c:tx>
          <c:spPr>
            <a:solidFill>
              <a:schemeClr val="accent1">
                <a:lumMod val="50000"/>
              </a:schemeClr>
            </a:solidFill>
            <a:ln>
              <a:noFill/>
            </a:ln>
            <a:effectLst/>
          </c:spPr>
          <c:invertIfNegative val="0"/>
          <c:cat>
            <c:numLit>
              <c:formatCode>General</c:formatCode>
              <c:ptCount val="1"/>
              <c:pt idx="0">
                <c:v>2021</c:v>
              </c:pt>
            </c:numLit>
          </c:cat>
          <c:val>
            <c:numRef>
              <c:f>'Category (2021)'!$B$122</c:f>
              <c:numCache>
                <c:formatCode>"$"#,##0_);\("$"#,##0\)</c:formatCode>
                <c:ptCount val="1"/>
                <c:pt idx="0">
                  <c:v>25700</c:v>
                </c:pt>
              </c:numCache>
            </c:numRef>
          </c:val>
          <c:extLst>
            <c:ext xmlns:c16="http://schemas.microsoft.com/office/drawing/2014/chart" uri="{C3380CC4-5D6E-409C-BE32-E72D297353CC}">
              <c16:uniqueId val="{00000008-8170-4653-8217-9A6F3EF2BF28}"/>
            </c:ext>
          </c:extLst>
        </c:ser>
        <c:ser>
          <c:idx val="7"/>
          <c:order val="4"/>
          <c:tx>
            <c:strRef>
              <c:f>'Category (2021)'!$A$121</c:f>
              <c:strCache>
                <c:ptCount val="1"/>
                <c:pt idx="0">
                  <c:v>Regional Coordination (Additional Funds)</c:v>
                </c:pt>
              </c:strCache>
            </c:strRef>
          </c:tx>
          <c:spPr>
            <a:solidFill>
              <a:schemeClr val="accent6">
                <a:lumMod val="40000"/>
                <a:lumOff val="60000"/>
              </a:schemeClr>
            </a:solidFill>
            <a:ln>
              <a:noFill/>
            </a:ln>
            <a:effectLst/>
          </c:spPr>
          <c:invertIfNegative val="0"/>
          <c:cat>
            <c:numLit>
              <c:formatCode>General</c:formatCode>
              <c:ptCount val="1"/>
              <c:pt idx="0">
                <c:v>2021</c:v>
              </c:pt>
            </c:numLit>
          </c:cat>
          <c:val>
            <c:numRef>
              <c:f>'Category (2021)'!$B$121</c:f>
              <c:numCache>
                <c:formatCode>"$"#,##0_);\("$"#,##0\)</c:formatCode>
                <c:ptCount val="1"/>
                <c:pt idx="0">
                  <c:v>125000</c:v>
                </c:pt>
              </c:numCache>
            </c:numRef>
          </c:val>
          <c:extLst>
            <c:ext xmlns:c16="http://schemas.microsoft.com/office/drawing/2014/chart" uri="{C3380CC4-5D6E-409C-BE32-E72D297353CC}">
              <c16:uniqueId val="{00000007-8170-4653-8217-9A6F3EF2BF28}"/>
            </c:ext>
          </c:extLst>
        </c:ser>
        <c:ser>
          <c:idx val="6"/>
          <c:order val="5"/>
          <c:tx>
            <c:strRef>
              <c:f>'Category (2021)'!$A$120</c:f>
              <c:strCache>
                <c:ptCount val="1"/>
                <c:pt idx="0">
                  <c:v>Regional Coordination</c:v>
                </c:pt>
              </c:strCache>
            </c:strRef>
          </c:tx>
          <c:spPr>
            <a:solidFill>
              <a:schemeClr val="accent6"/>
            </a:solidFill>
            <a:ln>
              <a:noFill/>
            </a:ln>
            <a:effectLst/>
          </c:spPr>
          <c:invertIfNegative val="0"/>
          <c:cat>
            <c:numLit>
              <c:formatCode>General</c:formatCode>
              <c:ptCount val="1"/>
              <c:pt idx="0">
                <c:v>2021</c:v>
              </c:pt>
            </c:numLit>
          </c:cat>
          <c:val>
            <c:numRef>
              <c:f>'Category (2021)'!$B$120</c:f>
              <c:numCache>
                <c:formatCode>"$"#,##0_);\("$"#,##0\)</c:formatCode>
                <c:ptCount val="1"/>
                <c:pt idx="0">
                  <c:v>0</c:v>
                </c:pt>
              </c:numCache>
            </c:numRef>
          </c:val>
          <c:extLst>
            <c:ext xmlns:c16="http://schemas.microsoft.com/office/drawing/2014/chart" uri="{C3380CC4-5D6E-409C-BE32-E72D297353CC}">
              <c16:uniqueId val="{00000006-8170-4653-8217-9A6F3EF2BF28}"/>
            </c:ext>
          </c:extLst>
        </c:ser>
        <c:ser>
          <c:idx val="5"/>
          <c:order val="6"/>
          <c:tx>
            <c:strRef>
              <c:f>'Category (2021)'!$A$119</c:f>
              <c:strCache>
                <c:ptCount val="1"/>
                <c:pt idx="0">
                  <c:v>Tool Development</c:v>
                </c:pt>
              </c:strCache>
            </c:strRef>
          </c:tx>
          <c:spPr>
            <a:solidFill>
              <a:schemeClr val="accent5"/>
            </a:solidFill>
            <a:ln>
              <a:noFill/>
            </a:ln>
            <a:effectLst/>
          </c:spPr>
          <c:invertIfNegative val="0"/>
          <c:cat>
            <c:numLit>
              <c:formatCode>General</c:formatCode>
              <c:ptCount val="1"/>
              <c:pt idx="0">
                <c:v>2021</c:v>
              </c:pt>
            </c:numLit>
          </c:cat>
          <c:val>
            <c:numRef>
              <c:f>'Category (2021)'!$B$119</c:f>
              <c:numCache>
                <c:formatCode>"$"#,##0_);\("$"#,##0\)</c:formatCode>
                <c:ptCount val="1"/>
                <c:pt idx="0">
                  <c:v>20000</c:v>
                </c:pt>
              </c:numCache>
            </c:numRef>
          </c:val>
          <c:extLst>
            <c:ext xmlns:c16="http://schemas.microsoft.com/office/drawing/2014/chart" uri="{C3380CC4-5D6E-409C-BE32-E72D297353CC}">
              <c16:uniqueId val="{00000005-8170-4653-8217-9A6F3EF2BF28}"/>
            </c:ext>
          </c:extLst>
        </c:ser>
        <c:ser>
          <c:idx val="4"/>
          <c:order val="7"/>
          <c:tx>
            <c:strRef>
              <c:f>'Category (2021)'!$A$118</c:f>
              <c:strCache>
                <c:ptCount val="1"/>
                <c:pt idx="0">
                  <c:v>Standardization of Technical Analysis</c:v>
                </c:pt>
              </c:strCache>
            </c:strRef>
          </c:tx>
          <c:spPr>
            <a:solidFill>
              <a:schemeClr val="accent5"/>
            </a:solidFill>
            <a:ln>
              <a:noFill/>
            </a:ln>
            <a:effectLst/>
          </c:spPr>
          <c:invertIfNegative val="0"/>
          <c:cat>
            <c:numLit>
              <c:formatCode>General</c:formatCode>
              <c:ptCount val="1"/>
              <c:pt idx="0">
                <c:v>2021</c:v>
              </c:pt>
            </c:numLit>
          </c:cat>
          <c:val>
            <c:numRef>
              <c:f>'Category (2021)'!$B$118</c:f>
              <c:numCache>
                <c:formatCode>"$"#,##0_);\("$"#,##0\)</c:formatCode>
                <c:ptCount val="1"/>
                <c:pt idx="0">
                  <c:v>0</c:v>
                </c:pt>
              </c:numCache>
            </c:numRef>
          </c:val>
          <c:extLst>
            <c:ext xmlns:c16="http://schemas.microsoft.com/office/drawing/2014/chart" uri="{C3380CC4-5D6E-409C-BE32-E72D297353CC}">
              <c16:uniqueId val="{00000004-8170-4653-8217-9A6F3EF2BF28}"/>
            </c:ext>
          </c:extLst>
        </c:ser>
        <c:ser>
          <c:idx val="3"/>
          <c:order val="8"/>
          <c:tx>
            <c:strRef>
              <c:f>'Category (2021)'!$A$117</c:f>
              <c:strCache>
                <c:ptCount val="1"/>
                <c:pt idx="0">
                  <c:v>New Measure Development (Additional Funds)</c:v>
                </c:pt>
              </c:strCache>
            </c:strRef>
          </c:tx>
          <c:spPr>
            <a:solidFill>
              <a:schemeClr val="bg1">
                <a:lumMod val="85000"/>
              </a:schemeClr>
            </a:solidFill>
            <a:ln>
              <a:noFill/>
            </a:ln>
            <a:effectLst/>
          </c:spPr>
          <c:invertIfNegative val="0"/>
          <c:cat>
            <c:numLit>
              <c:formatCode>General</c:formatCode>
              <c:ptCount val="1"/>
              <c:pt idx="0">
                <c:v>2021</c:v>
              </c:pt>
            </c:numLit>
          </c:cat>
          <c:val>
            <c:numRef>
              <c:f>'Category (2021)'!$B$117</c:f>
              <c:numCache>
                <c:formatCode>"$"#,##0_);\("$"#,##0\)</c:formatCode>
                <c:ptCount val="1"/>
                <c:pt idx="0">
                  <c:v>15000</c:v>
                </c:pt>
              </c:numCache>
            </c:numRef>
          </c:val>
          <c:extLst>
            <c:ext xmlns:c16="http://schemas.microsoft.com/office/drawing/2014/chart" uri="{C3380CC4-5D6E-409C-BE32-E72D297353CC}">
              <c16:uniqueId val="{00000003-8170-4653-8217-9A6F3EF2BF28}"/>
            </c:ext>
          </c:extLst>
        </c:ser>
        <c:ser>
          <c:idx val="2"/>
          <c:order val="9"/>
          <c:tx>
            <c:strRef>
              <c:f>'Category (2021)'!$A$116</c:f>
              <c:strCache>
                <c:ptCount val="1"/>
                <c:pt idx="0">
                  <c:v>New Measure Development</c:v>
                </c:pt>
              </c:strCache>
            </c:strRef>
          </c:tx>
          <c:spPr>
            <a:solidFill>
              <a:schemeClr val="bg1">
                <a:lumMod val="65000"/>
              </a:schemeClr>
            </a:solidFill>
            <a:ln>
              <a:noFill/>
            </a:ln>
            <a:effectLst/>
          </c:spPr>
          <c:invertIfNegative val="0"/>
          <c:cat>
            <c:numLit>
              <c:formatCode>General</c:formatCode>
              <c:ptCount val="1"/>
              <c:pt idx="0">
                <c:v>2021</c:v>
              </c:pt>
            </c:numLit>
          </c:cat>
          <c:val>
            <c:numRef>
              <c:f>'Category (2021)'!$B$116</c:f>
              <c:numCache>
                <c:formatCode>"$"#,##0_);\("$"#,##0\)</c:formatCode>
                <c:ptCount val="1"/>
                <c:pt idx="0">
                  <c:v>61100</c:v>
                </c:pt>
              </c:numCache>
            </c:numRef>
          </c:val>
          <c:extLst>
            <c:ext xmlns:c16="http://schemas.microsoft.com/office/drawing/2014/chart" uri="{C3380CC4-5D6E-409C-BE32-E72D297353CC}">
              <c16:uniqueId val="{00000002-8170-4653-8217-9A6F3EF2BF28}"/>
            </c:ext>
          </c:extLst>
        </c:ser>
        <c:ser>
          <c:idx val="1"/>
          <c:order val="10"/>
          <c:tx>
            <c:strRef>
              <c:f>'Category (2021)'!$A$115</c:f>
              <c:strCache>
                <c:ptCount val="1"/>
                <c:pt idx="0">
                  <c:v>Existing Measure Maintenance (Additional Funds)</c:v>
                </c:pt>
              </c:strCache>
            </c:strRef>
          </c:tx>
          <c:spPr>
            <a:solidFill>
              <a:schemeClr val="accent2">
                <a:lumMod val="40000"/>
                <a:lumOff val="60000"/>
              </a:schemeClr>
            </a:solidFill>
            <a:ln>
              <a:noFill/>
            </a:ln>
            <a:effectLst/>
          </c:spPr>
          <c:invertIfNegative val="0"/>
          <c:cat>
            <c:numLit>
              <c:formatCode>General</c:formatCode>
              <c:ptCount val="1"/>
              <c:pt idx="0">
                <c:v>2021</c:v>
              </c:pt>
            </c:numLit>
          </c:cat>
          <c:val>
            <c:numRef>
              <c:f>'Category (2021)'!$B$115</c:f>
              <c:numCache>
                <c:formatCode>"$"#,##0_);\("$"#,##0\)</c:formatCode>
                <c:ptCount val="1"/>
                <c:pt idx="0">
                  <c:v>15000</c:v>
                </c:pt>
              </c:numCache>
            </c:numRef>
          </c:val>
          <c:extLst>
            <c:ext xmlns:c16="http://schemas.microsoft.com/office/drawing/2014/chart" uri="{C3380CC4-5D6E-409C-BE32-E72D297353CC}">
              <c16:uniqueId val="{00000001-8170-4653-8217-9A6F3EF2BF28}"/>
            </c:ext>
          </c:extLst>
        </c:ser>
        <c:ser>
          <c:idx val="0"/>
          <c:order val="11"/>
          <c:tx>
            <c:strRef>
              <c:f>'Category (2021)'!$A$114</c:f>
              <c:strCache>
                <c:ptCount val="1"/>
                <c:pt idx="0">
                  <c:v>Existing Measure Maintenance</c:v>
                </c:pt>
              </c:strCache>
            </c:strRef>
          </c:tx>
          <c:spPr>
            <a:solidFill>
              <a:schemeClr val="accent2"/>
            </a:solidFill>
            <a:ln>
              <a:noFill/>
            </a:ln>
            <a:effectLst/>
          </c:spPr>
          <c:invertIfNegative val="0"/>
          <c:cat>
            <c:numLit>
              <c:formatCode>General</c:formatCode>
              <c:ptCount val="1"/>
              <c:pt idx="0">
                <c:v>2021</c:v>
              </c:pt>
            </c:numLit>
          </c:cat>
          <c:val>
            <c:numRef>
              <c:f>'Category (2021)'!$B$114</c:f>
              <c:numCache>
                <c:formatCode>"$"#,##0_);\("$"#,##0\)</c:formatCode>
                <c:ptCount val="1"/>
                <c:pt idx="0">
                  <c:v>126000</c:v>
                </c:pt>
              </c:numCache>
            </c:numRef>
          </c:val>
          <c:extLst>
            <c:ext xmlns:c16="http://schemas.microsoft.com/office/drawing/2014/chart" uri="{C3380CC4-5D6E-409C-BE32-E72D297353CC}">
              <c16:uniqueId val="{00000000-8170-4653-8217-9A6F3EF2BF28}"/>
            </c:ext>
          </c:extLst>
        </c:ser>
        <c:dLbls>
          <c:showLegendKey val="0"/>
          <c:showVal val="0"/>
          <c:showCatName val="0"/>
          <c:showSerName val="0"/>
          <c:showPercent val="0"/>
          <c:showBubbleSize val="0"/>
        </c:dLbls>
        <c:gapWidth val="55"/>
        <c:overlap val="100"/>
        <c:axId val="1395598815"/>
        <c:axId val="1281636975"/>
      </c:barChart>
      <c:catAx>
        <c:axId val="139559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81636975"/>
        <c:crosses val="autoZero"/>
        <c:auto val="1"/>
        <c:lblAlgn val="ctr"/>
        <c:lblOffset val="100"/>
        <c:noMultiLvlLbl val="0"/>
      </c:catAx>
      <c:valAx>
        <c:axId val="128163697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95598815"/>
        <c:crosses val="autoZero"/>
        <c:crossBetween val="between"/>
      </c:valAx>
      <c:spPr>
        <a:noFill/>
        <a:ln>
          <a:noFill/>
        </a:ln>
        <a:effectLst/>
      </c:spPr>
    </c:plotArea>
    <c:legend>
      <c:legendPos val="r"/>
      <c:layout>
        <c:manualLayout>
          <c:xMode val="edge"/>
          <c:yMode val="edge"/>
          <c:x val="0.51643411539743778"/>
          <c:y val="0.22469057536411546"/>
          <c:w val="0.47497473874373358"/>
          <c:h val="0.68633066765064865"/>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Annual</a:t>
            </a:r>
            <a:r>
              <a:rPr lang="en-US" baseline="0"/>
              <a:t> Funding, including Council Contribution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'Strategic Plan (2020-2024)'!$A$27</c:f>
              <c:strCache>
                <c:ptCount val="1"/>
                <c:pt idx="0">
                  <c:v>Contract RFP</c:v>
                </c:pt>
              </c:strCache>
            </c:strRef>
          </c:tx>
          <c:spPr>
            <a:solidFill>
              <a:schemeClr val="accent1"/>
            </a:solidFill>
            <a:ln>
              <a:noFill/>
            </a:ln>
            <a:effectLst/>
          </c:spPr>
          <c:invertIfNegative val="0"/>
          <c:cat>
            <c:numRef>
              <c:f>'Strategic Plan (2020-2024)'!$B$26:$F$26</c:f>
              <c:numCache>
                <c:formatCode>General</c:formatCode>
                <c:ptCount val="5"/>
                <c:pt idx="0">
                  <c:v>2020</c:v>
                </c:pt>
                <c:pt idx="1">
                  <c:v>2021</c:v>
                </c:pt>
                <c:pt idx="2">
                  <c:v>2022</c:v>
                </c:pt>
                <c:pt idx="3">
                  <c:v>2023</c:v>
                </c:pt>
                <c:pt idx="4">
                  <c:v>2024</c:v>
                </c:pt>
              </c:numCache>
            </c:numRef>
          </c:cat>
          <c:val>
            <c:numRef>
              <c:f>'Strategic Plan (2020-2024)'!$B$27:$F$27</c:f>
              <c:numCache>
                <c:formatCode>"$"#,##0_);\("$"#,##0\)</c:formatCode>
                <c:ptCount val="5"/>
                <c:pt idx="0">
                  <c:v>433000</c:v>
                </c:pt>
                <c:pt idx="1">
                  <c:v>431400</c:v>
                </c:pt>
                <c:pt idx="2">
                  <c:v>412900</c:v>
                </c:pt>
                <c:pt idx="3">
                  <c:v>440400</c:v>
                </c:pt>
                <c:pt idx="4">
                  <c:v>436000</c:v>
                </c:pt>
              </c:numCache>
            </c:numRef>
          </c:val>
          <c:extLst>
            <c:ext xmlns:c16="http://schemas.microsoft.com/office/drawing/2014/chart" uri="{C3380CC4-5D6E-409C-BE32-E72D297353CC}">
              <c16:uniqueId val="{00000000-9B0E-4E31-AB79-C4CFCE1B748B}"/>
            </c:ext>
          </c:extLst>
        </c:ser>
        <c:ser>
          <c:idx val="1"/>
          <c:order val="1"/>
          <c:tx>
            <c:strRef>
              <c:f>'Strategic Plan (2020-2024)'!$A$28</c:f>
              <c:strCache>
                <c:ptCount val="1"/>
                <c:pt idx="0">
                  <c:v>Contract Analyst Team</c:v>
                </c:pt>
              </c:strCache>
            </c:strRef>
          </c:tx>
          <c:spPr>
            <a:solidFill>
              <a:schemeClr val="accent6"/>
            </a:solidFill>
            <a:ln>
              <a:noFill/>
            </a:ln>
            <a:effectLst/>
          </c:spPr>
          <c:invertIfNegative val="0"/>
          <c:cat>
            <c:numRef>
              <c:f>'Strategic Plan (2020-2024)'!$B$26:$F$26</c:f>
              <c:numCache>
                <c:formatCode>General</c:formatCode>
                <c:ptCount val="5"/>
                <c:pt idx="0">
                  <c:v>2020</c:v>
                </c:pt>
                <c:pt idx="1">
                  <c:v>2021</c:v>
                </c:pt>
                <c:pt idx="2">
                  <c:v>2022</c:v>
                </c:pt>
                <c:pt idx="3">
                  <c:v>2023</c:v>
                </c:pt>
                <c:pt idx="4">
                  <c:v>2024</c:v>
                </c:pt>
              </c:numCache>
            </c:numRef>
          </c:cat>
          <c:val>
            <c:numRef>
              <c:f>'Strategic Plan (2020-2024)'!$B$28:$F$28</c:f>
              <c:numCache>
                <c:formatCode>"$"#,##0_);\("$"#,##0\)</c:formatCode>
                <c:ptCount val="5"/>
                <c:pt idx="0">
                  <c:v>1193000</c:v>
                </c:pt>
                <c:pt idx="1">
                  <c:v>1235200</c:v>
                </c:pt>
                <c:pt idx="2">
                  <c:v>1295400</c:v>
                </c:pt>
                <c:pt idx="3">
                  <c:v>1310600</c:v>
                </c:pt>
                <c:pt idx="4">
                  <c:v>1358700</c:v>
                </c:pt>
              </c:numCache>
            </c:numRef>
          </c:val>
          <c:extLst>
            <c:ext xmlns:c16="http://schemas.microsoft.com/office/drawing/2014/chart" uri="{C3380CC4-5D6E-409C-BE32-E72D297353CC}">
              <c16:uniqueId val="{00000001-9B0E-4E31-AB79-C4CFCE1B748B}"/>
            </c:ext>
          </c:extLst>
        </c:ser>
        <c:ser>
          <c:idx val="2"/>
          <c:order val="2"/>
          <c:tx>
            <c:strRef>
              <c:f>'Strategic Plan (2020-2024)'!$A$29</c:f>
              <c:strCache>
                <c:ptCount val="1"/>
                <c:pt idx="0">
                  <c:v>RTF Manager</c:v>
                </c:pt>
              </c:strCache>
            </c:strRef>
          </c:tx>
          <c:spPr>
            <a:solidFill>
              <a:schemeClr val="accent4"/>
            </a:solidFill>
            <a:ln>
              <a:noFill/>
            </a:ln>
            <a:effectLst/>
          </c:spPr>
          <c:invertIfNegative val="0"/>
          <c:cat>
            <c:numRef>
              <c:f>'Strategic Plan (2020-2024)'!$B$26:$F$26</c:f>
              <c:numCache>
                <c:formatCode>General</c:formatCode>
                <c:ptCount val="5"/>
                <c:pt idx="0">
                  <c:v>2020</c:v>
                </c:pt>
                <c:pt idx="1">
                  <c:v>2021</c:v>
                </c:pt>
                <c:pt idx="2">
                  <c:v>2022</c:v>
                </c:pt>
                <c:pt idx="3">
                  <c:v>2023</c:v>
                </c:pt>
                <c:pt idx="4">
                  <c:v>2024</c:v>
                </c:pt>
              </c:numCache>
            </c:numRef>
          </c:cat>
          <c:val>
            <c:numRef>
              <c:f>'Strategic Plan (2020-2024)'!$B$29:$F$29</c:f>
              <c:numCache>
                <c:formatCode>"$"#,##0_);\("$"#,##0\)</c:formatCode>
                <c:ptCount val="5"/>
                <c:pt idx="0">
                  <c:v>174000</c:v>
                </c:pt>
                <c:pt idx="1">
                  <c:v>178400</c:v>
                </c:pt>
                <c:pt idx="2">
                  <c:v>182800</c:v>
                </c:pt>
                <c:pt idx="3">
                  <c:v>187400</c:v>
                </c:pt>
                <c:pt idx="4">
                  <c:v>192100</c:v>
                </c:pt>
              </c:numCache>
            </c:numRef>
          </c:val>
          <c:extLst>
            <c:ext xmlns:c16="http://schemas.microsoft.com/office/drawing/2014/chart" uri="{C3380CC4-5D6E-409C-BE32-E72D297353CC}">
              <c16:uniqueId val="{00000002-9B0E-4E31-AB79-C4CFCE1B748B}"/>
            </c:ext>
          </c:extLst>
        </c:ser>
        <c:ser>
          <c:idx val="4"/>
          <c:order val="3"/>
          <c:tx>
            <c:strRef>
              <c:f>'Strategic Plan (2020-2024)'!$A$31</c:f>
              <c:strCache>
                <c:ptCount val="1"/>
                <c:pt idx="0">
                  <c:v>Council Staff</c:v>
                </c:pt>
              </c:strCache>
            </c:strRef>
          </c:tx>
          <c:spPr>
            <a:solidFill>
              <a:schemeClr val="accent3"/>
            </a:solidFill>
            <a:ln>
              <a:noFill/>
            </a:ln>
            <a:effectLst/>
          </c:spPr>
          <c:invertIfNegative val="0"/>
          <c:cat>
            <c:numRef>
              <c:f>'Strategic Plan (2020-2024)'!$B$26:$F$26</c:f>
              <c:numCache>
                <c:formatCode>General</c:formatCode>
                <c:ptCount val="5"/>
                <c:pt idx="0">
                  <c:v>2020</c:v>
                </c:pt>
                <c:pt idx="1">
                  <c:v>2021</c:v>
                </c:pt>
                <c:pt idx="2">
                  <c:v>2022</c:v>
                </c:pt>
                <c:pt idx="3">
                  <c:v>2023</c:v>
                </c:pt>
                <c:pt idx="4">
                  <c:v>2024</c:v>
                </c:pt>
              </c:numCache>
            </c:numRef>
          </c:cat>
          <c:val>
            <c:numRef>
              <c:f>'Strategic Plan (2020-2024)'!$B$31:$F$31</c:f>
              <c:numCache>
                <c:formatCode>"$"#,##0_);\("$"#,##0\)</c:formatCode>
                <c:ptCount val="5"/>
                <c:pt idx="0">
                  <c:v>180595</c:v>
                </c:pt>
                <c:pt idx="1">
                  <c:v>190300</c:v>
                </c:pt>
                <c:pt idx="2">
                  <c:v>195000</c:v>
                </c:pt>
                <c:pt idx="3">
                  <c:v>199900</c:v>
                </c:pt>
                <c:pt idx="4">
                  <c:v>204900</c:v>
                </c:pt>
              </c:numCache>
            </c:numRef>
          </c:val>
          <c:extLst>
            <c:ext xmlns:c16="http://schemas.microsoft.com/office/drawing/2014/chart" uri="{C3380CC4-5D6E-409C-BE32-E72D297353CC}">
              <c16:uniqueId val="{00000004-9B0E-4E31-AB79-C4CFCE1B748B}"/>
            </c:ext>
          </c:extLst>
        </c:ser>
        <c:dLbls>
          <c:showLegendKey val="0"/>
          <c:showVal val="0"/>
          <c:showCatName val="0"/>
          <c:showSerName val="0"/>
          <c:showPercent val="0"/>
          <c:showBubbleSize val="0"/>
        </c:dLbls>
        <c:gapWidth val="75"/>
        <c:overlap val="100"/>
        <c:axId val="645696192"/>
        <c:axId val="645696520"/>
      </c:barChart>
      <c:catAx>
        <c:axId val="64569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5696520"/>
        <c:crosses val="autoZero"/>
        <c:auto val="1"/>
        <c:lblAlgn val="ctr"/>
        <c:lblOffset val="100"/>
        <c:noMultiLvlLbl val="0"/>
      </c:catAx>
      <c:valAx>
        <c:axId val="6456965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569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Annual</a:t>
            </a:r>
            <a:r>
              <a:rPr lang="en-US" baseline="0"/>
              <a:t> Funding, excluding Council Contribution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'Strategic Plan (2020-2024)'!$A$27</c:f>
              <c:strCache>
                <c:ptCount val="1"/>
                <c:pt idx="0">
                  <c:v>Contract RFP</c:v>
                </c:pt>
              </c:strCache>
            </c:strRef>
          </c:tx>
          <c:spPr>
            <a:solidFill>
              <a:schemeClr val="accent1"/>
            </a:solidFill>
            <a:ln>
              <a:noFill/>
            </a:ln>
            <a:effectLst/>
          </c:spPr>
          <c:invertIfNegative val="0"/>
          <c:cat>
            <c:numRef>
              <c:f>'Strategic Plan (2020-2024)'!$B$26:$F$26</c:f>
              <c:numCache>
                <c:formatCode>General</c:formatCode>
                <c:ptCount val="5"/>
                <c:pt idx="0">
                  <c:v>2020</c:v>
                </c:pt>
                <c:pt idx="1">
                  <c:v>2021</c:v>
                </c:pt>
                <c:pt idx="2">
                  <c:v>2022</c:v>
                </c:pt>
                <c:pt idx="3">
                  <c:v>2023</c:v>
                </c:pt>
                <c:pt idx="4">
                  <c:v>2024</c:v>
                </c:pt>
              </c:numCache>
            </c:numRef>
          </c:cat>
          <c:val>
            <c:numRef>
              <c:f>'Strategic Plan (2020-2024)'!$B$27:$F$27</c:f>
              <c:numCache>
                <c:formatCode>"$"#,##0_);\("$"#,##0\)</c:formatCode>
                <c:ptCount val="5"/>
                <c:pt idx="0">
                  <c:v>433000</c:v>
                </c:pt>
                <c:pt idx="1">
                  <c:v>431400</c:v>
                </c:pt>
                <c:pt idx="2">
                  <c:v>412900</c:v>
                </c:pt>
                <c:pt idx="3">
                  <c:v>440400</c:v>
                </c:pt>
                <c:pt idx="4">
                  <c:v>436000</c:v>
                </c:pt>
              </c:numCache>
            </c:numRef>
          </c:val>
          <c:extLst>
            <c:ext xmlns:c16="http://schemas.microsoft.com/office/drawing/2014/chart" uri="{C3380CC4-5D6E-409C-BE32-E72D297353CC}">
              <c16:uniqueId val="{00000000-34DC-4615-8CEC-EB1FBDC0213C}"/>
            </c:ext>
          </c:extLst>
        </c:ser>
        <c:ser>
          <c:idx val="1"/>
          <c:order val="1"/>
          <c:tx>
            <c:strRef>
              <c:f>'Strategic Plan (2020-2024)'!$A$28</c:f>
              <c:strCache>
                <c:ptCount val="1"/>
                <c:pt idx="0">
                  <c:v>Contract Analyst Team</c:v>
                </c:pt>
              </c:strCache>
            </c:strRef>
          </c:tx>
          <c:spPr>
            <a:solidFill>
              <a:schemeClr val="accent6"/>
            </a:solidFill>
            <a:ln>
              <a:noFill/>
            </a:ln>
            <a:effectLst/>
          </c:spPr>
          <c:invertIfNegative val="0"/>
          <c:cat>
            <c:numRef>
              <c:f>'Strategic Plan (2020-2024)'!$B$26:$F$26</c:f>
              <c:numCache>
                <c:formatCode>General</c:formatCode>
                <c:ptCount val="5"/>
                <c:pt idx="0">
                  <c:v>2020</c:v>
                </c:pt>
                <c:pt idx="1">
                  <c:v>2021</c:v>
                </c:pt>
                <c:pt idx="2">
                  <c:v>2022</c:v>
                </c:pt>
                <c:pt idx="3">
                  <c:v>2023</c:v>
                </c:pt>
                <c:pt idx="4">
                  <c:v>2024</c:v>
                </c:pt>
              </c:numCache>
            </c:numRef>
          </c:cat>
          <c:val>
            <c:numRef>
              <c:f>'Strategic Plan (2020-2024)'!$B$28:$F$28</c:f>
              <c:numCache>
                <c:formatCode>"$"#,##0_);\("$"#,##0\)</c:formatCode>
                <c:ptCount val="5"/>
                <c:pt idx="0">
                  <c:v>1193000</c:v>
                </c:pt>
                <c:pt idx="1">
                  <c:v>1235200</c:v>
                </c:pt>
                <c:pt idx="2">
                  <c:v>1295400</c:v>
                </c:pt>
                <c:pt idx="3">
                  <c:v>1310600</c:v>
                </c:pt>
                <c:pt idx="4">
                  <c:v>1358700</c:v>
                </c:pt>
              </c:numCache>
            </c:numRef>
          </c:val>
          <c:extLst>
            <c:ext xmlns:c16="http://schemas.microsoft.com/office/drawing/2014/chart" uri="{C3380CC4-5D6E-409C-BE32-E72D297353CC}">
              <c16:uniqueId val="{00000001-34DC-4615-8CEC-EB1FBDC0213C}"/>
            </c:ext>
          </c:extLst>
        </c:ser>
        <c:ser>
          <c:idx val="2"/>
          <c:order val="2"/>
          <c:tx>
            <c:strRef>
              <c:f>'Strategic Plan (2020-2024)'!$A$29</c:f>
              <c:strCache>
                <c:ptCount val="1"/>
                <c:pt idx="0">
                  <c:v>RTF Manager</c:v>
                </c:pt>
              </c:strCache>
            </c:strRef>
          </c:tx>
          <c:spPr>
            <a:solidFill>
              <a:schemeClr val="accent4"/>
            </a:solidFill>
            <a:ln>
              <a:noFill/>
            </a:ln>
            <a:effectLst/>
          </c:spPr>
          <c:invertIfNegative val="0"/>
          <c:cat>
            <c:numRef>
              <c:f>'Strategic Plan (2020-2024)'!$B$26:$F$26</c:f>
              <c:numCache>
                <c:formatCode>General</c:formatCode>
                <c:ptCount val="5"/>
                <c:pt idx="0">
                  <c:v>2020</c:v>
                </c:pt>
                <c:pt idx="1">
                  <c:v>2021</c:v>
                </c:pt>
                <c:pt idx="2">
                  <c:v>2022</c:v>
                </c:pt>
                <c:pt idx="3">
                  <c:v>2023</c:v>
                </c:pt>
                <c:pt idx="4">
                  <c:v>2024</c:v>
                </c:pt>
              </c:numCache>
            </c:numRef>
          </c:cat>
          <c:val>
            <c:numRef>
              <c:f>'Strategic Plan (2020-2024)'!$B$29:$F$29</c:f>
              <c:numCache>
                <c:formatCode>"$"#,##0_);\("$"#,##0\)</c:formatCode>
                <c:ptCount val="5"/>
                <c:pt idx="0">
                  <c:v>174000</c:v>
                </c:pt>
                <c:pt idx="1">
                  <c:v>178400</c:v>
                </c:pt>
                <c:pt idx="2">
                  <c:v>182800</c:v>
                </c:pt>
                <c:pt idx="3">
                  <c:v>187400</c:v>
                </c:pt>
                <c:pt idx="4">
                  <c:v>192100</c:v>
                </c:pt>
              </c:numCache>
            </c:numRef>
          </c:val>
          <c:extLst>
            <c:ext xmlns:c16="http://schemas.microsoft.com/office/drawing/2014/chart" uri="{C3380CC4-5D6E-409C-BE32-E72D297353CC}">
              <c16:uniqueId val="{00000002-34DC-4615-8CEC-EB1FBDC0213C}"/>
            </c:ext>
          </c:extLst>
        </c:ser>
        <c:dLbls>
          <c:showLegendKey val="0"/>
          <c:showVal val="0"/>
          <c:showCatName val="0"/>
          <c:showSerName val="0"/>
          <c:showPercent val="0"/>
          <c:showBubbleSize val="0"/>
        </c:dLbls>
        <c:gapWidth val="75"/>
        <c:overlap val="100"/>
        <c:axId val="645696192"/>
        <c:axId val="645696520"/>
      </c:barChart>
      <c:catAx>
        <c:axId val="64569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5696520"/>
        <c:crosses val="autoZero"/>
        <c:auto val="1"/>
        <c:lblAlgn val="ctr"/>
        <c:lblOffset val="100"/>
        <c:noMultiLvlLbl val="0"/>
      </c:catAx>
      <c:valAx>
        <c:axId val="645696520"/>
        <c:scaling>
          <c:orientation val="minMax"/>
          <c:max val="2000000"/>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569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Electric vs Gas Funding</a:t>
            </a:r>
            <a:r>
              <a:rPr lang="en-US" baseline="0"/>
              <a:t> Split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0"/>
          <c:order val="0"/>
          <c:tx>
            <c:strRef>
              <c:f>'Strategic Plan (2020-2024)'!$A$55</c:f>
              <c:strCache>
                <c:ptCount val="1"/>
                <c:pt idx="0">
                  <c:v>Electric</c:v>
                </c:pt>
              </c:strCache>
            </c:strRef>
          </c:tx>
          <c:spPr>
            <a:solidFill>
              <a:schemeClr val="accent4"/>
            </a:solidFill>
            <a:ln>
              <a:noFill/>
            </a:ln>
            <a:effectLst/>
          </c:spPr>
          <c:invertIfNegative val="0"/>
          <c:cat>
            <c:numRef>
              <c:f>'Strategic Plan (2020-2024)'!$B$54:$F$54</c:f>
              <c:numCache>
                <c:formatCode>General</c:formatCode>
                <c:ptCount val="5"/>
                <c:pt idx="0">
                  <c:v>2020</c:v>
                </c:pt>
                <c:pt idx="1">
                  <c:v>2021</c:v>
                </c:pt>
                <c:pt idx="2">
                  <c:v>2022</c:v>
                </c:pt>
                <c:pt idx="3">
                  <c:v>2023</c:v>
                </c:pt>
                <c:pt idx="4">
                  <c:v>2024</c:v>
                </c:pt>
              </c:numCache>
            </c:numRef>
          </c:cat>
          <c:val>
            <c:numRef>
              <c:f>'Strategic Plan (2020-2024)'!$B$55:$F$55</c:f>
              <c:numCache>
                <c:formatCode>"$"#,##0_);\("$"#,##0\)</c:formatCode>
                <c:ptCount val="5"/>
                <c:pt idx="0">
                  <c:v>1476000</c:v>
                </c:pt>
                <c:pt idx="1">
                  <c:v>1512900</c:v>
                </c:pt>
                <c:pt idx="2">
                  <c:v>1550700</c:v>
                </c:pt>
                <c:pt idx="3">
                  <c:v>1589500</c:v>
                </c:pt>
                <c:pt idx="4">
                  <c:v>1629200</c:v>
                </c:pt>
              </c:numCache>
            </c:numRef>
          </c:val>
          <c:extLst>
            <c:ext xmlns:c16="http://schemas.microsoft.com/office/drawing/2014/chart" uri="{C3380CC4-5D6E-409C-BE32-E72D297353CC}">
              <c16:uniqueId val="{00000000-D095-400D-8EB8-A35B18FF83C9}"/>
            </c:ext>
          </c:extLst>
        </c:ser>
        <c:ser>
          <c:idx val="1"/>
          <c:order val="1"/>
          <c:tx>
            <c:strRef>
              <c:f>'Strategic Plan (2020-2024)'!$A$56</c:f>
              <c:strCache>
                <c:ptCount val="1"/>
                <c:pt idx="0">
                  <c:v>Gas</c:v>
                </c:pt>
              </c:strCache>
            </c:strRef>
          </c:tx>
          <c:spPr>
            <a:solidFill>
              <a:schemeClr val="accent5"/>
            </a:solidFill>
            <a:ln>
              <a:noFill/>
            </a:ln>
            <a:effectLst/>
          </c:spPr>
          <c:invertIfNegative val="0"/>
          <c:cat>
            <c:numRef>
              <c:f>'Strategic Plan (2020-2024)'!$B$54:$F$54</c:f>
              <c:numCache>
                <c:formatCode>General</c:formatCode>
                <c:ptCount val="5"/>
                <c:pt idx="0">
                  <c:v>2020</c:v>
                </c:pt>
                <c:pt idx="1">
                  <c:v>2021</c:v>
                </c:pt>
                <c:pt idx="2">
                  <c:v>2022</c:v>
                </c:pt>
                <c:pt idx="3">
                  <c:v>2023</c:v>
                </c:pt>
                <c:pt idx="4">
                  <c:v>2024</c:v>
                </c:pt>
              </c:numCache>
            </c:numRef>
          </c:cat>
          <c:val>
            <c:numRef>
              <c:f>'Strategic Plan (2020-2024)'!$B$56:$F$56</c:f>
              <c:numCache>
                <c:formatCode>"$"#,##0_);\("$"#,##0\)</c:formatCode>
                <c:ptCount val="5"/>
                <c:pt idx="0">
                  <c:v>324000</c:v>
                </c:pt>
                <c:pt idx="1">
                  <c:v>332100</c:v>
                </c:pt>
                <c:pt idx="2">
                  <c:v>340400</c:v>
                </c:pt>
                <c:pt idx="3">
                  <c:v>348900</c:v>
                </c:pt>
                <c:pt idx="4">
                  <c:v>357600</c:v>
                </c:pt>
              </c:numCache>
            </c:numRef>
          </c:val>
          <c:extLst>
            <c:ext xmlns:c16="http://schemas.microsoft.com/office/drawing/2014/chart" uri="{C3380CC4-5D6E-409C-BE32-E72D297353CC}">
              <c16:uniqueId val="{00000001-D095-400D-8EB8-A35B18FF83C9}"/>
            </c:ext>
          </c:extLst>
        </c:ser>
        <c:dLbls>
          <c:showLegendKey val="0"/>
          <c:showVal val="0"/>
          <c:showCatName val="0"/>
          <c:showSerName val="0"/>
          <c:showPercent val="0"/>
          <c:showBubbleSize val="0"/>
        </c:dLbls>
        <c:gapWidth val="75"/>
        <c:overlap val="100"/>
        <c:axId val="725579864"/>
        <c:axId val="725578880"/>
      </c:barChart>
      <c:catAx>
        <c:axId val="725579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5578880"/>
        <c:crosses val="autoZero"/>
        <c:auto val="1"/>
        <c:lblAlgn val="ctr"/>
        <c:lblOffset val="100"/>
        <c:noMultiLvlLbl val="0"/>
      </c:catAx>
      <c:valAx>
        <c:axId val="725578880"/>
        <c:scaling>
          <c:orientation val="minMax"/>
          <c:max val="2000000"/>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5579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Annual Funding, by Category (excluding Council Contribution)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4"/>
          <c:order val="0"/>
          <c:tx>
            <c:strRef>
              <c:f>'Strategic Plan (2020-2024)'!$A$39</c:f>
              <c:strCache>
                <c:ptCount val="1"/>
                <c:pt idx="0">
                  <c:v>RTF Management</c:v>
                </c:pt>
              </c:strCache>
            </c:strRef>
          </c:tx>
          <c:spPr>
            <a:solidFill>
              <a:schemeClr val="accent5"/>
            </a:solidFill>
            <a:ln>
              <a:noFill/>
            </a:ln>
            <a:effectLst/>
          </c:spPr>
          <c:invertIfNegative val="0"/>
          <c:cat>
            <c:numRef>
              <c:f>'Strategic Plan (2020-2024)'!$B$35:$F$35</c:f>
              <c:numCache>
                <c:formatCode>General</c:formatCode>
                <c:ptCount val="5"/>
                <c:pt idx="0">
                  <c:v>2020</c:v>
                </c:pt>
                <c:pt idx="1">
                  <c:v>2021</c:v>
                </c:pt>
                <c:pt idx="2">
                  <c:v>2022</c:v>
                </c:pt>
                <c:pt idx="3">
                  <c:v>2023</c:v>
                </c:pt>
                <c:pt idx="4">
                  <c:v>2024</c:v>
                </c:pt>
              </c:numCache>
            </c:numRef>
          </c:cat>
          <c:val>
            <c:numRef>
              <c:f>'Strategic Plan (2020-2024)'!$B$39:$F$39</c:f>
              <c:numCache>
                <c:formatCode>"$"#,##0_);\("$"#,##0\)</c:formatCode>
                <c:ptCount val="5"/>
                <c:pt idx="0">
                  <c:v>504000</c:v>
                </c:pt>
                <c:pt idx="1">
                  <c:v>516700</c:v>
                </c:pt>
                <c:pt idx="2">
                  <c:v>529500</c:v>
                </c:pt>
                <c:pt idx="3">
                  <c:v>542700</c:v>
                </c:pt>
                <c:pt idx="4">
                  <c:v>556300</c:v>
                </c:pt>
              </c:numCache>
            </c:numRef>
          </c:val>
          <c:extLst>
            <c:ext xmlns:c16="http://schemas.microsoft.com/office/drawing/2014/chart" uri="{C3380CC4-5D6E-409C-BE32-E72D297353CC}">
              <c16:uniqueId val="{00000004-4C71-44E1-B7AE-4F0CC68D77C4}"/>
            </c:ext>
          </c:extLst>
        </c:ser>
        <c:ser>
          <c:idx val="3"/>
          <c:order val="1"/>
          <c:tx>
            <c:strRef>
              <c:f>'Strategic Plan (2020-2024)'!$A$38</c:f>
              <c:strCache>
                <c:ptCount val="1"/>
                <c:pt idx="0">
                  <c:v>Demand Response</c:v>
                </c:pt>
              </c:strCache>
            </c:strRef>
          </c:tx>
          <c:spPr>
            <a:solidFill>
              <a:schemeClr val="accent4"/>
            </a:solidFill>
            <a:ln>
              <a:noFill/>
            </a:ln>
            <a:effectLst/>
          </c:spPr>
          <c:invertIfNegative val="0"/>
          <c:cat>
            <c:numRef>
              <c:f>'Strategic Plan (2020-2024)'!$B$35:$F$35</c:f>
              <c:numCache>
                <c:formatCode>General</c:formatCode>
                <c:ptCount val="5"/>
                <c:pt idx="0">
                  <c:v>2020</c:v>
                </c:pt>
                <c:pt idx="1">
                  <c:v>2021</c:v>
                </c:pt>
                <c:pt idx="2">
                  <c:v>2022</c:v>
                </c:pt>
                <c:pt idx="3">
                  <c:v>2023</c:v>
                </c:pt>
                <c:pt idx="4">
                  <c:v>2024</c:v>
                </c:pt>
              </c:numCache>
            </c:numRef>
          </c:cat>
          <c:val>
            <c:numRef>
              <c:f>'Strategic Plan (2020-2024)'!$B$38:$F$38</c:f>
              <c:numCache>
                <c:formatCode>"$"#,##0_);\("$"#,##0\)</c:formatCode>
                <c:ptCount val="5"/>
                <c:pt idx="0">
                  <c:v>50000</c:v>
                </c:pt>
                <c:pt idx="1">
                  <c:v>51200</c:v>
                </c:pt>
                <c:pt idx="2">
                  <c:v>52500</c:v>
                </c:pt>
                <c:pt idx="3">
                  <c:v>53800</c:v>
                </c:pt>
                <c:pt idx="4">
                  <c:v>55200</c:v>
                </c:pt>
              </c:numCache>
            </c:numRef>
          </c:val>
          <c:extLst>
            <c:ext xmlns:c16="http://schemas.microsoft.com/office/drawing/2014/chart" uri="{C3380CC4-5D6E-409C-BE32-E72D297353CC}">
              <c16:uniqueId val="{00000003-4C71-44E1-B7AE-4F0CC68D77C4}"/>
            </c:ext>
          </c:extLst>
        </c:ser>
        <c:ser>
          <c:idx val="2"/>
          <c:order val="2"/>
          <c:tx>
            <c:strRef>
              <c:f>'Strategic Plan (2020-2024)'!$A$37</c:f>
              <c:strCache>
                <c:ptCount val="1"/>
                <c:pt idx="0">
                  <c:v>Tools and Regional Coordination</c:v>
                </c:pt>
              </c:strCache>
            </c:strRef>
          </c:tx>
          <c:spPr>
            <a:solidFill>
              <a:schemeClr val="accent6"/>
            </a:solidFill>
            <a:ln>
              <a:noFill/>
            </a:ln>
            <a:effectLst/>
          </c:spPr>
          <c:invertIfNegative val="0"/>
          <c:cat>
            <c:numRef>
              <c:f>'Strategic Plan (2020-2024)'!$B$35:$F$35</c:f>
              <c:numCache>
                <c:formatCode>General</c:formatCode>
                <c:ptCount val="5"/>
                <c:pt idx="0">
                  <c:v>2020</c:v>
                </c:pt>
                <c:pt idx="1">
                  <c:v>2021</c:v>
                </c:pt>
                <c:pt idx="2">
                  <c:v>2022</c:v>
                </c:pt>
                <c:pt idx="3">
                  <c:v>2023</c:v>
                </c:pt>
                <c:pt idx="4">
                  <c:v>2024</c:v>
                </c:pt>
              </c:numCache>
            </c:numRef>
          </c:cat>
          <c:val>
            <c:numRef>
              <c:f>'Strategic Plan (2020-2024)'!$B$37:$F$37</c:f>
              <c:numCache>
                <c:formatCode>"$"#,##0_);\("$"#,##0\)</c:formatCode>
                <c:ptCount val="5"/>
                <c:pt idx="0">
                  <c:v>275000</c:v>
                </c:pt>
                <c:pt idx="1">
                  <c:v>360800</c:v>
                </c:pt>
                <c:pt idx="2">
                  <c:v>425600</c:v>
                </c:pt>
                <c:pt idx="3">
                  <c:v>413500</c:v>
                </c:pt>
                <c:pt idx="4">
                  <c:v>345400</c:v>
                </c:pt>
              </c:numCache>
            </c:numRef>
          </c:val>
          <c:extLst>
            <c:ext xmlns:c16="http://schemas.microsoft.com/office/drawing/2014/chart" uri="{C3380CC4-5D6E-409C-BE32-E72D297353CC}">
              <c16:uniqueId val="{00000002-4C71-44E1-B7AE-4F0CC68D77C4}"/>
            </c:ext>
          </c:extLst>
        </c:ser>
        <c:ser>
          <c:idx val="1"/>
          <c:order val="3"/>
          <c:tx>
            <c:strRef>
              <c:f>'Strategic Plan (2020-2024)'!$A$36</c:f>
              <c:strCache>
                <c:ptCount val="1"/>
                <c:pt idx="0">
                  <c:v>Measure Analysis</c:v>
                </c:pt>
              </c:strCache>
            </c:strRef>
          </c:tx>
          <c:spPr>
            <a:solidFill>
              <a:schemeClr val="accent2"/>
            </a:solidFill>
            <a:ln>
              <a:noFill/>
            </a:ln>
            <a:effectLst/>
          </c:spPr>
          <c:invertIfNegative val="0"/>
          <c:cat>
            <c:numRef>
              <c:f>'Strategic Plan (2020-2024)'!$B$35:$F$35</c:f>
              <c:numCache>
                <c:formatCode>General</c:formatCode>
                <c:ptCount val="5"/>
                <c:pt idx="0">
                  <c:v>2020</c:v>
                </c:pt>
                <c:pt idx="1">
                  <c:v>2021</c:v>
                </c:pt>
                <c:pt idx="2">
                  <c:v>2022</c:v>
                </c:pt>
                <c:pt idx="3">
                  <c:v>2023</c:v>
                </c:pt>
                <c:pt idx="4">
                  <c:v>2024</c:v>
                </c:pt>
              </c:numCache>
            </c:numRef>
          </c:cat>
          <c:val>
            <c:numRef>
              <c:f>'Strategic Plan (2020-2024)'!$B$36:$F$36</c:f>
              <c:numCache>
                <c:formatCode>"$"#,##0_);\("$"#,##0\)</c:formatCode>
                <c:ptCount val="5"/>
                <c:pt idx="0">
                  <c:v>971000</c:v>
                </c:pt>
                <c:pt idx="1">
                  <c:v>916300</c:v>
                </c:pt>
                <c:pt idx="2">
                  <c:v>883500</c:v>
                </c:pt>
                <c:pt idx="3">
                  <c:v>928400</c:v>
                </c:pt>
                <c:pt idx="4">
                  <c:v>1029900</c:v>
                </c:pt>
              </c:numCache>
            </c:numRef>
          </c:val>
          <c:extLst>
            <c:ext xmlns:c16="http://schemas.microsoft.com/office/drawing/2014/chart" uri="{C3380CC4-5D6E-409C-BE32-E72D297353CC}">
              <c16:uniqueId val="{00000001-4C71-44E1-B7AE-4F0CC68D77C4}"/>
            </c:ext>
          </c:extLst>
        </c:ser>
        <c:dLbls>
          <c:showLegendKey val="0"/>
          <c:showVal val="0"/>
          <c:showCatName val="0"/>
          <c:showSerName val="0"/>
          <c:showPercent val="0"/>
          <c:showBubbleSize val="0"/>
        </c:dLbls>
        <c:gapWidth val="75"/>
        <c:overlap val="100"/>
        <c:axId val="745228632"/>
        <c:axId val="745228960"/>
      </c:barChart>
      <c:catAx>
        <c:axId val="745228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5228960"/>
        <c:crosses val="autoZero"/>
        <c:auto val="1"/>
        <c:lblAlgn val="ctr"/>
        <c:lblOffset val="100"/>
        <c:noMultiLvlLbl val="0"/>
      </c:catAx>
      <c:valAx>
        <c:axId val="745228960"/>
        <c:scaling>
          <c:orientation val="minMax"/>
          <c:max val="2000000"/>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5228632"/>
        <c:crosses val="autoZero"/>
        <c:crossBetween val="between"/>
      </c:valAx>
      <c:spPr>
        <a:noFill/>
        <a:ln>
          <a:noFill/>
        </a:ln>
        <a:effectLst/>
      </c:spPr>
    </c:plotArea>
    <c:legend>
      <c:legendPos val="r"/>
      <c:layout>
        <c:manualLayout>
          <c:xMode val="edge"/>
          <c:yMode val="edge"/>
          <c:x val="0.70318003243225191"/>
          <c:y val="0.48508965505525403"/>
          <c:w val="0.27771168731297124"/>
          <c:h val="0.2804787265669461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RTF Budgets - Contract Analyst Team Allocation</a:t>
            </a:r>
          </a:p>
        </c:rich>
      </c:tx>
      <c:overlay val="1"/>
    </c:title>
    <c:autoTitleDeleted val="0"/>
    <c:plotArea>
      <c:layout/>
      <c:barChart>
        <c:barDir val="col"/>
        <c:grouping val="stacked"/>
        <c:varyColors val="0"/>
        <c:ser>
          <c:idx val="8"/>
          <c:order val="0"/>
          <c:tx>
            <c:strRef>
              <c:f>'[1]Category (2020)'!$B$14</c:f>
              <c:strCache>
                <c:ptCount val="1"/>
                <c:pt idx="0">
                  <c:v>RTF Management</c:v>
                </c:pt>
              </c:strCache>
            </c:strRef>
          </c:tx>
          <c:invertIfNegative val="0"/>
          <c:cat>
            <c:strLit>
              <c:ptCount val="2"/>
              <c:pt idx="0">
                <c:v>2018</c:v>
              </c:pt>
              <c:pt idx="1">
                <c:v>2019</c:v>
              </c:pt>
            </c:strLit>
          </c:cat>
          <c:val>
            <c:numRef>
              <c:f>('[1]Category (2020)'!$L$14,'[1]Category (2020)'!$E$14)</c:f>
              <c:numCache>
                <c:formatCode>General</c:formatCode>
                <c:ptCount val="2"/>
                <c:pt idx="0">
                  <c:v>157000</c:v>
                </c:pt>
                <c:pt idx="1">
                  <c:v>174000</c:v>
                </c:pt>
              </c:numCache>
            </c:numRef>
          </c:val>
          <c:extLst>
            <c:ext xmlns:c16="http://schemas.microsoft.com/office/drawing/2014/chart" uri="{C3380CC4-5D6E-409C-BE32-E72D297353CC}">
              <c16:uniqueId val="{00000000-DB57-4A1C-9558-5268AEC59944}"/>
            </c:ext>
          </c:extLst>
        </c:ser>
        <c:ser>
          <c:idx val="7"/>
          <c:order val="1"/>
          <c:tx>
            <c:v>Member Support &amp; Admin</c:v>
          </c:tx>
          <c:invertIfNegative val="0"/>
          <c:cat>
            <c:strLit>
              <c:ptCount val="2"/>
              <c:pt idx="0">
                <c:v>2018</c:v>
              </c:pt>
              <c:pt idx="1">
                <c:v>2019</c:v>
              </c:pt>
            </c:strLit>
          </c:cat>
          <c:val>
            <c:numRef>
              <c:f>('[1]Category (2020)'!$K$13,'[1]Category (2020)'!$D$13)</c:f>
              <c:numCache>
                <c:formatCode>General</c:formatCode>
                <c:ptCount val="2"/>
                <c:pt idx="0">
                  <c:v>90000</c:v>
                </c:pt>
                <c:pt idx="1">
                  <c:v>113000</c:v>
                </c:pt>
              </c:numCache>
            </c:numRef>
          </c:val>
          <c:extLst>
            <c:ext xmlns:c16="http://schemas.microsoft.com/office/drawing/2014/chart" uri="{C3380CC4-5D6E-409C-BE32-E72D297353CC}">
              <c16:uniqueId val="{00000001-DB57-4A1C-9558-5268AEC59944}"/>
            </c:ext>
          </c:extLst>
        </c:ser>
        <c:ser>
          <c:idx val="6"/>
          <c:order val="2"/>
          <c:tx>
            <c:v>Webiste, Database &amp; RCP Support</c:v>
          </c:tx>
          <c:invertIfNegative val="0"/>
          <c:cat>
            <c:strLit>
              <c:ptCount val="2"/>
              <c:pt idx="0">
                <c:v>2018</c:v>
              </c:pt>
              <c:pt idx="1">
                <c:v>2019</c:v>
              </c:pt>
            </c:strLit>
          </c:cat>
          <c:val>
            <c:numRef>
              <c:f>('[1]Category (2020)'!$K$12,'[1]Category (2020)'!$D$12)</c:f>
              <c:numCache>
                <c:formatCode>General</c:formatCode>
                <c:ptCount val="2"/>
                <c:pt idx="0">
                  <c:v>5000</c:v>
                </c:pt>
                <c:pt idx="1">
                  <c:v>0</c:v>
                </c:pt>
              </c:numCache>
            </c:numRef>
          </c:val>
          <c:extLst>
            <c:ext xmlns:c16="http://schemas.microsoft.com/office/drawing/2014/chart" uri="{C3380CC4-5D6E-409C-BE32-E72D297353CC}">
              <c16:uniqueId val="{00000002-DB57-4A1C-9558-5268AEC59944}"/>
            </c:ext>
          </c:extLst>
        </c:ser>
        <c:ser>
          <c:idx val="5"/>
          <c:order val="3"/>
          <c:tx>
            <c:v>Regional Coordination</c:v>
          </c:tx>
          <c:invertIfNegative val="0"/>
          <c:cat>
            <c:strLit>
              <c:ptCount val="2"/>
              <c:pt idx="0">
                <c:v>2018</c:v>
              </c:pt>
              <c:pt idx="1">
                <c:v>2019</c:v>
              </c:pt>
            </c:strLit>
          </c:cat>
          <c:val>
            <c:numRef>
              <c:f>('[1]Category (2020)'!$K$11,'[1]Category (2020)'!$D$11)</c:f>
              <c:numCache>
                <c:formatCode>General</c:formatCode>
                <c:ptCount val="2"/>
                <c:pt idx="0">
                  <c:v>93000</c:v>
                </c:pt>
                <c:pt idx="1">
                  <c:v>10000</c:v>
                </c:pt>
              </c:numCache>
            </c:numRef>
          </c:val>
          <c:extLst>
            <c:ext xmlns:c16="http://schemas.microsoft.com/office/drawing/2014/chart" uri="{C3380CC4-5D6E-409C-BE32-E72D297353CC}">
              <c16:uniqueId val="{00000003-DB57-4A1C-9558-5268AEC59944}"/>
            </c:ext>
          </c:extLst>
        </c:ser>
        <c:ser>
          <c:idx val="4"/>
          <c:order val="4"/>
          <c:tx>
            <c:strRef>
              <c:f>'[1]Category (2020)'!$B$10</c:f>
              <c:strCache>
                <c:ptCount val="1"/>
                <c:pt idx="0">
                  <c:v>Regional Coordination</c:v>
                </c:pt>
              </c:strCache>
            </c:strRef>
          </c:tx>
          <c:invertIfNegative val="0"/>
          <c:cat>
            <c:strLit>
              <c:ptCount val="2"/>
              <c:pt idx="0">
                <c:v>2018</c:v>
              </c:pt>
              <c:pt idx="1">
                <c:v>2019</c:v>
              </c:pt>
            </c:strLit>
          </c:cat>
          <c:val>
            <c:numRef>
              <c:f>('[1]Category (2020)'!$M$10,'[1]Category (2020)'!$F$10)</c:f>
              <c:numCache>
                <c:formatCode>General</c:formatCode>
                <c:ptCount val="2"/>
                <c:pt idx="0">
                  <c:v>130000</c:v>
                </c:pt>
                <c:pt idx="1">
                  <c:v>155000</c:v>
                </c:pt>
              </c:numCache>
            </c:numRef>
          </c:val>
          <c:extLst>
            <c:ext xmlns:c16="http://schemas.microsoft.com/office/drawing/2014/chart" uri="{C3380CC4-5D6E-409C-BE32-E72D297353CC}">
              <c16:uniqueId val="{00000004-DB57-4A1C-9558-5268AEC59944}"/>
            </c:ext>
          </c:extLst>
        </c:ser>
        <c:ser>
          <c:idx val="3"/>
          <c:order val="5"/>
          <c:tx>
            <c:strRef>
              <c:f>'[1]Category (2020)'!$B$9</c:f>
              <c:strCache>
                <c:ptCount val="1"/>
                <c:pt idx="0">
                  <c:v>Tool Development</c:v>
                </c:pt>
              </c:strCache>
            </c:strRef>
          </c:tx>
          <c:invertIfNegative val="0"/>
          <c:cat>
            <c:strLit>
              <c:ptCount val="2"/>
              <c:pt idx="0">
                <c:v>2018</c:v>
              </c:pt>
              <c:pt idx="1">
                <c:v>2019</c:v>
              </c:pt>
            </c:strLit>
          </c:cat>
          <c:val>
            <c:numRef>
              <c:f>('[1]Category (2020)'!$K$9,'[1]Category (2020)'!$D$9)</c:f>
              <c:numCache>
                <c:formatCode>General</c:formatCode>
                <c:ptCount val="2"/>
                <c:pt idx="0">
                  <c:v>151400</c:v>
                </c:pt>
                <c:pt idx="1">
                  <c:v>120000</c:v>
                </c:pt>
              </c:numCache>
            </c:numRef>
          </c:val>
          <c:extLst>
            <c:ext xmlns:c16="http://schemas.microsoft.com/office/drawing/2014/chart" uri="{C3380CC4-5D6E-409C-BE32-E72D297353CC}">
              <c16:uniqueId val="{00000005-DB57-4A1C-9558-5268AEC59944}"/>
            </c:ext>
          </c:extLst>
        </c:ser>
        <c:ser>
          <c:idx val="2"/>
          <c:order val="6"/>
          <c:tx>
            <c:strRef>
              <c:f>'[1]Category (2020)'!$B$8</c:f>
              <c:strCache>
                <c:ptCount val="1"/>
                <c:pt idx="0">
                  <c:v>Standardization of Technical Analysis</c:v>
                </c:pt>
              </c:strCache>
            </c:strRef>
          </c:tx>
          <c:invertIfNegative val="0"/>
          <c:cat>
            <c:strLit>
              <c:ptCount val="2"/>
              <c:pt idx="0">
                <c:v>2018</c:v>
              </c:pt>
              <c:pt idx="1">
                <c:v>2019</c:v>
              </c:pt>
            </c:strLit>
          </c:cat>
          <c:val>
            <c:numRef>
              <c:f>('[1]Category (2020)'!$K$8,'[1]Category (2020)'!$D$8)</c:f>
              <c:numCache>
                <c:formatCode>General</c:formatCode>
                <c:ptCount val="2"/>
                <c:pt idx="0">
                  <c:v>210000</c:v>
                </c:pt>
                <c:pt idx="1">
                  <c:v>230000</c:v>
                </c:pt>
              </c:numCache>
            </c:numRef>
          </c:val>
          <c:extLst>
            <c:ext xmlns:c16="http://schemas.microsoft.com/office/drawing/2014/chart" uri="{C3380CC4-5D6E-409C-BE32-E72D297353CC}">
              <c16:uniqueId val="{00000006-DB57-4A1C-9558-5268AEC59944}"/>
            </c:ext>
          </c:extLst>
        </c:ser>
        <c:ser>
          <c:idx val="1"/>
          <c:order val="7"/>
          <c:tx>
            <c:v>New Measure Development</c:v>
          </c:tx>
          <c:invertIfNegative val="0"/>
          <c:cat>
            <c:strLit>
              <c:ptCount val="2"/>
              <c:pt idx="0">
                <c:v>2018</c:v>
              </c:pt>
              <c:pt idx="1">
                <c:v>2019</c:v>
              </c:pt>
            </c:strLit>
          </c:cat>
          <c:val>
            <c:numRef>
              <c:f>('[1]Category (2020)'!$K$7,'[1]Category (2020)'!$D$7)</c:f>
              <c:numCache>
                <c:formatCode>General</c:formatCode>
                <c:ptCount val="2"/>
                <c:pt idx="0">
                  <c:v>223000</c:v>
                </c:pt>
                <c:pt idx="1">
                  <c:v>220000</c:v>
                </c:pt>
              </c:numCache>
            </c:numRef>
          </c:val>
          <c:extLst>
            <c:ext xmlns:c16="http://schemas.microsoft.com/office/drawing/2014/chart" uri="{C3380CC4-5D6E-409C-BE32-E72D297353CC}">
              <c16:uniqueId val="{00000007-DB57-4A1C-9558-5268AEC59944}"/>
            </c:ext>
          </c:extLst>
        </c:ser>
        <c:ser>
          <c:idx val="0"/>
          <c:order val="8"/>
          <c:tx>
            <c:strRef>
              <c:f>'[1]Category (2020)'!$B$6</c:f>
              <c:strCache>
                <c:ptCount val="1"/>
                <c:pt idx="0">
                  <c:v>Existing Measure Review &amp; Updates</c:v>
                </c:pt>
              </c:strCache>
            </c:strRef>
          </c:tx>
          <c:invertIfNegative val="0"/>
          <c:cat>
            <c:strLit>
              <c:ptCount val="2"/>
              <c:pt idx="0">
                <c:v>2018</c:v>
              </c:pt>
              <c:pt idx="1">
                <c:v>2019</c:v>
              </c:pt>
            </c:strLit>
          </c:cat>
          <c:val>
            <c:numRef>
              <c:f>('[1]Category (2020)'!$K$6,'[1]Category (2020)'!$D$6)</c:f>
              <c:numCache>
                <c:formatCode>General</c:formatCode>
                <c:ptCount val="2"/>
                <c:pt idx="0">
                  <c:v>292000</c:v>
                </c:pt>
                <c:pt idx="1">
                  <c:v>345000</c:v>
                </c:pt>
              </c:numCache>
            </c:numRef>
          </c:val>
          <c:extLst>
            <c:ext xmlns:c16="http://schemas.microsoft.com/office/drawing/2014/chart" uri="{C3380CC4-5D6E-409C-BE32-E72D297353CC}">
              <c16:uniqueId val="{00000008-DB57-4A1C-9558-5268AEC59944}"/>
            </c:ext>
          </c:extLst>
        </c:ser>
        <c:dLbls>
          <c:showLegendKey val="0"/>
          <c:showVal val="0"/>
          <c:showCatName val="0"/>
          <c:showSerName val="0"/>
          <c:showPercent val="0"/>
          <c:showBubbleSize val="0"/>
        </c:dLbls>
        <c:gapWidth val="150"/>
        <c:overlap val="100"/>
        <c:axId val="475780616"/>
        <c:axId val="475781008"/>
      </c:barChart>
      <c:catAx>
        <c:axId val="475780616"/>
        <c:scaling>
          <c:orientation val="minMax"/>
        </c:scaling>
        <c:delete val="0"/>
        <c:axPos val="b"/>
        <c:numFmt formatCode="General" sourceLinked="1"/>
        <c:majorTickMark val="out"/>
        <c:minorTickMark val="none"/>
        <c:tickLblPos val="nextTo"/>
        <c:txPr>
          <a:bodyPr/>
          <a:lstStyle/>
          <a:p>
            <a:pPr>
              <a:defRPr sz="1800" b="1"/>
            </a:pPr>
            <a:endParaRPr lang="en-US"/>
          </a:p>
        </c:txPr>
        <c:crossAx val="475781008"/>
        <c:crosses val="autoZero"/>
        <c:auto val="1"/>
        <c:lblAlgn val="ctr"/>
        <c:lblOffset val="100"/>
        <c:noMultiLvlLbl val="0"/>
      </c:catAx>
      <c:valAx>
        <c:axId val="475781008"/>
        <c:scaling>
          <c:orientation val="minMax"/>
        </c:scaling>
        <c:delete val="0"/>
        <c:axPos val="l"/>
        <c:numFmt formatCode="General" sourceLinked="1"/>
        <c:majorTickMark val="out"/>
        <c:minorTickMark val="none"/>
        <c:tickLblPos val="nextTo"/>
        <c:txPr>
          <a:bodyPr/>
          <a:lstStyle/>
          <a:p>
            <a:pPr>
              <a:defRPr sz="1200"/>
            </a:pPr>
            <a:endParaRPr lang="en-US"/>
          </a:p>
        </c:txPr>
        <c:crossAx val="475780616"/>
        <c:crosses val="autoZero"/>
        <c:crossBetween val="between"/>
      </c:valAx>
    </c:plotArea>
    <c:legend>
      <c:legendPos val="r"/>
      <c:overlay val="0"/>
      <c:txPr>
        <a:bodyPr/>
        <a:lstStyle/>
        <a:p>
          <a:pPr>
            <a:defRPr sz="1400"/>
          </a:pPr>
          <a:endParaRPr lang="en-US"/>
        </a:p>
      </c:txPr>
    </c:legend>
    <c:plotVisOnly val="1"/>
    <c:dispBlanksAs val="gap"/>
    <c:showDLblsOverMax val="0"/>
  </c:chart>
  <c:printSettings>
    <c:headerFooter/>
    <c:pageMargins b="0.75000000000001332" l="0.70000000000000162" r="0.700000000000001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RTF Budget Allocation</a:t>
            </a:r>
          </a:p>
        </c:rich>
      </c:tx>
      <c:overlay val="1"/>
    </c:title>
    <c:autoTitleDeleted val="0"/>
    <c:plotArea>
      <c:layout/>
      <c:barChart>
        <c:barDir val="col"/>
        <c:grouping val="stacked"/>
        <c:varyColors val="0"/>
        <c:ser>
          <c:idx val="1"/>
          <c:order val="0"/>
          <c:tx>
            <c:strRef>
              <c:f>'[1]Category (2020)'!$O$123</c:f>
              <c:strCache>
                <c:ptCount val="1"/>
              </c:strCache>
            </c:strRef>
          </c:tx>
          <c:invertIfNegative val="0"/>
          <c:cat>
            <c:numRef>
              <c:f>'[1]Category (2020)'!$P$122:$R$122</c:f>
              <c:numCache>
                <c:formatCode>General</c:formatCode>
                <c:ptCount val="3"/>
              </c:numCache>
            </c:numRef>
          </c:cat>
          <c:val>
            <c:numRef>
              <c:f>'[1]Category (2020)'!$P$123:$R$123</c:f>
              <c:numCache>
                <c:formatCode>General</c:formatCode>
                <c:ptCount val="3"/>
              </c:numCache>
            </c:numRef>
          </c:val>
          <c:extLst>
            <c:ext xmlns:c16="http://schemas.microsoft.com/office/drawing/2014/chart" uri="{C3380CC4-5D6E-409C-BE32-E72D297353CC}">
              <c16:uniqueId val="{00000000-4C78-4BB6-8199-50851231E675}"/>
            </c:ext>
          </c:extLst>
        </c:ser>
        <c:ser>
          <c:idx val="0"/>
          <c:order val="1"/>
          <c:tx>
            <c:strRef>
              <c:f>'[1]Category (2020)'!$O$125</c:f>
              <c:strCache>
                <c:ptCount val="1"/>
              </c:strCache>
            </c:strRef>
          </c:tx>
          <c:invertIfNegative val="0"/>
          <c:cat>
            <c:numRef>
              <c:f>'[1]Category (2020)'!$P$122:$R$122</c:f>
              <c:numCache>
                <c:formatCode>General</c:formatCode>
                <c:ptCount val="3"/>
              </c:numCache>
            </c:numRef>
          </c:cat>
          <c:val>
            <c:numRef>
              <c:f>'[1]Category (2020)'!$P$125:$R$125</c:f>
              <c:numCache>
                <c:formatCode>General</c:formatCode>
                <c:ptCount val="3"/>
              </c:numCache>
            </c:numRef>
          </c:val>
          <c:extLst>
            <c:ext xmlns:c16="http://schemas.microsoft.com/office/drawing/2014/chart" uri="{C3380CC4-5D6E-409C-BE32-E72D297353CC}">
              <c16:uniqueId val="{00000001-4C78-4BB6-8199-50851231E675}"/>
            </c:ext>
          </c:extLst>
        </c:ser>
        <c:dLbls>
          <c:showLegendKey val="0"/>
          <c:showVal val="0"/>
          <c:showCatName val="0"/>
          <c:showSerName val="0"/>
          <c:showPercent val="0"/>
          <c:showBubbleSize val="0"/>
        </c:dLbls>
        <c:gapWidth val="150"/>
        <c:overlap val="100"/>
        <c:axId val="475781792"/>
        <c:axId val="475782184"/>
      </c:barChart>
      <c:catAx>
        <c:axId val="475781792"/>
        <c:scaling>
          <c:orientation val="minMax"/>
        </c:scaling>
        <c:delete val="0"/>
        <c:axPos val="b"/>
        <c:numFmt formatCode="General" sourceLinked="1"/>
        <c:majorTickMark val="out"/>
        <c:minorTickMark val="none"/>
        <c:tickLblPos val="nextTo"/>
        <c:txPr>
          <a:bodyPr/>
          <a:lstStyle/>
          <a:p>
            <a:pPr>
              <a:defRPr sz="1800" b="1"/>
            </a:pPr>
            <a:endParaRPr lang="en-US"/>
          </a:p>
        </c:txPr>
        <c:crossAx val="475782184"/>
        <c:crosses val="autoZero"/>
        <c:auto val="1"/>
        <c:lblAlgn val="ctr"/>
        <c:lblOffset val="100"/>
        <c:noMultiLvlLbl val="0"/>
      </c:catAx>
      <c:valAx>
        <c:axId val="475782184"/>
        <c:scaling>
          <c:orientation val="minMax"/>
        </c:scaling>
        <c:delete val="0"/>
        <c:axPos val="l"/>
        <c:numFmt formatCode="General" sourceLinked="1"/>
        <c:majorTickMark val="out"/>
        <c:minorTickMark val="none"/>
        <c:tickLblPos val="nextTo"/>
        <c:txPr>
          <a:bodyPr/>
          <a:lstStyle/>
          <a:p>
            <a:pPr>
              <a:defRPr sz="1200"/>
            </a:pPr>
            <a:endParaRPr lang="en-US"/>
          </a:p>
        </c:txPr>
        <c:crossAx val="475781792"/>
        <c:crosses val="autoZero"/>
        <c:crossBetween val="between"/>
      </c:valAx>
    </c:plotArea>
    <c:legend>
      <c:legendPos val="r"/>
      <c:overlay val="0"/>
      <c:txPr>
        <a:bodyPr/>
        <a:lstStyle/>
        <a:p>
          <a:pPr>
            <a:defRPr sz="1400"/>
          </a:pPr>
          <a:endParaRPr lang="en-US"/>
        </a:p>
      </c:txPr>
    </c:legend>
    <c:plotVisOnly val="1"/>
    <c:dispBlanksAs val="gap"/>
    <c:showDLblsOverMax val="0"/>
  </c:chart>
  <c:printSettings>
    <c:headerFooter/>
    <c:pageMargins b="0.75000000000001332" l="0.70000000000000162" r="0.700000000000001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3-Year RTF Budget (excluding</a:t>
            </a:r>
            <a:r>
              <a:rPr lang="en-US" baseline="0"/>
              <a:t> Council contributions)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9"/>
          <c:order val="0"/>
          <c:tx>
            <c:strRef>
              <c:f>'Category (2021)'!$A$14</c:f>
              <c:strCache>
                <c:ptCount val="1"/>
                <c:pt idx="0">
                  <c:v>RTF Management</c:v>
                </c:pt>
              </c:strCache>
            </c:strRef>
          </c:tx>
          <c:spPr>
            <a:solidFill>
              <a:schemeClr val="accent4">
                <a:lumMod val="60000"/>
              </a:schemeClr>
            </a:solidFill>
            <a:ln>
              <a:noFill/>
            </a:ln>
            <a:effectLst/>
          </c:spPr>
          <c:invertIfNegative val="0"/>
          <c:cat>
            <c:strLit>
              <c:ptCount val="3"/>
              <c:pt idx="0">
                <c:v>2019</c:v>
              </c:pt>
              <c:pt idx="1">
                <c:v>2020</c:v>
              </c:pt>
              <c:pt idx="2">
                <c:v>Proposed 2021</c:v>
              </c:pt>
            </c:strLit>
          </c:cat>
          <c:val>
            <c:numRef>
              <c:f>('Category (2021)'!$S$14,'Category (2021)'!$L$14,'Category (2021)'!$E$14)</c:f>
              <c:numCache>
                <c:formatCode>"$"#,##0_);\("$"#,##0\)</c:formatCode>
                <c:ptCount val="3"/>
                <c:pt idx="0">
                  <c:v>160300</c:v>
                </c:pt>
                <c:pt idx="1">
                  <c:v>178000</c:v>
                </c:pt>
                <c:pt idx="2">
                  <c:v>183500</c:v>
                </c:pt>
              </c:numCache>
            </c:numRef>
          </c:val>
          <c:extLst>
            <c:ext xmlns:c16="http://schemas.microsoft.com/office/drawing/2014/chart" uri="{C3380CC4-5D6E-409C-BE32-E72D297353CC}">
              <c16:uniqueId val="{00000009-27E5-4CBE-9C5E-E6DF51632C0C}"/>
            </c:ext>
          </c:extLst>
        </c:ser>
        <c:ser>
          <c:idx val="8"/>
          <c:order val="1"/>
          <c:tx>
            <c:strRef>
              <c:f>'Category (2021)'!$A$13</c:f>
              <c:strCache>
                <c:ptCount val="1"/>
                <c:pt idx="0">
                  <c:v>RTF Meeting Support</c:v>
                </c:pt>
              </c:strCache>
            </c:strRef>
          </c:tx>
          <c:spPr>
            <a:solidFill>
              <a:schemeClr val="accent3">
                <a:lumMod val="60000"/>
              </a:schemeClr>
            </a:solidFill>
            <a:ln>
              <a:noFill/>
            </a:ln>
            <a:effectLst/>
          </c:spPr>
          <c:invertIfNegative val="0"/>
          <c:cat>
            <c:strLit>
              <c:ptCount val="3"/>
              <c:pt idx="0">
                <c:v>2019</c:v>
              </c:pt>
              <c:pt idx="1">
                <c:v>2020</c:v>
              </c:pt>
              <c:pt idx="2">
                <c:v>Proposed 2021</c:v>
              </c:pt>
            </c:strLit>
          </c:cat>
          <c:val>
            <c:numRef>
              <c:f>('Category (2021)'!$S$13,'Category (2021)'!$L$13,'Category (2021)'!$E$13)</c:f>
              <c:numCache>
                <c:formatCode>"$"#,##0_);\("$"#,##0\)</c:formatCode>
                <c:ptCount val="3"/>
                <c:pt idx="0">
                  <c:v>272000</c:v>
                </c:pt>
                <c:pt idx="1">
                  <c:v>276000</c:v>
                </c:pt>
                <c:pt idx="2">
                  <c:v>226000</c:v>
                </c:pt>
              </c:numCache>
            </c:numRef>
          </c:val>
          <c:extLst>
            <c:ext xmlns:c16="http://schemas.microsoft.com/office/drawing/2014/chart" uri="{C3380CC4-5D6E-409C-BE32-E72D297353CC}">
              <c16:uniqueId val="{00000008-27E5-4CBE-9C5E-E6DF51632C0C}"/>
            </c:ext>
          </c:extLst>
        </c:ser>
        <c:ser>
          <c:idx val="7"/>
          <c:order val="2"/>
          <c:tx>
            <c:strRef>
              <c:f>'Category (2021)'!$A$12</c:f>
              <c:strCache>
                <c:ptCount val="1"/>
                <c:pt idx="0">
                  <c:v>Website and Regional Conservation Progress</c:v>
                </c:pt>
              </c:strCache>
            </c:strRef>
          </c:tx>
          <c:spPr>
            <a:solidFill>
              <a:schemeClr val="accent2">
                <a:lumMod val="60000"/>
              </a:schemeClr>
            </a:solidFill>
            <a:ln>
              <a:noFill/>
            </a:ln>
            <a:effectLst/>
          </c:spPr>
          <c:invertIfNegative val="0"/>
          <c:cat>
            <c:strLit>
              <c:ptCount val="3"/>
              <c:pt idx="0">
                <c:v>2019</c:v>
              </c:pt>
              <c:pt idx="1">
                <c:v>2020</c:v>
              </c:pt>
              <c:pt idx="2">
                <c:v>Proposed 2021</c:v>
              </c:pt>
            </c:strLit>
          </c:cat>
          <c:val>
            <c:numRef>
              <c:f>('Category (2021)'!$S$12,'Category (2021)'!$L$12,'Category (2021)'!$E$12)</c:f>
              <c:numCache>
                <c:formatCode>"$"#,##0_);\("$"#,##0\)</c:formatCode>
                <c:ptCount val="3"/>
                <c:pt idx="0">
                  <c:v>65000</c:v>
                </c:pt>
                <c:pt idx="1">
                  <c:v>50000</c:v>
                </c:pt>
                <c:pt idx="2">
                  <c:v>56000</c:v>
                </c:pt>
              </c:numCache>
            </c:numRef>
          </c:val>
          <c:extLst>
            <c:ext xmlns:c16="http://schemas.microsoft.com/office/drawing/2014/chart" uri="{C3380CC4-5D6E-409C-BE32-E72D297353CC}">
              <c16:uniqueId val="{00000007-27E5-4CBE-9C5E-E6DF51632C0C}"/>
            </c:ext>
          </c:extLst>
        </c:ser>
        <c:ser>
          <c:idx val="6"/>
          <c:order val="3"/>
          <c:tx>
            <c:strRef>
              <c:f>'Category (2021)'!$A$11</c:f>
              <c:strCache>
                <c:ptCount val="1"/>
                <c:pt idx="0">
                  <c:v>Demand Response</c:v>
                </c:pt>
              </c:strCache>
            </c:strRef>
          </c:tx>
          <c:spPr>
            <a:solidFill>
              <a:schemeClr val="accent1">
                <a:lumMod val="60000"/>
              </a:schemeClr>
            </a:solidFill>
            <a:ln>
              <a:noFill/>
            </a:ln>
            <a:effectLst/>
          </c:spPr>
          <c:invertIfNegative val="0"/>
          <c:cat>
            <c:strLit>
              <c:ptCount val="3"/>
              <c:pt idx="0">
                <c:v>2019</c:v>
              </c:pt>
              <c:pt idx="1">
                <c:v>2020</c:v>
              </c:pt>
              <c:pt idx="2">
                <c:v>Proposed 2021</c:v>
              </c:pt>
            </c:strLit>
          </c:cat>
          <c:val>
            <c:numRef>
              <c:f>('Category (2021)'!$S$11,'Category (2021)'!$L$11,'Category (2021)'!$E$11)</c:f>
              <c:numCache>
                <c:formatCode>"$"#,##0_);\("$"#,##0\)</c:formatCode>
                <c:ptCount val="3"/>
                <c:pt idx="0">
                  <c:v>93000</c:v>
                </c:pt>
                <c:pt idx="1">
                  <c:v>50000</c:v>
                </c:pt>
                <c:pt idx="2">
                  <c:v>51400</c:v>
                </c:pt>
              </c:numCache>
            </c:numRef>
          </c:val>
          <c:extLst>
            <c:ext xmlns:c16="http://schemas.microsoft.com/office/drawing/2014/chart" uri="{C3380CC4-5D6E-409C-BE32-E72D297353CC}">
              <c16:uniqueId val="{00000006-27E5-4CBE-9C5E-E6DF51632C0C}"/>
            </c:ext>
          </c:extLst>
        </c:ser>
        <c:ser>
          <c:idx val="5"/>
          <c:order val="4"/>
          <c:tx>
            <c:strRef>
              <c:f>'Category (2021)'!$A$10</c:f>
              <c:strCache>
                <c:ptCount val="1"/>
                <c:pt idx="0">
                  <c:v>Regional Coordination</c:v>
                </c:pt>
              </c:strCache>
            </c:strRef>
          </c:tx>
          <c:spPr>
            <a:solidFill>
              <a:schemeClr val="accent6"/>
            </a:solidFill>
            <a:ln>
              <a:noFill/>
            </a:ln>
            <a:effectLst/>
          </c:spPr>
          <c:invertIfNegative val="0"/>
          <c:cat>
            <c:strLit>
              <c:ptCount val="3"/>
              <c:pt idx="0">
                <c:v>2019</c:v>
              </c:pt>
              <c:pt idx="1">
                <c:v>2020</c:v>
              </c:pt>
              <c:pt idx="2">
                <c:v>Proposed 2021</c:v>
              </c:pt>
            </c:strLit>
          </c:cat>
          <c:val>
            <c:numRef>
              <c:f>('Category (2021)'!$S$10,'Category (2021)'!$L$10,'Category (2021)'!$E$10)</c:f>
              <c:numCache>
                <c:formatCode>"$"#,##0_);\("$"#,##0\)</c:formatCode>
                <c:ptCount val="3"/>
                <c:pt idx="0">
                  <c:v>130000</c:v>
                </c:pt>
                <c:pt idx="1">
                  <c:v>155000</c:v>
                </c:pt>
                <c:pt idx="2">
                  <c:v>263000</c:v>
                </c:pt>
              </c:numCache>
            </c:numRef>
          </c:val>
          <c:extLst>
            <c:ext xmlns:c16="http://schemas.microsoft.com/office/drawing/2014/chart" uri="{C3380CC4-5D6E-409C-BE32-E72D297353CC}">
              <c16:uniqueId val="{00000005-27E5-4CBE-9C5E-E6DF51632C0C}"/>
            </c:ext>
          </c:extLst>
        </c:ser>
        <c:ser>
          <c:idx val="4"/>
          <c:order val="5"/>
          <c:tx>
            <c:strRef>
              <c:f>'Category (2021)'!$A$9</c:f>
              <c:strCache>
                <c:ptCount val="1"/>
                <c:pt idx="0">
                  <c:v>Tool Development</c:v>
                </c:pt>
              </c:strCache>
            </c:strRef>
          </c:tx>
          <c:spPr>
            <a:solidFill>
              <a:schemeClr val="accent5"/>
            </a:solidFill>
            <a:ln>
              <a:noFill/>
            </a:ln>
            <a:effectLst/>
          </c:spPr>
          <c:invertIfNegative val="0"/>
          <c:cat>
            <c:strLit>
              <c:ptCount val="3"/>
              <c:pt idx="0">
                <c:v>2019</c:v>
              </c:pt>
              <c:pt idx="1">
                <c:v>2020</c:v>
              </c:pt>
              <c:pt idx="2">
                <c:v>Proposed 2021</c:v>
              </c:pt>
            </c:strLit>
          </c:cat>
          <c:val>
            <c:numRef>
              <c:f>('Category (2021)'!$S$9,'Category (2021)'!$L$9,'Category (2021)'!$E$9)</c:f>
              <c:numCache>
                <c:formatCode>"$"#,##0_);\("$"#,##0\)</c:formatCode>
                <c:ptCount val="3"/>
                <c:pt idx="0">
                  <c:v>281400</c:v>
                </c:pt>
                <c:pt idx="1">
                  <c:v>120000</c:v>
                </c:pt>
                <c:pt idx="2">
                  <c:v>110200</c:v>
                </c:pt>
              </c:numCache>
            </c:numRef>
          </c:val>
          <c:extLst>
            <c:ext xmlns:c16="http://schemas.microsoft.com/office/drawing/2014/chart" uri="{C3380CC4-5D6E-409C-BE32-E72D297353CC}">
              <c16:uniqueId val="{00000004-27E5-4CBE-9C5E-E6DF51632C0C}"/>
            </c:ext>
          </c:extLst>
        </c:ser>
        <c:ser>
          <c:idx val="3"/>
          <c:order val="6"/>
          <c:tx>
            <c:strRef>
              <c:f>'Category (2021)'!$A$8</c:f>
              <c:strCache>
                <c:ptCount val="1"/>
                <c:pt idx="0">
                  <c:v>Standardization of Technical Analysis</c:v>
                </c:pt>
              </c:strCache>
            </c:strRef>
          </c:tx>
          <c:spPr>
            <a:solidFill>
              <a:schemeClr val="accent4"/>
            </a:solidFill>
            <a:ln>
              <a:noFill/>
            </a:ln>
            <a:effectLst/>
          </c:spPr>
          <c:invertIfNegative val="0"/>
          <c:cat>
            <c:strLit>
              <c:ptCount val="3"/>
              <c:pt idx="0">
                <c:v>2019</c:v>
              </c:pt>
              <c:pt idx="1">
                <c:v>2020</c:v>
              </c:pt>
              <c:pt idx="2">
                <c:v>Proposed 2021</c:v>
              </c:pt>
            </c:strLit>
          </c:cat>
          <c:val>
            <c:numRef>
              <c:f>('Category (2021)'!$S$8,'Category (2021)'!$L$8,'Category (2021)'!$E$8)</c:f>
              <c:numCache>
                <c:formatCode>"$"#,##0_);\("$"#,##0\)</c:formatCode>
                <c:ptCount val="3"/>
                <c:pt idx="0">
                  <c:v>233500</c:v>
                </c:pt>
                <c:pt idx="1">
                  <c:v>270000</c:v>
                </c:pt>
                <c:pt idx="2">
                  <c:v>185000</c:v>
                </c:pt>
              </c:numCache>
            </c:numRef>
          </c:val>
          <c:extLst>
            <c:ext xmlns:c16="http://schemas.microsoft.com/office/drawing/2014/chart" uri="{C3380CC4-5D6E-409C-BE32-E72D297353CC}">
              <c16:uniqueId val="{00000003-27E5-4CBE-9C5E-E6DF51632C0C}"/>
            </c:ext>
          </c:extLst>
        </c:ser>
        <c:ser>
          <c:idx val="2"/>
          <c:order val="7"/>
          <c:tx>
            <c:strRef>
              <c:f>'Category (2021)'!$A$7</c:f>
              <c:strCache>
                <c:ptCount val="1"/>
                <c:pt idx="0">
                  <c:v>New Measure Development</c:v>
                </c:pt>
              </c:strCache>
            </c:strRef>
          </c:tx>
          <c:spPr>
            <a:solidFill>
              <a:schemeClr val="accent3"/>
            </a:solidFill>
            <a:ln>
              <a:noFill/>
            </a:ln>
            <a:effectLst/>
          </c:spPr>
          <c:invertIfNegative val="0"/>
          <c:cat>
            <c:strLit>
              <c:ptCount val="3"/>
              <c:pt idx="0">
                <c:v>2019</c:v>
              </c:pt>
              <c:pt idx="1">
                <c:v>2020</c:v>
              </c:pt>
              <c:pt idx="2">
                <c:v>Proposed 2021</c:v>
              </c:pt>
            </c:strLit>
          </c:cat>
          <c:val>
            <c:numRef>
              <c:f>('Category (2021)'!$S$7,'Category (2021)'!$L$7,'Category (2021)'!$E$7)</c:f>
              <c:numCache>
                <c:formatCode>"$"#,##0_);\("$"#,##0\)</c:formatCode>
                <c:ptCount val="3"/>
                <c:pt idx="0">
                  <c:v>264000</c:v>
                </c:pt>
                <c:pt idx="1">
                  <c:v>264000</c:v>
                </c:pt>
                <c:pt idx="2">
                  <c:v>352700</c:v>
                </c:pt>
              </c:numCache>
            </c:numRef>
          </c:val>
          <c:extLst>
            <c:ext xmlns:c16="http://schemas.microsoft.com/office/drawing/2014/chart" uri="{C3380CC4-5D6E-409C-BE32-E72D297353CC}">
              <c16:uniqueId val="{00000002-27E5-4CBE-9C5E-E6DF51632C0C}"/>
            </c:ext>
          </c:extLst>
        </c:ser>
        <c:ser>
          <c:idx val="1"/>
          <c:order val="8"/>
          <c:tx>
            <c:strRef>
              <c:f>'Category (2021)'!$A$6</c:f>
              <c:strCache>
                <c:ptCount val="1"/>
                <c:pt idx="0">
                  <c:v>Existing Measure Maintenance</c:v>
                </c:pt>
              </c:strCache>
            </c:strRef>
          </c:tx>
          <c:spPr>
            <a:solidFill>
              <a:schemeClr val="accent2"/>
            </a:solidFill>
            <a:ln>
              <a:noFill/>
            </a:ln>
            <a:effectLst/>
          </c:spPr>
          <c:invertIfNegative val="0"/>
          <c:cat>
            <c:strLit>
              <c:ptCount val="3"/>
              <c:pt idx="0">
                <c:v>2019</c:v>
              </c:pt>
              <c:pt idx="1">
                <c:v>2020</c:v>
              </c:pt>
              <c:pt idx="2">
                <c:v>Proposed 2021</c:v>
              </c:pt>
            </c:strLit>
          </c:cat>
          <c:val>
            <c:numRef>
              <c:f>('Category (2021)'!$S$6,'Category (2021)'!$L$6,'Category (2021)'!$E$6)</c:f>
              <c:numCache>
                <c:formatCode>"$"#,##0_);\("$"#,##0\)</c:formatCode>
                <c:ptCount val="3"/>
                <c:pt idx="0">
                  <c:v>376000</c:v>
                </c:pt>
                <c:pt idx="1">
                  <c:v>437000</c:v>
                </c:pt>
                <c:pt idx="2">
                  <c:v>572200</c:v>
                </c:pt>
              </c:numCache>
            </c:numRef>
          </c:val>
          <c:extLst>
            <c:ext xmlns:c16="http://schemas.microsoft.com/office/drawing/2014/chart" uri="{C3380CC4-5D6E-409C-BE32-E72D297353CC}">
              <c16:uniqueId val="{00000001-27E5-4CBE-9C5E-E6DF51632C0C}"/>
            </c:ext>
          </c:extLst>
        </c:ser>
        <c:dLbls>
          <c:showLegendKey val="0"/>
          <c:showVal val="0"/>
          <c:showCatName val="0"/>
          <c:showSerName val="0"/>
          <c:showPercent val="0"/>
          <c:showBubbleSize val="0"/>
        </c:dLbls>
        <c:gapWidth val="55"/>
        <c:overlap val="100"/>
        <c:axId val="783192104"/>
        <c:axId val="783192432"/>
      </c:barChart>
      <c:catAx>
        <c:axId val="78319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783192432"/>
        <c:crosses val="autoZero"/>
        <c:auto val="1"/>
        <c:lblAlgn val="ctr"/>
        <c:lblOffset val="100"/>
        <c:noMultiLvlLbl val="0"/>
      </c:catAx>
      <c:valAx>
        <c:axId val="7831924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3192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3-Year RTF Contract RFP Allocations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9"/>
          <c:order val="0"/>
          <c:tx>
            <c:strRef>
              <c:f>'Category (2021)'!$A$14</c:f>
              <c:strCache>
                <c:ptCount val="1"/>
                <c:pt idx="0">
                  <c:v>RTF Management</c:v>
                </c:pt>
              </c:strCache>
            </c:strRef>
          </c:tx>
          <c:spPr>
            <a:solidFill>
              <a:schemeClr val="accent4">
                <a:lumMod val="60000"/>
              </a:schemeClr>
            </a:solidFill>
            <a:ln>
              <a:noFill/>
            </a:ln>
            <a:effectLst/>
          </c:spPr>
          <c:invertIfNegative val="0"/>
          <c:cat>
            <c:strLit>
              <c:ptCount val="3"/>
              <c:pt idx="0">
                <c:v>2019</c:v>
              </c:pt>
              <c:pt idx="1">
                <c:v>2020</c:v>
              </c:pt>
              <c:pt idx="2">
                <c:v>Proposed 2021</c:v>
              </c:pt>
            </c:strLit>
          </c:cat>
          <c:val>
            <c:numRef>
              <c:f>('Category (2021)'!$P$14,'Category (2021)'!$I$14,'Category (2021)'!$B$14)</c:f>
              <c:numCache>
                <c:formatCode>"$"#,##0_);\("$"#,##0\)</c:formatCode>
                <c:ptCount val="3"/>
                <c:pt idx="0">
                  <c:v>3300</c:v>
                </c:pt>
                <c:pt idx="1">
                  <c:v>4000</c:v>
                </c:pt>
                <c:pt idx="2">
                  <c:v>4000</c:v>
                </c:pt>
              </c:numCache>
            </c:numRef>
          </c:val>
          <c:extLst>
            <c:ext xmlns:c16="http://schemas.microsoft.com/office/drawing/2014/chart" uri="{C3380CC4-5D6E-409C-BE32-E72D297353CC}">
              <c16:uniqueId val="{00000000-BAB3-4DD5-8962-39512E1CE848}"/>
            </c:ext>
          </c:extLst>
        </c:ser>
        <c:ser>
          <c:idx val="8"/>
          <c:order val="1"/>
          <c:tx>
            <c:strRef>
              <c:f>'Category (2021)'!$A$13</c:f>
              <c:strCache>
                <c:ptCount val="1"/>
                <c:pt idx="0">
                  <c:v>RTF Meeting Support</c:v>
                </c:pt>
              </c:strCache>
            </c:strRef>
          </c:tx>
          <c:spPr>
            <a:solidFill>
              <a:schemeClr val="accent3">
                <a:lumMod val="60000"/>
              </a:schemeClr>
            </a:solidFill>
            <a:ln>
              <a:noFill/>
            </a:ln>
            <a:effectLst/>
          </c:spPr>
          <c:invertIfNegative val="0"/>
          <c:cat>
            <c:strLit>
              <c:ptCount val="3"/>
              <c:pt idx="0">
                <c:v>2019</c:v>
              </c:pt>
              <c:pt idx="1">
                <c:v>2020</c:v>
              </c:pt>
              <c:pt idx="2">
                <c:v>Proposed 2021</c:v>
              </c:pt>
            </c:strLit>
          </c:cat>
          <c:val>
            <c:numRef>
              <c:f>('Category (2021)'!$P$13,'Category (2021)'!$I$13,'Category (2021)'!$B$13)</c:f>
              <c:numCache>
                <c:formatCode>"$"#,##0_);\("$"#,##0\)</c:formatCode>
                <c:ptCount val="3"/>
                <c:pt idx="0">
                  <c:v>182000</c:v>
                </c:pt>
                <c:pt idx="1">
                  <c:v>163000</c:v>
                </c:pt>
                <c:pt idx="2">
                  <c:v>148000</c:v>
                </c:pt>
              </c:numCache>
            </c:numRef>
          </c:val>
          <c:extLst>
            <c:ext xmlns:c16="http://schemas.microsoft.com/office/drawing/2014/chart" uri="{C3380CC4-5D6E-409C-BE32-E72D297353CC}">
              <c16:uniqueId val="{00000001-BAB3-4DD5-8962-39512E1CE848}"/>
            </c:ext>
          </c:extLst>
        </c:ser>
        <c:ser>
          <c:idx val="7"/>
          <c:order val="2"/>
          <c:tx>
            <c:strRef>
              <c:f>'Category (2021)'!$A$12</c:f>
              <c:strCache>
                <c:ptCount val="1"/>
                <c:pt idx="0">
                  <c:v>Website and Regional Conservation Progress</c:v>
                </c:pt>
              </c:strCache>
            </c:strRef>
          </c:tx>
          <c:spPr>
            <a:solidFill>
              <a:schemeClr val="accent2">
                <a:lumMod val="60000"/>
              </a:schemeClr>
            </a:solidFill>
            <a:ln>
              <a:noFill/>
            </a:ln>
            <a:effectLst/>
          </c:spPr>
          <c:invertIfNegative val="0"/>
          <c:cat>
            <c:strLit>
              <c:ptCount val="3"/>
              <c:pt idx="0">
                <c:v>2019</c:v>
              </c:pt>
              <c:pt idx="1">
                <c:v>2020</c:v>
              </c:pt>
              <c:pt idx="2">
                <c:v>Proposed 2021</c:v>
              </c:pt>
            </c:strLit>
          </c:cat>
          <c:val>
            <c:numRef>
              <c:f>('Category (2021)'!$P$12,'Category (2021)'!$I$12,'Category (2021)'!$B$12)</c:f>
              <c:numCache>
                <c:formatCode>"$"#,##0_);\("$"#,##0\)</c:formatCode>
                <c:ptCount val="3"/>
                <c:pt idx="0">
                  <c:v>60000</c:v>
                </c:pt>
                <c:pt idx="1">
                  <c:v>50000</c:v>
                </c:pt>
                <c:pt idx="2">
                  <c:v>56000</c:v>
                </c:pt>
              </c:numCache>
            </c:numRef>
          </c:val>
          <c:extLst>
            <c:ext xmlns:c16="http://schemas.microsoft.com/office/drawing/2014/chart" uri="{C3380CC4-5D6E-409C-BE32-E72D297353CC}">
              <c16:uniqueId val="{00000002-BAB3-4DD5-8962-39512E1CE848}"/>
            </c:ext>
          </c:extLst>
        </c:ser>
        <c:ser>
          <c:idx val="6"/>
          <c:order val="3"/>
          <c:tx>
            <c:strRef>
              <c:f>'Category (2021)'!$A$11</c:f>
              <c:strCache>
                <c:ptCount val="1"/>
                <c:pt idx="0">
                  <c:v>Demand Response</c:v>
                </c:pt>
              </c:strCache>
            </c:strRef>
          </c:tx>
          <c:spPr>
            <a:solidFill>
              <a:schemeClr val="accent1">
                <a:lumMod val="60000"/>
              </a:schemeClr>
            </a:solidFill>
            <a:ln>
              <a:noFill/>
            </a:ln>
            <a:effectLst/>
          </c:spPr>
          <c:invertIfNegative val="0"/>
          <c:cat>
            <c:strLit>
              <c:ptCount val="3"/>
              <c:pt idx="0">
                <c:v>2019</c:v>
              </c:pt>
              <c:pt idx="1">
                <c:v>2020</c:v>
              </c:pt>
              <c:pt idx="2">
                <c:v>Proposed 2021</c:v>
              </c:pt>
            </c:strLit>
          </c:cat>
          <c:val>
            <c:numRef>
              <c:f>('Category (2021)'!$P$11,'Category (2021)'!$I$11,'Category (2021)'!$B$11)</c:f>
              <c:numCache>
                <c:formatCode>"$"#,##0_);\("$"#,##0\)</c:formatCode>
                <c:ptCount val="3"/>
                <c:pt idx="0">
                  <c:v>0</c:v>
                </c:pt>
                <c:pt idx="1">
                  <c:v>40000</c:v>
                </c:pt>
                <c:pt idx="2">
                  <c:v>25700</c:v>
                </c:pt>
              </c:numCache>
            </c:numRef>
          </c:val>
          <c:extLst>
            <c:ext xmlns:c16="http://schemas.microsoft.com/office/drawing/2014/chart" uri="{C3380CC4-5D6E-409C-BE32-E72D297353CC}">
              <c16:uniqueId val="{00000003-BAB3-4DD5-8962-39512E1CE848}"/>
            </c:ext>
          </c:extLst>
        </c:ser>
        <c:ser>
          <c:idx val="5"/>
          <c:order val="4"/>
          <c:tx>
            <c:strRef>
              <c:f>'Category (2021)'!$A$10</c:f>
              <c:strCache>
                <c:ptCount val="1"/>
                <c:pt idx="0">
                  <c:v>Regional Coordination</c:v>
                </c:pt>
              </c:strCache>
            </c:strRef>
          </c:tx>
          <c:spPr>
            <a:solidFill>
              <a:schemeClr val="accent6"/>
            </a:solidFill>
            <a:ln>
              <a:noFill/>
            </a:ln>
            <a:effectLst/>
          </c:spPr>
          <c:invertIfNegative val="0"/>
          <c:cat>
            <c:strLit>
              <c:ptCount val="3"/>
              <c:pt idx="0">
                <c:v>2019</c:v>
              </c:pt>
              <c:pt idx="1">
                <c:v>2020</c:v>
              </c:pt>
              <c:pt idx="2">
                <c:v>Proposed 2021</c:v>
              </c:pt>
            </c:strLit>
          </c:cat>
          <c:val>
            <c:numRef>
              <c:f>('Category (2021)'!$P$10,'Category (2021)'!$I$10,'Category (2021)'!$B$10)</c:f>
              <c:numCache>
                <c:formatCode>"$"#,##0_);\("$"#,##0\)</c:formatCode>
                <c:ptCount val="3"/>
                <c:pt idx="0">
                  <c:v>0</c:v>
                </c:pt>
                <c:pt idx="1">
                  <c:v>0</c:v>
                </c:pt>
                <c:pt idx="2">
                  <c:v>125000</c:v>
                </c:pt>
              </c:numCache>
            </c:numRef>
          </c:val>
          <c:extLst>
            <c:ext xmlns:c16="http://schemas.microsoft.com/office/drawing/2014/chart" uri="{C3380CC4-5D6E-409C-BE32-E72D297353CC}">
              <c16:uniqueId val="{00000004-BAB3-4DD5-8962-39512E1CE848}"/>
            </c:ext>
          </c:extLst>
        </c:ser>
        <c:ser>
          <c:idx val="4"/>
          <c:order val="5"/>
          <c:tx>
            <c:strRef>
              <c:f>'Category (2021)'!$A$9</c:f>
              <c:strCache>
                <c:ptCount val="1"/>
                <c:pt idx="0">
                  <c:v>Tool Development</c:v>
                </c:pt>
              </c:strCache>
            </c:strRef>
          </c:tx>
          <c:spPr>
            <a:solidFill>
              <a:schemeClr val="accent5"/>
            </a:solidFill>
            <a:ln>
              <a:noFill/>
            </a:ln>
            <a:effectLst/>
          </c:spPr>
          <c:invertIfNegative val="0"/>
          <c:cat>
            <c:strLit>
              <c:ptCount val="3"/>
              <c:pt idx="0">
                <c:v>2019</c:v>
              </c:pt>
              <c:pt idx="1">
                <c:v>2020</c:v>
              </c:pt>
              <c:pt idx="2">
                <c:v>Proposed 2021</c:v>
              </c:pt>
            </c:strLit>
          </c:cat>
          <c:val>
            <c:numRef>
              <c:f>('Category (2021)'!$P$9,'Category (2021)'!$I$9,'Category (2021)'!$B$9)</c:f>
              <c:numCache>
                <c:formatCode>"$"#,##0_);\("$"#,##0\)</c:formatCode>
                <c:ptCount val="3"/>
                <c:pt idx="0">
                  <c:v>130000</c:v>
                </c:pt>
                <c:pt idx="1">
                  <c:v>0</c:v>
                </c:pt>
                <c:pt idx="2">
                  <c:v>20000</c:v>
                </c:pt>
              </c:numCache>
            </c:numRef>
          </c:val>
          <c:extLst>
            <c:ext xmlns:c16="http://schemas.microsoft.com/office/drawing/2014/chart" uri="{C3380CC4-5D6E-409C-BE32-E72D297353CC}">
              <c16:uniqueId val="{00000005-BAB3-4DD5-8962-39512E1CE848}"/>
            </c:ext>
          </c:extLst>
        </c:ser>
        <c:ser>
          <c:idx val="3"/>
          <c:order val="6"/>
          <c:tx>
            <c:strRef>
              <c:f>'Category (2021)'!$A$8</c:f>
              <c:strCache>
                <c:ptCount val="1"/>
                <c:pt idx="0">
                  <c:v>Standardization of Technical Analysis</c:v>
                </c:pt>
              </c:strCache>
            </c:strRef>
          </c:tx>
          <c:spPr>
            <a:solidFill>
              <a:schemeClr val="accent4"/>
            </a:solidFill>
            <a:ln>
              <a:noFill/>
            </a:ln>
            <a:effectLst/>
          </c:spPr>
          <c:invertIfNegative val="0"/>
          <c:cat>
            <c:strLit>
              <c:ptCount val="3"/>
              <c:pt idx="0">
                <c:v>2019</c:v>
              </c:pt>
              <c:pt idx="1">
                <c:v>2020</c:v>
              </c:pt>
              <c:pt idx="2">
                <c:v>Proposed 2021</c:v>
              </c:pt>
            </c:strLit>
          </c:cat>
          <c:val>
            <c:numRef>
              <c:f>('Category (2021)'!$P$8,'Category (2021)'!$I$8,'Category (2021)'!$B$8)</c:f>
              <c:numCache>
                <c:formatCode>"$"#,##0_);\("$"#,##0\)</c:formatCode>
                <c:ptCount val="3"/>
                <c:pt idx="0">
                  <c:v>23500</c:v>
                </c:pt>
                <c:pt idx="1">
                  <c:v>40000</c:v>
                </c:pt>
                <c:pt idx="2">
                  <c:v>0</c:v>
                </c:pt>
              </c:numCache>
            </c:numRef>
          </c:val>
          <c:extLst>
            <c:ext xmlns:c16="http://schemas.microsoft.com/office/drawing/2014/chart" uri="{C3380CC4-5D6E-409C-BE32-E72D297353CC}">
              <c16:uniqueId val="{00000006-BAB3-4DD5-8962-39512E1CE848}"/>
            </c:ext>
          </c:extLst>
        </c:ser>
        <c:ser>
          <c:idx val="2"/>
          <c:order val="7"/>
          <c:tx>
            <c:strRef>
              <c:f>'Category (2021)'!$A$7</c:f>
              <c:strCache>
                <c:ptCount val="1"/>
                <c:pt idx="0">
                  <c:v>New Measure Development</c:v>
                </c:pt>
              </c:strCache>
            </c:strRef>
          </c:tx>
          <c:spPr>
            <a:solidFill>
              <a:schemeClr val="accent3"/>
            </a:solidFill>
            <a:ln>
              <a:noFill/>
            </a:ln>
            <a:effectLst/>
          </c:spPr>
          <c:invertIfNegative val="0"/>
          <c:cat>
            <c:strLit>
              <c:ptCount val="3"/>
              <c:pt idx="0">
                <c:v>2019</c:v>
              </c:pt>
              <c:pt idx="1">
                <c:v>2020</c:v>
              </c:pt>
              <c:pt idx="2">
                <c:v>Proposed 2021</c:v>
              </c:pt>
            </c:strLit>
          </c:cat>
          <c:val>
            <c:numRef>
              <c:f>('Category (2021)'!$P$7,'Category (2021)'!$I$7,'Category (2021)'!$B$7)</c:f>
              <c:numCache>
                <c:formatCode>"$"#,##0_);\("$"#,##0\)</c:formatCode>
                <c:ptCount val="3"/>
                <c:pt idx="0">
                  <c:v>41000</c:v>
                </c:pt>
                <c:pt idx="1">
                  <c:v>44000</c:v>
                </c:pt>
                <c:pt idx="2">
                  <c:v>76100</c:v>
                </c:pt>
              </c:numCache>
            </c:numRef>
          </c:val>
          <c:extLst>
            <c:ext xmlns:c16="http://schemas.microsoft.com/office/drawing/2014/chart" uri="{C3380CC4-5D6E-409C-BE32-E72D297353CC}">
              <c16:uniqueId val="{00000007-BAB3-4DD5-8962-39512E1CE848}"/>
            </c:ext>
          </c:extLst>
        </c:ser>
        <c:ser>
          <c:idx val="1"/>
          <c:order val="8"/>
          <c:tx>
            <c:strRef>
              <c:f>'Category (2021)'!$A$6</c:f>
              <c:strCache>
                <c:ptCount val="1"/>
                <c:pt idx="0">
                  <c:v>Existing Measure Maintenance</c:v>
                </c:pt>
              </c:strCache>
            </c:strRef>
          </c:tx>
          <c:spPr>
            <a:solidFill>
              <a:schemeClr val="accent2"/>
            </a:solidFill>
            <a:ln>
              <a:noFill/>
            </a:ln>
            <a:effectLst/>
          </c:spPr>
          <c:invertIfNegative val="0"/>
          <c:cat>
            <c:strLit>
              <c:ptCount val="3"/>
              <c:pt idx="0">
                <c:v>2019</c:v>
              </c:pt>
              <c:pt idx="1">
                <c:v>2020</c:v>
              </c:pt>
              <c:pt idx="2">
                <c:v>Proposed 2021</c:v>
              </c:pt>
            </c:strLit>
          </c:cat>
          <c:val>
            <c:numRef>
              <c:f>('Category (2021)'!$P$6,'Category (2021)'!$I$6,'Category (2021)'!$B$6)</c:f>
              <c:numCache>
                <c:formatCode>"$"#,##0_);\("$"#,##0\)</c:formatCode>
                <c:ptCount val="3"/>
                <c:pt idx="0">
                  <c:v>84000</c:v>
                </c:pt>
                <c:pt idx="1">
                  <c:v>92000</c:v>
                </c:pt>
                <c:pt idx="2">
                  <c:v>141000</c:v>
                </c:pt>
              </c:numCache>
            </c:numRef>
          </c:val>
          <c:extLst>
            <c:ext xmlns:c16="http://schemas.microsoft.com/office/drawing/2014/chart" uri="{C3380CC4-5D6E-409C-BE32-E72D297353CC}">
              <c16:uniqueId val="{00000008-BAB3-4DD5-8962-39512E1CE848}"/>
            </c:ext>
          </c:extLst>
        </c:ser>
        <c:dLbls>
          <c:showLegendKey val="0"/>
          <c:showVal val="0"/>
          <c:showCatName val="0"/>
          <c:showSerName val="0"/>
          <c:showPercent val="0"/>
          <c:showBubbleSize val="0"/>
        </c:dLbls>
        <c:gapWidth val="55"/>
        <c:overlap val="100"/>
        <c:axId val="783192104"/>
        <c:axId val="783192432"/>
      </c:barChart>
      <c:catAx>
        <c:axId val="78319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783192432"/>
        <c:crosses val="autoZero"/>
        <c:auto val="1"/>
        <c:lblAlgn val="ctr"/>
        <c:lblOffset val="100"/>
        <c:noMultiLvlLbl val="0"/>
      </c:catAx>
      <c:valAx>
        <c:axId val="7831924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3192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3-Year RTF Contract Analyst Team Allocations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9"/>
          <c:order val="0"/>
          <c:tx>
            <c:strRef>
              <c:f>'Category (2021)'!$A$14</c:f>
              <c:strCache>
                <c:ptCount val="1"/>
                <c:pt idx="0">
                  <c:v>RTF Management</c:v>
                </c:pt>
              </c:strCache>
            </c:strRef>
          </c:tx>
          <c:spPr>
            <a:solidFill>
              <a:schemeClr val="accent4">
                <a:lumMod val="60000"/>
              </a:schemeClr>
            </a:solidFill>
            <a:ln>
              <a:noFill/>
            </a:ln>
            <a:effectLst/>
          </c:spPr>
          <c:invertIfNegative val="0"/>
          <c:cat>
            <c:strLit>
              <c:ptCount val="3"/>
              <c:pt idx="0">
                <c:v>2019</c:v>
              </c:pt>
              <c:pt idx="1">
                <c:v>2020</c:v>
              </c:pt>
              <c:pt idx="2">
                <c:v>Proposed 2021</c:v>
              </c:pt>
            </c:strLit>
          </c:cat>
          <c:val>
            <c:numRef>
              <c:f>('Category (2021)'!$Q$14,'Category (2021)'!$J$14,'Category (2021)'!$C$14)</c:f>
              <c:numCache>
                <c:formatCode>"$"#,##0_);\("$"#,##0\)</c:formatCode>
                <c:ptCount val="3"/>
                <c:pt idx="0">
                  <c:v>0</c:v>
                </c:pt>
                <c:pt idx="1">
                  <c:v>0</c:v>
                </c:pt>
                <c:pt idx="2">
                  <c:v>0</c:v>
                </c:pt>
              </c:numCache>
            </c:numRef>
          </c:val>
          <c:extLst>
            <c:ext xmlns:c16="http://schemas.microsoft.com/office/drawing/2014/chart" uri="{C3380CC4-5D6E-409C-BE32-E72D297353CC}">
              <c16:uniqueId val="{00000000-1111-4A7D-A87E-8383EC9E0BC7}"/>
            </c:ext>
          </c:extLst>
        </c:ser>
        <c:ser>
          <c:idx val="8"/>
          <c:order val="1"/>
          <c:tx>
            <c:strRef>
              <c:f>'Category (2021)'!$A$13</c:f>
              <c:strCache>
                <c:ptCount val="1"/>
                <c:pt idx="0">
                  <c:v>RTF Meeting Support</c:v>
                </c:pt>
              </c:strCache>
            </c:strRef>
          </c:tx>
          <c:spPr>
            <a:solidFill>
              <a:schemeClr val="accent3">
                <a:lumMod val="60000"/>
              </a:schemeClr>
            </a:solidFill>
            <a:ln>
              <a:noFill/>
            </a:ln>
            <a:effectLst/>
          </c:spPr>
          <c:invertIfNegative val="0"/>
          <c:cat>
            <c:strLit>
              <c:ptCount val="3"/>
              <c:pt idx="0">
                <c:v>2019</c:v>
              </c:pt>
              <c:pt idx="1">
                <c:v>2020</c:v>
              </c:pt>
              <c:pt idx="2">
                <c:v>Proposed 2021</c:v>
              </c:pt>
            </c:strLit>
          </c:cat>
          <c:val>
            <c:numRef>
              <c:f>('Category (2021)'!$Q$13,'Category (2021)'!$J$13,'Category (2021)'!$C$13)</c:f>
              <c:numCache>
                <c:formatCode>"$"#,##0_);\("$"#,##0\)</c:formatCode>
                <c:ptCount val="3"/>
                <c:pt idx="0">
                  <c:v>90000</c:v>
                </c:pt>
                <c:pt idx="1">
                  <c:v>113000</c:v>
                </c:pt>
                <c:pt idx="2">
                  <c:v>78000</c:v>
                </c:pt>
              </c:numCache>
            </c:numRef>
          </c:val>
          <c:extLst>
            <c:ext xmlns:c16="http://schemas.microsoft.com/office/drawing/2014/chart" uri="{C3380CC4-5D6E-409C-BE32-E72D297353CC}">
              <c16:uniqueId val="{00000001-1111-4A7D-A87E-8383EC9E0BC7}"/>
            </c:ext>
          </c:extLst>
        </c:ser>
        <c:ser>
          <c:idx val="7"/>
          <c:order val="2"/>
          <c:tx>
            <c:strRef>
              <c:f>'Category (2021)'!$A$12</c:f>
              <c:strCache>
                <c:ptCount val="1"/>
                <c:pt idx="0">
                  <c:v>Website and Regional Conservation Progress</c:v>
                </c:pt>
              </c:strCache>
            </c:strRef>
          </c:tx>
          <c:spPr>
            <a:solidFill>
              <a:schemeClr val="accent2">
                <a:lumMod val="60000"/>
              </a:schemeClr>
            </a:solidFill>
            <a:ln>
              <a:noFill/>
            </a:ln>
            <a:effectLst/>
          </c:spPr>
          <c:invertIfNegative val="0"/>
          <c:cat>
            <c:strLit>
              <c:ptCount val="3"/>
              <c:pt idx="0">
                <c:v>2019</c:v>
              </c:pt>
              <c:pt idx="1">
                <c:v>2020</c:v>
              </c:pt>
              <c:pt idx="2">
                <c:v>Proposed 2021</c:v>
              </c:pt>
            </c:strLit>
          </c:cat>
          <c:val>
            <c:numRef>
              <c:f>('Category (2021)'!$Q$12,'Category (2021)'!$J$12,'Category (2021)'!$C$12)</c:f>
              <c:numCache>
                <c:formatCode>"$"#,##0_);\("$"#,##0\)</c:formatCode>
                <c:ptCount val="3"/>
                <c:pt idx="0">
                  <c:v>5000</c:v>
                </c:pt>
                <c:pt idx="1">
                  <c:v>0</c:v>
                </c:pt>
                <c:pt idx="2">
                  <c:v>0</c:v>
                </c:pt>
              </c:numCache>
            </c:numRef>
          </c:val>
          <c:extLst>
            <c:ext xmlns:c16="http://schemas.microsoft.com/office/drawing/2014/chart" uri="{C3380CC4-5D6E-409C-BE32-E72D297353CC}">
              <c16:uniqueId val="{00000002-1111-4A7D-A87E-8383EC9E0BC7}"/>
            </c:ext>
          </c:extLst>
        </c:ser>
        <c:ser>
          <c:idx val="6"/>
          <c:order val="3"/>
          <c:tx>
            <c:strRef>
              <c:f>'Category (2021)'!$A$11</c:f>
              <c:strCache>
                <c:ptCount val="1"/>
                <c:pt idx="0">
                  <c:v>Demand Response</c:v>
                </c:pt>
              </c:strCache>
            </c:strRef>
          </c:tx>
          <c:spPr>
            <a:solidFill>
              <a:schemeClr val="accent1">
                <a:lumMod val="60000"/>
              </a:schemeClr>
            </a:solidFill>
            <a:ln>
              <a:noFill/>
            </a:ln>
            <a:effectLst/>
          </c:spPr>
          <c:invertIfNegative val="0"/>
          <c:cat>
            <c:strLit>
              <c:ptCount val="3"/>
              <c:pt idx="0">
                <c:v>2019</c:v>
              </c:pt>
              <c:pt idx="1">
                <c:v>2020</c:v>
              </c:pt>
              <c:pt idx="2">
                <c:v>Proposed 2021</c:v>
              </c:pt>
            </c:strLit>
          </c:cat>
          <c:val>
            <c:numRef>
              <c:f>('Category (2021)'!$Q$11,'Category (2021)'!$J$11,'Category (2021)'!$C$11)</c:f>
              <c:numCache>
                <c:formatCode>"$"#,##0_);\("$"#,##0\)</c:formatCode>
                <c:ptCount val="3"/>
                <c:pt idx="0">
                  <c:v>93000</c:v>
                </c:pt>
                <c:pt idx="1">
                  <c:v>10000</c:v>
                </c:pt>
                <c:pt idx="2">
                  <c:v>25700</c:v>
                </c:pt>
              </c:numCache>
            </c:numRef>
          </c:val>
          <c:extLst>
            <c:ext xmlns:c16="http://schemas.microsoft.com/office/drawing/2014/chart" uri="{C3380CC4-5D6E-409C-BE32-E72D297353CC}">
              <c16:uniqueId val="{00000003-1111-4A7D-A87E-8383EC9E0BC7}"/>
            </c:ext>
          </c:extLst>
        </c:ser>
        <c:ser>
          <c:idx val="5"/>
          <c:order val="4"/>
          <c:tx>
            <c:strRef>
              <c:f>'Category (2021)'!$A$10</c:f>
              <c:strCache>
                <c:ptCount val="1"/>
                <c:pt idx="0">
                  <c:v>Regional Coordination</c:v>
                </c:pt>
              </c:strCache>
            </c:strRef>
          </c:tx>
          <c:spPr>
            <a:solidFill>
              <a:schemeClr val="accent6"/>
            </a:solidFill>
            <a:ln>
              <a:noFill/>
            </a:ln>
            <a:effectLst/>
          </c:spPr>
          <c:invertIfNegative val="0"/>
          <c:cat>
            <c:strLit>
              <c:ptCount val="3"/>
              <c:pt idx="0">
                <c:v>2019</c:v>
              </c:pt>
              <c:pt idx="1">
                <c:v>2020</c:v>
              </c:pt>
              <c:pt idx="2">
                <c:v>Proposed 2021</c:v>
              </c:pt>
            </c:strLit>
          </c:cat>
          <c:val>
            <c:numRef>
              <c:f>('Category (2021)'!$Q$10,'Category (2021)'!$J$10,'Category (2021)'!$C$10)</c:f>
              <c:numCache>
                <c:formatCode>"$"#,##0_);\("$"#,##0\)</c:formatCode>
                <c:ptCount val="3"/>
                <c:pt idx="0">
                  <c:v>130000</c:v>
                </c:pt>
                <c:pt idx="1">
                  <c:v>155000</c:v>
                </c:pt>
                <c:pt idx="2">
                  <c:v>138000</c:v>
                </c:pt>
              </c:numCache>
            </c:numRef>
          </c:val>
          <c:extLst>
            <c:ext xmlns:c16="http://schemas.microsoft.com/office/drawing/2014/chart" uri="{C3380CC4-5D6E-409C-BE32-E72D297353CC}">
              <c16:uniqueId val="{00000004-1111-4A7D-A87E-8383EC9E0BC7}"/>
            </c:ext>
          </c:extLst>
        </c:ser>
        <c:ser>
          <c:idx val="4"/>
          <c:order val="5"/>
          <c:tx>
            <c:strRef>
              <c:f>'Category (2021)'!$A$9</c:f>
              <c:strCache>
                <c:ptCount val="1"/>
                <c:pt idx="0">
                  <c:v>Tool Development</c:v>
                </c:pt>
              </c:strCache>
            </c:strRef>
          </c:tx>
          <c:spPr>
            <a:solidFill>
              <a:schemeClr val="accent5"/>
            </a:solidFill>
            <a:ln>
              <a:noFill/>
            </a:ln>
            <a:effectLst/>
          </c:spPr>
          <c:invertIfNegative val="0"/>
          <c:cat>
            <c:strLit>
              <c:ptCount val="3"/>
              <c:pt idx="0">
                <c:v>2019</c:v>
              </c:pt>
              <c:pt idx="1">
                <c:v>2020</c:v>
              </c:pt>
              <c:pt idx="2">
                <c:v>Proposed 2021</c:v>
              </c:pt>
            </c:strLit>
          </c:cat>
          <c:val>
            <c:numRef>
              <c:f>('Category (2021)'!$Q$9,'Category (2021)'!$J$9,'Category (2021)'!$C$9)</c:f>
              <c:numCache>
                <c:formatCode>"$"#,##0_);\("$"#,##0\)</c:formatCode>
                <c:ptCount val="3"/>
                <c:pt idx="0">
                  <c:v>151400</c:v>
                </c:pt>
                <c:pt idx="1">
                  <c:v>120000</c:v>
                </c:pt>
                <c:pt idx="2">
                  <c:v>90200</c:v>
                </c:pt>
              </c:numCache>
            </c:numRef>
          </c:val>
          <c:extLst>
            <c:ext xmlns:c16="http://schemas.microsoft.com/office/drawing/2014/chart" uri="{C3380CC4-5D6E-409C-BE32-E72D297353CC}">
              <c16:uniqueId val="{00000005-1111-4A7D-A87E-8383EC9E0BC7}"/>
            </c:ext>
          </c:extLst>
        </c:ser>
        <c:ser>
          <c:idx val="3"/>
          <c:order val="6"/>
          <c:tx>
            <c:strRef>
              <c:f>'Category (2021)'!$A$8</c:f>
              <c:strCache>
                <c:ptCount val="1"/>
                <c:pt idx="0">
                  <c:v>Standardization of Technical Analysis</c:v>
                </c:pt>
              </c:strCache>
            </c:strRef>
          </c:tx>
          <c:spPr>
            <a:solidFill>
              <a:schemeClr val="accent4"/>
            </a:solidFill>
            <a:ln>
              <a:noFill/>
            </a:ln>
            <a:effectLst/>
          </c:spPr>
          <c:invertIfNegative val="0"/>
          <c:cat>
            <c:strLit>
              <c:ptCount val="3"/>
              <c:pt idx="0">
                <c:v>2019</c:v>
              </c:pt>
              <c:pt idx="1">
                <c:v>2020</c:v>
              </c:pt>
              <c:pt idx="2">
                <c:v>Proposed 2021</c:v>
              </c:pt>
            </c:strLit>
          </c:cat>
          <c:val>
            <c:numRef>
              <c:f>('Category (2021)'!$Q$8,'Category (2021)'!$J$8,'Category (2021)'!$C$8)</c:f>
              <c:numCache>
                <c:formatCode>"$"#,##0_);\("$"#,##0\)</c:formatCode>
                <c:ptCount val="3"/>
                <c:pt idx="0">
                  <c:v>210000</c:v>
                </c:pt>
                <c:pt idx="1">
                  <c:v>230000</c:v>
                </c:pt>
                <c:pt idx="2">
                  <c:v>185000</c:v>
                </c:pt>
              </c:numCache>
            </c:numRef>
          </c:val>
          <c:extLst>
            <c:ext xmlns:c16="http://schemas.microsoft.com/office/drawing/2014/chart" uri="{C3380CC4-5D6E-409C-BE32-E72D297353CC}">
              <c16:uniqueId val="{00000006-1111-4A7D-A87E-8383EC9E0BC7}"/>
            </c:ext>
          </c:extLst>
        </c:ser>
        <c:ser>
          <c:idx val="2"/>
          <c:order val="7"/>
          <c:tx>
            <c:strRef>
              <c:f>'Category (2021)'!$A$7</c:f>
              <c:strCache>
                <c:ptCount val="1"/>
                <c:pt idx="0">
                  <c:v>New Measure Development</c:v>
                </c:pt>
              </c:strCache>
            </c:strRef>
          </c:tx>
          <c:spPr>
            <a:solidFill>
              <a:schemeClr val="accent3"/>
            </a:solidFill>
            <a:ln>
              <a:noFill/>
            </a:ln>
            <a:effectLst/>
          </c:spPr>
          <c:invertIfNegative val="0"/>
          <c:cat>
            <c:strLit>
              <c:ptCount val="3"/>
              <c:pt idx="0">
                <c:v>2019</c:v>
              </c:pt>
              <c:pt idx="1">
                <c:v>2020</c:v>
              </c:pt>
              <c:pt idx="2">
                <c:v>Proposed 2021</c:v>
              </c:pt>
            </c:strLit>
          </c:cat>
          <c:val>
            <c:numRef>
              <c:f>('Category (2021)'!$Q$7,'Category (2021)'!$J$7,'Category (2021)'!$C$7)</c:f>
              <c:numCache>
                <c:formatCode>"$"#,##0_);\("$"#,##0\)</c:formatCode>
                <c:ptCount val="3"/>
                <c:pt idx="0">
                  <c:v>223000</c:v>
                </c:pt>
                <c:pt idx="1">
                  <c:v>220000</c:v>
                </c:pt>
                <c:pt idx="2">
                  <c:v>276600</c:v>
                </c:pt>
              </c:numCache>
            </c:numRef>
          </c:val>
          <c:extLst>
            <c:ext xmlns:c16="http://schemas.microsoft.com/office/drawing/2014/chart" uri="{C3380CC4-5D6E-409C-BE32-E72D297353CC}">
              <c16:uniqueId val="{00000007-1111-4A7D-A87E-8383EC9E0BC7}"/>
            </c:ext>
          </c:extLst>
        </c:ser>
        <c:ser>
          <c:idx val="1"/>
          <c:order val="8"/>
          <c:tx>
            <c:strRef>
              <c:f>'Category (2021)'!$A$6</c:f>
              <c:strCache>
                <c:ptCount val="1"/>
                <c:pt idx="0">
                  <c:v>Existing Measure Maintenance</c:v>
                </c:pt>
              </c:strCache>
            </c:strRef>
          </c:tx>
          <c:spPr>
            <a:solidFill>
              <a:schemeClr val="accent2"/>
            </a:solidFill>
            <a:ln>
              <a:noFill/>
            </a:ln>
            <a:effectLst/>
          </c:spPr>
          <c:invertIfNegative val="0"/>
          <c:cat>
            <c:strLit>
              <c:ptCount val="3"/>
              <c:pt idx="0">
                <c:v>2019</c:v>
              </c:pt>
              <c:pt idx="1">
                <c:v>2020</c:v>
              </c:pt>
              <c:pt idx="2">
                <c:v>Proposed 2021</c:v>
              </c:pt>
            </c:strLit>
          </c:cat>
          <c:val>
            <c:numRef>
              <c:f>('Category (2021)'!$Q$6,'Category (2021)'!$J$6,'Category (2021)'!$C$6)</c:f>
              <c:numCache>
                <c:formatCode>"$"#,##0_);\("$"#,##0\)</c:formatCode>
                <c:ptCount val="3"/>
                <c:pt idx="0">
                  <c:v>292000</c:v>
                </c:pt>
                <c:pt idx="1">
                  <c:v>345000</c:v>
                </c:pt>
                <c:pt idx="2">
                  <c:v>431200</c:v>
                </c:pt>
              </c:numCache>
            </c:numRef>
          </c:val>
          <c:extLst>
            <c:ext xmlns:c16="http://schemas.microsoft.com/office/drawing/2014/chart" uri="{C3380CC4-5D6E-409C-BE32-E72D297353CC}">
              <c16:uniqueId val="{00000008-1111-4A7D-A87E-8383EC9E0BC7}"/>
            </c:ext>
          </c:extLst>
        </c:ser>
        <c:dLbls>
          <c:showLegendKey val="0"/>
          <c:showVal val="0"/>
          <c:showCatName val="0"/>
          <c:showSerName val="0"/>
          <c:showPercent val="0"/>
          <c:showBubbleSize val="0"/>
        </c:dLbls>
        <c:gapWidth val="55"/>
        <c:overlap val="100"/>
        <c:axId val="783192104"/>
        <c:axId val="783192432"/>
      </c:barChart>
      <c:catAx>
        <c:axId val="78319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783192432"/>
        <c:crosses val="autoZero"/>
        <c:auto val="1"/>
        <c:lblAlgn val="ctr"/>
        <c:lblOffset val="100"/>
        <c:noMultiLvlLbl val="0"/>
      </c:catAx>
      <c:valAx>
        <c:axId val="7831924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831921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v>2018</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8FA-40B6-B6EE-6FABD90CD1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8FA-40B6-B6EE-6FABD90CD1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26DE-4D20-BCEA-7FCB3FC2ADE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8FA-40B6-B6EE-6FABD90CD1BE}"/>
              </c:ext>
            </c:extLst>
          </c:dPt>
          <c:dLbls>
            <c:dLbl>
              <c:idx val="2"/>
              <c:delete val="1"/>
              <c:extLst>
                <c:ext xmlns:c15="http://schemas.microsoft.com/office/drawing/2012/chart" uri="{CE6537A1-D6FC-4f65-9D91-7224C49458BB}"/>
                <c:ext xmlns:c16="http://schemas.microsoft.com/office/drawing/2014/chart" uri="{C3380CC4-5D6E-409C-BE32-E72D297353CC}">
                  <c16:uniqueId val="{00000001-26DE-4D20-BCEA-7FCB3FC2ADEE}"/>
                </c:ext>
              </c:extLst>
            </c:dLbl>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'Category (2021)'!$W$6:$W$9</c:f>
              <c:strCache>
                <c:ptCount val="4"/>
                <c:pt idx="0">
                  <c:v>Technical Analysis</c:v>
                </c:pt>
                <c:pt idx="1">
                  <c:v>Tool Development and Regional Coordination </c:v>
                </c:pt>
                <c:pt idx="2">
                  <c:v>Demand Response</c:v>
                </c:pt>
                <c:pt idx="3">
                  <c:v>Administration</c:v>
                </c:pt>
              </c:strCache>
            </c:strRef>
          </c:cat>
          <c:val>
            <c:numRef>
              <c:f>'Category (2021)'!$AB$6:$AB$9</c:f>
              <c:numCache>
                <c:formatCode>0%</c:formatCode>
                <c:ptCount val="4"/>
                <c:pt idx="0">
                  <c:v>0.46581697952218432</c:v>
                </c:pt>
                <c:pt idx="1">
                  <c:v>0.21938993174061433</c:v>
                </c:pt>
                <c:pt idx="2">
                  <c:v>4.9594709897610924E-2</c:v>
                </c:pt>
                <c:pt idx="3">
                  <c:v>0.26519837883959047</c:v>
                </c:pt>
              </c:numCache>
            </c:numRef>
          </c:val>
          <c:extLst>
            <c:ext xmlns:c16="http://schemas.microsoft.com/office/drawing/2014/chart" uri="{C3380CC4-5D6E-409C-BE32-E72D297353CC}">
              <c16:uniqueId val="{00000000-26DE-4D20-BCEA-7FCB3FC2ADEE}"/>
            </c:ext>
          </c:extLst>
        </c:ser>
        <c:dLbls>
          <c:dLblPos val="ctr"/>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v>2019</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019-4A4D-8139-4A31CA530A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019-4A4D-8139-4A31CA530A0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272D-4520-AA27-26E1AA03FD6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019-4A4D-8139-4A31CA530A07}"/>
              </c:ext>
            </c:extLst>
          </c:dPt>
          <c:dLbls>
            <c:dLbl>
              <c:idx val="2"/>
              <c:layout>
                <c:manualLayout>
                  <c:x val="7.7175196850393646E-2"/>
                  <c:y val="-3.417723826188410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2D-4520-AA27-26E1AA03FD6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'Category (2021)'!$W$6:$W$9</c:f>
              <c:strCache>
                <c:ptCount val="4"/>
                <c:pt idx="0">
                  <c:v>Technical Analysis</c:v>
                </c:pt>
                <c:pt idx="1">
                  <c:v>Tool Development and Regional Coordination </c:v>
                </c:pt>
                <c:pt idx="2">
                  <c:v>Demand Response</c:v>
                </c:pt>
                <c:pt idx="3">
                  <c:v>Administration</c:v>
                </c:pt>
              </c:strCache>
            </c:strRef>
          </c:cat>
          <c:val>
            <c:numRef>
              <c:f>'Category (2021)'!$AG$6:$AG$9</c:f>
              <c:numCache>
                <c:formatCode>0%</c:formatCode>
                <c:ptCount val="4"/>
                <c:pt idx="0">
                  <c:v>0.53944444444444439</c:v>
                </c:pt>
                <c:pt idx="1">
                  <c:v>0.15277777777777779</c:v>
                </c:pt>
                <c:pt idx="2">
                  <c:v>2.7777777777777776E-2</c:v>
                </c:pt>
                <c:pt idx="3">
                  <c:v>0.28000000000000003</c:v>
                </c:pt>
              </c:numCache>
            </c:numRef>
          </c:val>
          <c:extLst>
            <c:ext xmlns:c16="http://schemas.microsoft.com/office/drawing/2014/chart" uri="{C3380CC4-5D6E-409C-BE32-E72D297353CC}">
              <c16:uniqueId val="{00000000-272D-4520-AA27-26E1AA03FD6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Proposed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tx>
            <c:v>Proposed 2020</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20A-47D8-A76E-825851EADFE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20A-47D8-A76E-825851EADFE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1B69-49CB-AE33-22F9FE8F4F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20A-47D8-A76E-825851EADFEE}"/>
              </c:ext>
            </c:extLst>
          </c:dPt>
          <c:dLbls>
            <c:dLbl>
              <c:idx val="2"/>
              <c:layout>
                <c:manualLayout>
                  <c:x val="-2.5424385588165115E-2"/>
                  <c:y val="-7.430200291755869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69-49CB-AE33-22F9FE8F4F50}"/>
                </c:ext>
              </c:extLst>
            </c:dLbl>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'Category (2021)'!$W$6:$W$9</c:f>
              <c:strCache>
                <c:ptCount val="4"/>
                <c:pt idx="0">
                  <c:v>Technical Analysis</c:v>
                </c:pt>
                <c:pt idx="1">
                  <c:v>Tool Development and Regional Coordination </c:v>
                </c:pt>
                <c:pt idx="2">
                  <c:v>Demand Response</c:v>
                </c:pt>
                <c:pt idx="3">
                  <c:v>Administration</c:v>
                </c:pt>
              </c:strCache>
            </c:strRef>
          </c:cat>
          <c:val>
            <c:numRef>
              <c:f>'Category (2021)'!$AL$6:$AL$9</c:f>
              <c:numCache>
                <c:formatCode>0%</c:formatCode>
                <c:ptCount val="4"/>
                <c:pt idx="0">
                  <c:v>0.55495000000000005</c:v>
                </c:pt>
                <c:pt idx="1">
                  <c:v>0.18659999999999999</c:v>
                </c:pt>
                <c:pt idx="2">
                  <c:v>2.5700000000000001E-2</c:v>
                </c:pt>
                <c:pt idx="3">
                  <c:v>0.23275000000000001</c:v>
                </c:pt>
              </c:numCache>
            </c:numRef>
          </c:val>
          <c:extLst>
            <c:ext xmlns:c16="http://schemas.microsoft.com/office/drawing/2014/chart" uri="{C3380CC4-5D6E-409C-BE32-E72D297353CC}">
              <c16:uniqueId val="{00000000-1B69-49CB-AE33-22F9FE8F4F50}"/>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27214</xdr:colOff>
      <xdr:row>161</xdr:row>
      <xdr:rowOff>163286</xdr:rowOff>
    </xdr:from>
    <xdr:to>
      <xdr:col>12</xdr:col>
      <xdr:colOff>569179</xdr:colOff>
      <xdr:row>196</xdr:row>
      <xdr:rowOff>1361</xdr:rowOff>
    </xdr:to>
    <xdr:graphicFrame macro="">
      <xdr:nvGraphicFramePr>
        <xdr:cNvPr id="10" name="Chart 9">
          <a:extLst>
            <a:ext uri="{FF2B5EF4-FFF2-40B4-BE49-F238E27FC236}">
              <a16:creationId xmlns:a16="http://schemas.microsoft.com/office/drawing/2014/main" id="{8B2CD868-B993-4787-A589-90AF21367A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198</xdr:row>
      <xdr:rowOff>0</xdr:rowOff>
    </xdr:from>
    <xdr:to>
      <xdr:col>13</xdr:col>
      <xdr:colOff>1682</xdr:colOff>
      <xdr:row>232</xdr:row>
      <xdr:rowOff>28575</xdr:rowOff>
    </xdr:to>
    <xdr:graphicFrame macro="">
      <xdr:nvGraphicFramePr>
        <xdr:cNvPr id="11" name="Chart 10">
          <a:extLst>
            <a:ext uri="{FF2B5EF4-FFF2-40B4-BE49-F238E27FC236}">
              <a16:creationId xmlns:a16="http://schemas.microsoft.com/office/drawing/2014/main" id="{6064524B-D362-46FF-A14B-9170F89F9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233</xdr:row>
      <xdr:rowOff>0</xdr:rowOff>
    </xdr:from>
    <xdr:to>
      <xdr:col>13</xdr:col>
      <xdr:colOff>1682</xdr:colOff>
      <xdr:row>267</xdr:row>
      <xdr:rowOff>28575</xdr:rowOff>
    </xdr:to>
    <xdr:graphicFrame macro="">
      <xdr:nvGraphicFramePr>
        <xdr:cNvPr id="12" name="Chart 11">
          <a:extLst>
            <a:ext uri="{FF2B5EF4-FFF2-40B4-BE49-F238E27FC236}">
              <a16:creationId xmlns:a16="http://schemas.microsoft.com/office/drawing/2014/main" id="{FA7A5754-6E25-4A82-BEDE-106A8B88B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95249</xdr:colOff>
      <xdr:row>16</xdr:row>
      <xdr:rowOff>42861</xdr:rowOff>
    </xdr:from>
    <xdr:to>
      <xdr:col>10</xdr:col>
      <xdr:colOff>200025</xdr:colOff>
      <xdr:row>45</xdr:row>
      <xdr:rowOff>76199</xdr:rowOff>
    </xdr:to>
    <xdr:graphicFrame macro="">
      <xdr:nvGraphicFramePr>
        <xdr:cNvPr id="13" name="Chart 12">
          <a:extLst>
            <a:ext uri="{FF2B5EF4-FFF2-40B4-BE49-F238E27FC236}">
              <a16:creationId xmlns:a16="http://schemas.microsoft.com/office/drawing/2014/main" id="{473DBDB6-3B6E-410D-82AA-D34074D7D1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114300</xdr:colOff>
      <xdr:row>47</xdr:row>
      <xdr:rowOff>47625</xdr:rowOff>
    </xdr:from>
    <xdr:to>
      <xdr:col>10</xdr:col>
      <xdr:colOff>219076</xdr:colOff>
      <xdr:row>76</xdr:row>
      <xdr:rowOff>80963</xdr:rowOff>
    </xdr:to>
    <xdr:graphicFrame macro="">
      <xdr:nvGraphicFramePr>
        <xdr:cNvPr id="15" name="Chart 14">
          <a:extLst>
            <a:ext uri="{FF2B5EF4-FFF2-40B4-BE49-F238E27FC236}">
              <a16:creationId xmlns:a16="http://schemas.microsoft.com/office/drawing/2014/main" id="{9DF4C644-745E-4CFC-AE13-35E6C9D6A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180975</xdr:colOff>
      <xdr:row>78</xdr:row>
      <xdr:rowOff>9525</xdr:rowOff>
    </xdr:from>
    <xdr:to>
      <xdr:col>10</xdr:col>
      <xdr:colOff>285751</xdr:colOff>
      <xdr:row>107</xdr:row>
      <xdr:rowOff>42863</xdr:rowOff>
    </xdr:to>
    <xdr:graphicFrame macro="">
      <xdr:nvGraphicFramePr>
        <xdr:cNvPr id="16" name="Chart 15">
          <a:extLst>
            <a:ext uri="{FF2B5EF4-FFF2-40B4-BE49-F238E27FC236}">
              <a16:creationId xmlns:a16="http://schemas.microsoft.com/office/drawing/2014/main" id="{6792626A-9528-432A-9987-A4D29A4D2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9525</xdr:colOff>
      <xdr:row>10</xdr:row>
      <xdr:rowOff>147637</xdr:rowOff>
    </xdr:from>
    <xdr:to>
      <xdr:col>27</xdr:col>
      <xdr:colOff>28575</xdr:colOff>
      <xdr:row>17</xdr:row>
      <xdr:rowOff>109537</xdr:rowOff>
    </xdr:to>
    <xdr:graphicFrame macro="">
      <xdr:nvGraphicFramePr>
        <xdr:cNvPr id="19" name="Chart 18">
          <a:extLst>
            <a:ext uri="{FF2B5EF4-FFF2-40B4-BE49-F238E27FC236}">
              <a16:creationId xmlns:a16="http://schemas.microsoft.com/office/drawing/2014/main" id="{CFE1A25E-FAE9-45BC-BA3F-F962DB3497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152400</xdr:colOff>
      <xdr:row>10</xdr:row>
      <xdr:rowOff>128587</xdr:rowOff>
    </xdr:from>
    <xdr:to>
      <xdr:col>32</xdr:col>
      <xdr:colOff>438150</xdr:colOff>
      <xdr:row>17</xdr:row>
      <xdr:rowOff>90487</xdr:rowOff>
    </xdr:to>
    <xdr:graphicFrame macro="">
      <xdr:nvGraphicFramePr>
        <xdr:cNvPr id="20" name="Chart 19">
          <a:extLst>
            <a:ext uri="{FF2B5EF4-FFF2-40B4-BE49-F238E27FC236}">
              <a16:creationId xmlns:a16="http://schemas.microsoft.com/office/drawing/2014/main" id="{21FA0B5C-119C-4B58-903F-FD4A5549E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32</xdr:col>
      <xdr:colOff>581025</xdr:colOff>
      <xdr:row>10</xdr:row>
      <xdr:rowOff>119061</xdr:rowOff>
    </xdr:from>
    <xdr:to>
      <xdr:col>38</xdr:col>
      <xdr:colOff>828675</xdr:colOff>
      <xdr:row>22</xdr:row>
      <xdr:rowOff>152399</xdr:rowOff>
    </xdr:to>
    <xdr:graphicFrame macro="">
      <xdr:nvGraphicFramePr>
        <xdr:cNvPr id="21" name="Chart 20">
          <a:extLst>
            <a:ext uri="{FF2B5EF4-FFF2-40B4-BE49-F238E27FC236}">
              <a16:creationId xmlns:a16="http://schemas.microsoft.com/office/drawing/2014/main" id="{950D4527-D129-4810-B1F7-4748411058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590549</xdr:colOff>
      <xdr:row>47</xdr:row>
      <xdr:rowOff>61911</xdr:rowOff>
    </xdr:from>
    <xdr:to>
      <xdr:col>19</xdr:col>
      <xdr:colOff>133350</xdr:colOff>
      <xdr:row>76</xdr:row>
      <xdr:rowOff>76199</xdr:rowOff>
    </xdr:to>
    <xdr:graphicFrame macro="">
      <xdr:nvGraphicFramePr>
        <xdr:cNvPr id="2" name="Chart 1">
          <a:extLst>
            <a:ext uri="{FF2B5EF4-FFF2-40B4-BE49-F238E27FC236}">
              <a16:creationId xmlns:a16="http://schemas.microsoft.com/office/drawing/2014/main" id="{70A55CE1-70A3-442B-8D16-09C1E4B408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16</xdr:row>
      <xdr:rowOff>176211</xdr:rowOff>
    </xdr:from>
    <xdr:to>
      <xdr:col>13</xdr:col>
      <xdr:colOff>800100</xdr:colOff>
      <xdr:row>29</xdr:row>
      <xdr:rowOff>114299</xdr:rowOff>
    </xdr:to>
    <xdr:graphicFrame macro="">
      <xdr:nvGraphicFramePr>
        <xdr:cNvPr id="2" name="Chart 1">
          <a:extLst>
            <a:ext uri="{FF2B5EF4-FFF2-40B4-BE49-F238E27FC236}">
              <a16:creationId xmlns:a16="http://schemas.microsoft.com/office/drawing/2014/main" id="{B17EB944-8150-4271-B040-812F2766C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133350</xdr:colOff>
      <xdr:row>31</xdr:row>
      <xdr:rowOff>85725</xdr:rowOff>
    </xdr:from>
    <xdr:to>
      <xdr:col>13</xdr:col>
      <xdr:colOff>819150</xdr:colOff>
      <xdr:row>46</xdr:row>
      <xdr:rowOff>23813</xdr:rowOff>
    </xdr:to>
    <xdr:graphicFrame macro="">
      <xdr:nvGraphicFramePr>
        <xdr:cNvPr id="3" name="Chart 2">
          <a:extLst>
            <a:ext uri="{FF2B5EF4-FFF2-40B4-BE49-F238E27FC236}">
              <a16:creationId xmlns:a16="http://schemas.microsoft.com/office/drawing/2014/main" id="{38684753-29C3-499F-A105-BAB06C192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133350</xdr:colOff>
      <xdr:row>47</xdr:row>
      <xdr:rowOff>14287</xdr:rowOff>
    </xdr:from>
    <xdr:to>
      <xdr:col>13</xdr:col>
      <xdr:colOff>828675</xdr:colOff>
      <xdr:row>60</xdr:row>
      <xdr:rowOff>195262</xdr:rowOff>
    </xdr:to>
    <xdr:graphicFrame macro="">
      <xdr:nvGraphicFramePr>
        <xdr:cNvPr id="4" name="Chart 3">
          <a:extLst>
            <a:ext uri="{FF2B5EF4-FFF2-40B4-BE49-F238E27FC236}">
              <a16:creationId xmlns:a16="http://schemas.microsoft.com/office/drawing/2014/main" id="{6DFD1AAD-1D38-4213-A968-350FA958E0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9525</xdr:colOff>
      <xdr:row>17</xdr:row>
      <xdr:rowOff>9524</xdr:rowOff>
    </xdr:from>
    <xdr:to>
      <xdr:col>20</xdr:col>
      <xdr:colOff>704850</xdr:colOff>
      <xdr:row>29</xdr:row>
      <xdr:rowOff>152399</xdr:rowOff>
    </xdr:to>
    <xdr:graphicFrame macro="">
      <xdr:nvGraphicFramePr>
        <xdr:cNvPr id="5" name="Chart 4">
          <a:extLst>
            <a:ext uri="{FF2B5EF4-FFF2-40B4-BE49-F238E27FC236}">
              <a16:creationId xmlns:a16="http://schemas.microsoft.com/office/drawing/2014/main" id="{EF2E3694-C692-4692-8812-7849BCE6E5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275167</xdr:colOff>
      <xdr:row>85</xdr:row>
      <xdr:rowOff>148166</xdr:rowOff>
    </xdr:from>
    <xdr:to>
      <xdr:col>4</xdr:col>
      <xdr:colOff>370418</xdr:colOff>
      <xdr:row>110</xdr:row>
      <xdr:rowOff>194717</xdr:rowOff>
    </xdr:to>
    <xdr:pic>
      <xdr:nvPicPr>
        <xdr:cNvPr id="2" name="Picture 1">
          <a:extLst>
            <a:ext uri="{FF2B5EF4-FFF2-40B4-BE49-F238E27FC236}">
              <a16:creationId xmlns:a16="http://schemas.microsoft.com/office/drawing/2014/main" id="{47DBD01C-5659-4528-BEFB-560D19478C1D}"/>
            </a:ext>
          </a:extLst>
        </xdr:cNvPr>
        <xdr:cNvPicPr>
          <a:picLocks noChangeAspect="1"/>
        </xdr:cNvPicPr>
      </xdr:nvPicPr>
      <xdr:blipFill>
        <a:blip xmlns:r="http://schemas.openxmlformats.org/officeDocument/2006/relationships" r:embed="rId1"/>
        <a:stretch>
          <a:fillRect/>
        </a:stretch>
      </xdr:blipFill>
      <xdr:spPr>
        <a:xfrm>
          <a:off x="275167" y="18033999"/>
          <a:ext cx="8233834" cy="5073635"/>
        </a:xfrm>
        <a:prstGeom prst="rect">
          <a:avLst/>
        </a:prstGeom>
        <a:ln>
          <a:solidFill>
            <a:schemeClr val="tx2"/>
          </a:solidFill>
        </a:ln>
        <a:effectLst>
          <a:outerShdw blurRad="50800" dist="38100" dir="2700000" algn="tl" rotWithShape="0">
            <a:prstClr val="black">
              <a:alpha val="40000"/>
            </a:prstClr>
          </a:outerShdw>
        </a:effectLst>
      </xdr:spPr>
    </xdr:pic>
    <xdr:clientData/>
  </xdr:twoCellAnchor>
  <xdr:twoCellAnchor editAs="oneCell">
    <xdr:from>
      <xdr:col>0</xdr:col>
      <xdr:colOff>317500</xdr:colOff>
      <xdr:row>112</xdr:row>
      <xdr:rowOff>31751</xdr:rowOff>
    </xdr:from>
    <xdr:to>
      <xdr:col>3</xdr:col>
      <xdr:colOff>366142</xdr:colOff>
      <xdr:row>127</xdr:row>
      <xdr:rowOff>187769</xdr:rowOff>
    </xdr:to>
    <xdr:pic>
      <xdr:nvPicPr>
        <xdr:cNvPr id="5" name="Picture 4">
          <a:extLst>
            <a:ext uri="{FF2B5EF4-FFF2-40B4-BE49-F238E27FC236}">
              <a16:creationId xmlns:a16="http://schemas.microsoft.com/office/drawing/2014/main" id="{9079FDC5-DC51-4CA9-AF62-64389B09F6CE}"/>
            </a:ext>
          </a:extLst>
        </xdr:cNvPr>
        <xdr:cNvPicPr>
          <a:picLocks noChangeAspect="1"/>
        </xdr:cNvPicPr>
      </xdr:nvPicPr>
      <xdr:blipFill>
        <a:blip xmlns:r="http://schemas.openxmlformats.org/officeDocument/2006/relationships" r:embed="rId2"/>
        <a:stretch>
          <a:fillRect/>
        </a:stretch>
      </xdr:blipFill>
      <xdr:spPr>
        <a:xfrm>
          <a:off x="317500" y="23346834"/>
          <a:ext cx="7287642" cy="3172268"/>
        </a:xfrm>
        <a:prstGeom prst="rect">
          <a:avLst/>
        </a:prstGeom>
        <a:ln>
          <a:solidFill>
            <a:schemeClr val="tx2"/>
          </a:solidFill>
        </a:ln>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TF/Administrative/Accounting/2020+/051719DraftFundingLevels-A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TF/Administrative/Accounting/2020/RTF2020accoun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Analysis"/>
      <sheetName val="Table of Contents"/>
      <sheetName val="Category (2020)"/>
      <sheetName val="Category Detail (ALL)"/>
      <sheetName val="Combined 2020-2024"/>
      <sheetName val="Category 2020-2024 (ELECTRIC)"/>
      <sheetName val="Category 2020-2024 (GAS)"/>
      <sheetName val="Funding Shares (Combined)"/>
      <sheetName val="Measure Analysis"/>
      <sheetName val="Analytical Support (Tools, etc)"/>
      <sheetName val="NPCC In Kind"/>
      <sheetName val="Measure Timing"/>
      <sheetName val="Typical Rates"/>
    </sheetNames>
    <sheetDataSet>
      <sheetData sheetId="0" refreshError="1"/>
      <sheetData sheetId="1" refreshError="1"/>
      <sheetData sheetId="2">
        <row r="6">
          <cell r="B6" t="str">
            <v>Existing Measure Review &amp; Updates</v>
          </cell>
          <cell r="C6">
            <v>92000</v>
          </cell>
          <cell r="D6">
            <v>345000</v>
          </cell>
          <cell r="J6">
            <v>84000</v>
          </cell>
          <cell r="K6">
            <v>292000</v>
          </cell>
        </row>
        <row r="7">
          <cell r="C7">
            <v>44000</v>
          </cell>
          <cell r="D7">
            <v>220000</v>
          </cell>
          <cell r="J7">
            <v>41000</v>
          </cell>
          <cell r="K7">
            <v>223000</v>
          </cell>
        </row>
        <row r="8">
          <cell r="B8" t="str">
            <v>Standardization of Technical Analysis</v>
          </cell>
          <cell r="C8">
            <v>40000</v>
          </cell>
          <cell r="D8">
            <v>230000</v>
          </cell>
          <cell r="J8">
            <v>23500</v>
          </cell>
          <cell r="K8">
            <v>210000</v>
          </cell>
        </row>
        <row r="9">
          <cell r="B9" t="str">
            <v>Tool Development</v>
          </cell>
          <cell r="C9">
            <v>0</v>
          </cell>
          <cell r="D9">
            <v>120000</v>
          </cell>
          <cell r="J9">
            <v>130000</v>
          </cell>
          <cell r="K9">
            <v>151400</v>
          </cell>
        </row>
        <row r="10">
          <cell r="B10" t="str">
            <v>Regional Coordination</v>
          </cell>
          <cell r="F10">
            <v>155000</v>
          </cell>
          <cell r="M10">
            <v>130000</v>
          </cell>
        </row>
        <row r="11">
          <cell r="C11">
            <v>40000</v>
          </cell>
          <cell r="D11">
            <v>10000</v>
          </cell>
          <cell r="J11">
            <v>0</v>
          </cell>
          <cell r="K11">
            <v>93000</v>
          </cell>
        </row>
        <row r="12">
          <cell r="C12">
            <v>50000</v>
          </cell>
          <cell r="D12">
            <v>0</v>
          </cell>
          <cell r="J12">
            <v>60000</v>
          </cell>
          <cell r="K12">
            <v>5000</v>
          </cell>
        </row>
        <row r="13">
          <cell r="C13">
            <v>163000</v>
          </cell>
          <cell r="D13">
            <v>113000</v>
          </cell>
          <cell r="J13">
            <v>182000</v>
          </cell>
          <cell r="K13">
            <v>90000</v>
          </cell>
        </row>
        <row r="14">
          <cell r="B14" t="str">
            <v>RTF Management</v>
          </cell>
          <cell r="C14">
            <v>4000</v>
          </cell>
          <cell r="E14">
            <v>174000</v>
          </cell>
          <cell r="J14">
            <v>3300</v>
          </cell>
          <cell r="L14">
            <v>157000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gory 2020 and Look-Back"/>
      <sheetName val="2020-2024 Proposal"/>
      <sheetName val="Category Detail 2020"/>
      <sheetName val="Long-Term Tracking"/>
      <sheetName val="2020 Allocation Detail"/>
      <sheetName val="2020 Allocation Summary"/>
      <sheetName val="Funding"/>
      <sheetName val="Contracts"/>
      <sheetName val="Monthly Rec"/>
      <sheetName val="Light"/>
      <sheetName val="Douglass"/>
      <sheetName val="Firestone"/>
      <sheetName val="Rushton"/>
      <sheetName val="Brown"/>
      <sheetName val="Sklar"/>
      <sheetName val="Hadley"/>
      <sheetName val="QAQC"/>
      <sheetName val="Apex-Guidelines"/>
      <sheetName val="Milshtein"/>
      <sheetName val="RCP"/>
      <sheetName val="Misc Purchases"/>
      <sheetName val="SBW-CCS"/>
      <sheetName val="Cadeo"/>
      <sheetName val="Members"/>
      <sheetName val="Baylon"/>
      <sheetName val="Blanton"/>
      <sheetName val="Chhabra"/>
      <sheetName val="Davis"/>
      <sheetName val="Gage"/>
      <sheetName val="Geraghty"/>
      <sheetName val="Grist"/>
      <sheetName val="Knori"/>
      <sheetName val="E Miller"/>
      <sheetName val="Parker"/>
      <sheetName val="Read"/>
      <sheetName val="Welch"/>
      <sheetName val="Widder"/>
      <sheetName val="Woodward"/>
    </sheetNames>
    <sheetDataSet>
      <sheetData sheetId="0"/>
      <sheetData sheetId="1"/>
      <sheetData sheetId="2"/>
      <sheetData sheetId="3">
        <row r="6">
          <cell r="AD6">
            <v>722762.3899999999</v>
          </cell>
        </row>
        <row r="7">
          <cell r="AD7">
            <v>187443.93</v>
          </cell>
        </row>
      </sheetData>
      <sheetData sheetId="4"/>
      <sheetData sheetId="5"/>
      <sheetData sheetId="6"/>
      <sheetData sheetId="7">
        <row r="32">
          <cell r="F32">
            <v>910206.31999999983</v>
          </cell>
        </row>
        <row r="34">
          <cell r="M34">
            <v>88356.54</v>
          </cell>
        </row>
        <row r="36">
          <cell r="G36">
            <v>889793.68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persons/person.xml><?xml version="1.0" encoding="utf-8"?>
<personList xmlns="http://schemas.microsoft.com/office/spreadsheetml/2018/threadedcomments" xmlns:x="http://schemas.openxmlformats.org/spreadsheetml/2006/main">
  <person displayName="Jennifer Light" id="{E42D101D-B13C-45E7-A19E-F370A5264F09}" userId="S::JLight@NWCouncil.org::1b991fe9-3e4f-43b1-8bdf-ac1cf1167d2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0-08-21T21:12:21.78" personId="{E42D101D-B13C-45E7-A19E-F370A5264F09}" id="{F643838C-FB0A-49BD-A710-42B37803EB5D}">
    <text>This includes $15k in rollover funds.</text>
  </threadedComment>
  <threadedComment ref="B18" dT="2020-08-21T21:15:51.44" personId="{E42D101D-B13C-45E7-A19E-F370A5264F09}" id="{7C5212F1-5EB4-48FA-BC28-29D214B0FD71}">
    <text>This includes $15k in rollover funds.</text>
  </threadedComment>
  <threadedComment ref="B39" dT="2020-08-21T21:14:26.57" personId="{E42D101D-B13C-45E7-A19E-F370A5264F09}" id="{6F18E7E2-7B33-4C64-86E5-D072ADEB2015}">
    <text>This assumes $25k in rollover funds.</text>
  </threadedComment>
  <threadedComment ref="B43" dT="2020-08-21T21:18:36.57" personId="{E42D101D-B13C-45E7-A19E-F370A5264F09}" id="{5903914D-6C8A-40D1-80EF-CD5F8BDC44DE}">
    <text>Uses $100k in carryover funds from early years to accelerate this work.</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718BC-6E90-4560-973D-B3C17577DD95}">
  <dimension ref="A1:B13"/>
  <sheetViews>
    <sheetView tabSelected="1" workbookViewId="0">
      <selection activeCell="B1" sqref="B1"/>
    </sheetView>
  </sheetViews>
  <sheetFormatPr defaultRowHeight="15.75" x14ac:dyDescent="0.25"/>
  <cols>
    <col min="1" max="1" width="26" style="1" customWidth="1"/>
    <col min="2" max="2" width="92.140625" style="1" customWidth="1"/>
    <col min="3" max="16384" width="9.140625" style="1"/>
  </cols>
  <sheetData>
    <row r="1" spans="1:2" ht="18.75" x14ac:dyDescent="0.3">
      <c r="A1" s="2" t="s">
        <v>64</v>
      </c>
    </row>
    <row r="2" spans="1:2" x14ac:dyDescent="0.25">
      <c r="A2" s="3" t="s">
        <v>305</v>
      </c>
    </row>
    <row r="4" spans="1:2" x14ac:dyDescent="0.25">
      <c r="A4" s="305" t="s">
        <v>177</v>
      </c>
      <c r="B4" s="305" t="s">
        <v>83</v>
      </c>
    </row>
    <row r="5" spans="1:2" x14ac:dyDescent="0.25">
      <c r="A5" s="306" t="s">
        <v>64</v>
      </c>
      <c r="B5" s="307"/>
    </row>
    <row r="6" spans="1:2" ht="63" x14ac:dyDescent="0.25">
      <c r="A6" s="306" t="s">
        <v>206</v>
      </c>
      <c r="B6" s="308" t="s">
        <v>207</v>
      </c>
    </row>
    <row r="7" spans="1:2" ht="31.5" x14ac:dyDescent="0.25">
      <c r="A7" s="306" t="s">
        <v>208</v>
      </c>
      <c r="B7" s="308" t="s">
        <v>209</v>
      </c>
    </row>
    <row r="8" spans="1:2" ht="47.25" x14ac:dyDescent="0.25">
      <c r="A8" s="306" t="s">
        <v>282</v>
      </c>
      <c r="B8" s="308" t="s">
        <v>182</v>
      </c>
    </row>
    <row r="9" spans="1:2" ht="47.25" x14ac:dyDescent="0.25">
      <c r="A9" s="306" t="s">
        <v>180</v>
      </c>
      <c r="B9" s="308" t="s">
        <v>317</v>
      </c>
    </row>
    <row r="10" spans="1:2" ht="31.5" x14ac:dyDescent="0.25">
      <c r="A10" s="306" t="s">
        <v>259</v>
      </c>
      <c r="B10" s="308" t="s">
        <v>260</v>
      </c>
    </row>
    <row r="11" spans="1:2" ht="31.5" x14ac:dyDescent="0.25">
      <c r="A11" s="306" t="s">
        <v>181</v>
      </c>
      <c r="B11" s="308" t="s">
        <v>183</v>
      </c>
    </row>
    <row r="12" spans="1:2" ht="31.5" x14ac:dyDescent="0.25">
      <c r="A12" s="306" t="s">
        <v>178</v>
      </c>
      <c r="B12" s="308" t="s">
        <v>179</v>
      </c>
    </row>
    <row r="13" spans="1:2" ht="31.5" x14ac:dyDescent="0.25">
      <c r="A13" s="306" t="s">
        <v>315</v>
      </c>
      <c r="B13" s="308" t="s">
        <v>316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F9B16-F515-454B-AAC6-9D1A504902CF}">
  <dimension ref="A1:BL128"/>
  <sheetViews>
    <sheetView workbookViewId="0">
      <selection activeCell="E1" sqref="E1"/>
    </sheetView>
  </sheetViews>
  <sheetFormatPr defaultColWidth="8.85546875" defaultRowHeight="12.75" x14ac:dyDescent="0.2"/>
  <cols>
    <col min="1" max="1" width="52.7109375" customWidth="1"/>
    <col min="2" max="6" width="14.28515625" customWidth="1"/>
    <col min="7" max="7" width="10.7109375" bestFit="1" customWidth="1"/>
    <col min="8" max="8" width="12.28515625" bestFit="1" customWidth="1"/>
    <col min="9" max="13" width="14.28515625" customWidth="1"/>
    <col min="14" max="14" width="10.85546875" customWidth="1"/>
    <col min="15" max="15" width="12.42578125" customWidth="1"/>
    <col min="16" max="20" width="14.28515625" customWidth="1"/>
    <col min="21" max="21" width="10.85546875" customWidth="1"/>
    <col min="22" max="22" width="16" customWidth="1"/>
    <col min="23" max="23" width="16.85546875" customWidth="1"/>
    <col min="24" max="37" width="12.85546875" customWidth="1"/>
    <col min="38" max="38" width="10.5703125" bestFit="1" customWidth="1"/>
    <col min="39" max="39" width="14.42578125" customWidth="1"/>
    <col min="40" max="40" width="14" customWidth="1"/>
    <col min="41" max="43" width="13" bestFit="1" customWidth="1"/>
    <col min="64" max="64" width="12.7109375" bestFit="1" customWidth="1"/>
    <col min="70" max="70" width="10.85546875" customWidth="1"/>
  </cols>
  <sheetData>
    <row r="1" spans="1:64" ht="18.75" x14ac:dyDescent="0.3">
      <c r="A1" s="2" t="s">
        <v>170</v>
      </c>
    </row>
    <row r="2" spans="1:64" ht="15" x14ac:dyDescent="0.25">
      <c r="A2" s="3" t="str">
        <f>'Table of Contents'!A2</f>
        <v>Propsoed 2021 Work Plan, September 1, 2020</v>
      </c>
    </row>
    <row r="3" spans="1:64" ht="13.5" thickBot="1" x14ac:dyDescent="0.25">
      <c r="A3" s="253"/>
      <c r="I3" s="486"/>
      <c r="J3" s="486"/>
      <c r="K3" s="486"/>
      <c r="L3" s="486"/>
      <c r="M3" s="486"/>
      <c r="P3" s="487"/>
      <c r="Q3" s="487"/>
      <c r="R3" s="487"/>
      <c r="S3" s="487"/>
      <c r="T3" s="487"/>
    </row>
    <row r="4" spans="1:64" ht="26.25" customHeight="1" x14ac:dyDescent="0.25">
      <c r="A4" s="42"/>
      <c r="B4" s="480" t="s">
        <v>210</v>
      </c>
      <c r="C4" s="481"/>
      <c r="D4" s="481"/>
      <c r="E4" s="481"/>
      <c r="F4" s="482"/>
      <c r="G4" s="1"/>
      <c r="I4" s="480" t="s">
        <v>211</v>
      </c>
      <c r="J4" s="481"/>
      <c r="K4" s="481"/>
      <c r="L4" s="481"/>
      <c r="M4" s="482"/>
      <c r="N4" s="254"/>
      <c r="P4" s="480" t="s">
        <v>171</v>
      </c>
      <c r="Q4" s="481"/>
      <c r="R4" s="481"/>
      <c r="S4" s="481"/>
      <c r="T4" s="482"/>
      <c r="V4" s="254"/>
      <c r="W4" s="298"/>
      <c r="X4" s="488" t="str">
        <f>P4</f>
        <v>Final 2019</v>
      </c>
      <c r="Y4" s="489"/>
      <c r="Z4" s="489"/>
      <c r="AA4" s="489"/>
      <c r="AB4" s="490"/>
      <c r="AC4" s="488" t="str">
        <f>I4</f>
        <v>Final 2020</v>
      </c>
      <c r="AD4" s="489"/>
      <c r="AE4" s="489"/>
      <c r="AF4" s="489"/>
      <c r="AG4" s="490"/>
      <c r="AH4" s="483" t="str">
        <f>B4</f>
        <v>Proposed 2021</v>
      </c>
      <c r="AI4" s="484"/>
      <c r="AJ4" s="484"/>
      <c r="AK4" s="484"/>
      <c r="AL4" s="485"/>
      <c r="AM4" s="254"/>
      <c r="AN4" s="254"/>
      <c r="AO4" s="254"/>
    </row>
    <row r="5" spans="1:64" ht="63" x14ac:dyDescent="0.25">
      <c r="A5" s="156" t="s">
        <v>138</v>
      </c>
      <c r="B5" s="157" t="s">
        <v>73</v>
      </c>
      <c r="C5" s="157" t="s">
        <v>172</v>
      </c>
      <c r="D5" s="158" t="s">
        <v>75</v>
      </c>
      <c r="E5" s="158" t="s">
        <v>139</v>
      </c>
      <c r="F5" s="161" t="s">
        <v>167</v>
      </c>
      <c r="G5" s="157" t="s">
        <v>160</v>
      </c>
      <c r="H5" s="1"/>
      <c r="I5" s="157" t="str">
        <f>B5</f>
        <v>Contract RFP</v>
      </c>
      <c r="J5" s="157" t="str">
        <f t="shared" ref="J5:M5" si="0">C5</f>
        <v>RTF Contract Analyst Team</v>
      </c>
      <c r="K5" s="157" t="str">
        <f t="shared" si="0"/>
        <v>RTF Manager</v>
      </c>
      <c r="L5" s="157" t="str">
        <f t="shared" si="0"/>
        <v>Subtotal Funders</v>
      </c>
      <c r="M5" s="157" t="str">
        <f t="shared" si="0"/>
        <v>Council Contribution</v>
      </c>
      <c r="N5" s="157" t="str">
        <f>G5</f>
        <v>% of total</v>
      </c>
      <c r="O5" s="1"/>
      <c r="P5" s="157" t="str">
        <f>I5</f>
        <v>Contract RFP</v>
      </c>
      <c r="Q5" s="157" t="str">
        <f t="shared" ref="Q5" si="1">J5</f>
        <v>RTF Contract Analyst Team</v>
      </c>
      <c r="R5" s="157" t="str">
        <f t="shared" ref="R5" si="2">K5</f>
        <v>RTF Manager</v>
      </c>
      <c r="S5" s="157" t="str">
        <f t="shared" ref="S5" si="3">L5</f>
        <v>Subtotal Funders</v>
      </c>
      <c r="T5" s="157" t="str">
        <f t="shared" ref="T5" si="4">M5</f>
        <v>Council Contribution</v>
      </c>
      <c r="U5" s="157" t="str">
        <f>N5</f>
        <v>% of total</v>
      </c>
      <c r="W5" s="158" t="s">
        <v>138</v>
      </c>
      <c r="X5" s="161" t="str">
        <f>P5</f>
        <v>Contract RFP</v>
      </c>
      <c r="Y5" s="157" t="str">
        <f t="shared" ref="Y5:AA5" si="5">Q5</f>
        <v>RTF Contract Analyst Team</v>
      </c>
      <c r="Z5" s="157" t="str">
        <f t="shared" si="5"/>
        <v>RTF Manager</v>
      </c>
      <c r="AA5" s="157" t="str">
        <f t="shared" si="5"/>
        <v>Subtotal Funders</v>
      </c>
      <c r="AB5" s="159" t="str">
        <f>U5</f>
        <v>% of total</v>
      </c>
      <c r="AC5" s="161" t="str">
        <f>I5</f>
        <v>Contract RFP</v>
      </c>
      <c r="AD5" s="157" t="str">
        <f t="shared" ref="AD5:AF5" si="6">J5</f>
        <v>RTF Contract Analyst Team</v>
      </c>
      <c r="AE5" s="157" t="str">
        <f t="shared" si="6"/>
        <v>RTF Manager</v>
      </c>
      <c r="AF5" s="157" t="str">
        <f t="shared" si="6"/>
        <v>Subtotal Funders</v>
      </c>
      <c r="AG5" s="159" t="str">
        <f>N5</f>
        <v>% of total</v>
      </c>
      <c r="AH5" s="161" t="str">
        <f>B5</f>
        <v>Contract RFP</v>
      </c>
      <c r="AI5" s="157" t="str">
        <f t="shared" ref="AI5:AK5" si="7">C5</f>
        <v>RTF Contract Analyst Team</v>
      </c>
      <c r="AJ5" s="157" t="str">
        <f t="shared" si="7"/>
        <v>RTF Manager</v>
      </c>
      <c r="AK5" s="157" t="str">
        <f t="shared" si="7"/>
        <v>Subtotal Funders</v>
      </c>
      <c r="AL5" s="159" t="str">
        <f>G5</f>
        <v>% of total</v>
      </c>
      <c r="AM5" s="254"/>
      <c r="AN5" s="255"/>
      <c r="AO5" s="157">
        <v>2019</v>
      </c>
      <c r="AP5" s="157">
        <v>2020</v>
      </c>
      <c r="AQ5" s="157">
        <v>2021</v>
      </c>
    </row>
    <row r="6" spans="1:64" ht="53.25" customHeight="1" x14ac:dyDescent="0.25">
      <c r="A6" s="245" t="s">
        <v>173</v>
      </c>
      <c r="B6" s="246">
        <f>'Category Detail (2021)'!B10</f>
        <v>141000</v>
      </c>
      <c r="C6" s="246">
        <f>'Category Detail (2021)'!C10</f>
        <v>431200</v>
      </c>
      <c r="D6" s="246">
        <f>'Category Detail (2021)'!D10</f>
        <v>0</v>
      </c>
      <c r="E6" s="246">
        <f>SUM(B6:D6)</f>
        <v>572200</v>
      </c>
      <c r="F6" s="292">
        <f>'Category Detail (2021)'!F10</f>
        <v>14010</v>
      </c>
      <c r="G6" s="293">
        <f>E6/$E$15</f>
        <v>0.28610000000000002</v>
      </c>
      <c r="H6" s="258"/>
      <c r="I6" s="246">
        <v>92000</v>
      </c>
      <c r="J6" s="246">
        <v>345000</v>
      </c>
      <c r="K6" s="294">
        <v>0</v>
      </c>
      <c r="L6" s="294">
        <v>437000</v>
      </c>
      <c r="M6" s="292">
        <v>9700</v>
      </c>
      <c r="N6" s="293">
        <f>L6/$L$15</f>
        <v>0.24277777777777779</v>
      </c>
      <c r="O6" s="1"/>
      <c r="P6" s="246">
        <v>84000</v>
      </c>
      <c r="Q6" s="246">
        <v>292000</v>
      </c>
      <c r="R6" s="294">
        <v>0</v>
      </c>
      <c r="S6" s="294">
        <v>376000</v>
      </c>
      <c r="T6" s="292">
        <v>22000</v>
      </c>
      <c r="U6" s="293">
        <f>S6/$S$15</f>
        <v>0.20051194539249148</v>
      </c>
      <c r="W6" s="299" t="s">
        <v>161</v>
      </c>
      <c r="X6" s="292">
        <f>SUM(P6:P8)</f>
        <v>148500</v>
      </c>
      <c r="Y6" s="246">
        <f>SUM(Q6:Q8)</f>
        <v>725000</v>
      </c>
      <c r="Z6" s="246">
        <f>SUM(R6:R8)</f>
        <v>0</v>
      </c>
      <c r="AA6" s="246">
        <f>SUM(S6:S8)</f>
        <v>873500</v>
      </c>
      <c r="AB6" s="300">
        <f>AA6/$AA$10</f>
        <v>0.46581697952218432</v>
      </c>
      <c r="AC6" s="292">
        <f>SUM(I6:I8)</f>
        <v>176000</v>
      </c>
      <c r="AD6" s="246">
        <f>SUM(J6:J8)</f>
        <v>795000</v>
      </c>
      <c r="AE6" s="246">
        <f>SUM(K6:K8)</f>
        <v>0</v>
      </c>
      <c r="AF6" s="246">
        <f>SUM(L6:L8)</f>
        <v>971000</v>
      </c>
      <c r="AG6" s="300">
        <f>AF6/$AF$10</f>
        <v>0.53944444444444439</v>
      </c>
      <c r="AH6" s="292">
        <f>SUM(B6:B8)</f>
        <v>217100</v>
      </c>
      <c r="AI6" s="246">
        <f>SUM(C6:C8)</f>
        <v>892800</v>
      </c>
      <c r="AJ6" s="246">
        <f>SUM(D6:D8)</f>
        <v>0</v>
      </c>
      <c r="AK6" s="246">
        <f>SUM(E6:E8)</f>
        <v>1109900</v>
      </c>
      <c r="AL6" s="300">
        <f>AK6/$AK$10</f>
        <v>0.55495000000000005</v>
      </c>
      <c r="AM6" s="254"/>
      <c r="AN6" s="255" t="s">
        <v>73</v>
      </c>
      <c r="AO6" s="260">
        <f>X10</f>
        <v>523800</v>
      </c>
      <c r="AP6" s="260">
        <f>AC10</f>
        <v>433000</v>
      </c>
      <c r="AQ6" s="260">
        <f>AH10</f>
        <v>595800</v>
      </c>
    </row>
    <row r="7" spans="1:64" ht="60" customHeight="1" x14ac:dyDescent="0.25">
      <c r="A7" s="245" t="s">
        <v>174</v>
      </c>
      <c r="B7" s="246">
        <f>'Category Detail (2021)'!B19</f>
        <v>76100</v>
      </c>
      <c r="C7" s="246">
        <f>'Category Detail (2021)'!C19</f>
        <v>276600</v>
      </c>
      <c r="D7" s="246">
        <f>'Category Detail (2021)'!D19</f>
        <v>0</v>
      </c>
      <c r="E7" s="294">
        <f t="shared" ref="E7:E14" si="8">SUM(B7:D7)</f>
        <v>352700</v>
      </c>
      <c r="F7" s="292">
        <f>'Category Detail (2021)'!F19</f>
        <v>6585</v>
      </c>
      <c r="G7" s="293">
        <f>E7/$E$15</f>
        <v>0.17635000000000001</v>
      </c>
      <c r="H7" s="40"/>
      <c r="I7" s="246">
        <v>44000</v>
      </c>
      <c r="J7" s="246">
        <v>220000</v>
      </c>
      <c r="K7" s="246">
        <v>0</v>
      </c>
      <c r="L7" s="294">
        <v>264000</v>
      </c>
      <c r="M7" s="292">
        <v>4400</v>
      </c>
      <c r="N7" s="293">
        <f t="shared" ref="N7:N14" si="9">L7/$L$15</f>
        <v>0.14666666666666667</v>
      </c>
      <c r="O7" s="1"/>
      <c r="P7" s="246">
        <v>41000</v>
      </c>
      <c r="Q7" s="246">
        <v>223000</v>
      </c>
      <c r="R7" s="246">
        <v>0</v>
      </c>
      <c r="S7" s="294">
        <v>264000</v>
      </c>
      <c r="T7" s="292">
        <v>9200</v>
      </c>
      <c r="U7" s="293">
        <f t="shared" ref="U7:U14" si="10">S7/$S$15</f>
        <v>0.1407849829351536</v>
      </c>
      <c r="W7" s="301" t="s">
        <v>163</v>
      </c>
      <c r="X7" s="256">
        <f>SUM(P9:P10)</f>
        <v>130000</v>
      </c>
      <c r="Y7" s="164">
        <f>SUM(Q9:Q10)</f>
        <v>281400</v>
      </c>
      <c r="Z7" s="164">
        <f>SUM(R9:R10)</f>
        <v>0</v>
      </c>
      <c r="AA7" s="164">
        <f>SUM(S9:S10)</f>
        <v>411400</v>
      </c>
      <c r="AB7" s="302">
        <f>AA7/$AA$10</f>
        <v>0.21938993174061433</v>
      </c>
      <c r="AC7" s="256">
        <f>SUM(I9:I10)</f>
        <v>0</v>
      </c>
      <c r="AD7" s="164">
        <f>SUM(J9:J10)</f>
        <v>275000</v>
      </c>
      <c r="AE7" s="164">
        <f>SUM(K9:K10)</f>
        <v>0</v>
      </c>
      <c r="AF7" s="164">
        <f>SUM(L9:L10)</f>
        <v>275000</v>
      </c>
      <c r="AG7" s="302">
        <f>AF7/$AF$10</f>
        <v>0.15277777777777779</v>
      </c>
      <c r="AH7" s="256">
        <f>SUM(B9:B10)</f>
        <v>145000</v>
      </c>
      <c r="AI7" s="164">
        <f>SUM(C9:C10)</f>
        <v>228200</v>
      </c>
      <c r="AJ7" s="164">
        <f>SUM(D9:D10)</f>
        <v>0</v>
      </c>
      <c r="AK7" s="164">
        <f>SUM(E9:E10)</f>
        <v>373200</v>
      </c>
      <c r="AL7" s="302">
        <f>AK7/$AK$10</f>
        <v>0.18659999999999999</v>
      </c>
      <c r="AM7" s="254"/>
      <c r="AN7" s="255" t="s">
        <v>162</v>
      </c>
      <c r="AO7" s="260">
        <f>Y10</f>
        <v>1194400</v>
      </c>
      <c r="AP7" s="260">
        <f>AD10</f>
        <v>1193000</v>
      </c>
      <c r="AQ7" s="260">
        <f>AI10</f>
        <v>1224700</v>
      </c>
    </row>
    <row r="8" spans="1:64" ht="38.25" customHeight="1" x14ac:dyDescent="0.25">
      <c r="A8" s="245" t="s">
        <v>90</v>
      </c>
      <c r="B8" s="246">
        <f>'Category Detail (2021)'!B26</f>
        <v>0</v>
      </c>
      <c r="C8" s="246">
        <f>'Category Detail (2021)'!C26</f>
        <v>185000</v>
      </c>
      <c r="D8" s="246">
        <f>'Category Detail (2021)'!D26</f>
        <v>0</v>
      </c>
      <c r="E8" s="294">
        <f t="shared" si="8"/>
        <v>185000</v>
      </c>
      <c r="F8" s="292">
        <f>'Category Detail (2021)'!F26</f>
        <v>0</v>
      </c>
      <c r="G8" s="293">
        <f t="shared" ref="G8:G14" si="11">E8/$E$15</f>
        <v>9.2499999999999999E-2</v>
      </c>
      <c r="H8" s="40"/>
      <c r="I8" s="246">
        <v>40000</v>
      </c>
      <c r="J8" s="246">
        <v>230000</v>
      </c>
      <c r="K8" s="246">
        <v>0</v>
      </c>
      <c r="L8" s="294">
        <v>270000</v>
      </c>
      <c r="M8" s="292">
        <v>1500</v>
      </c>
      <c r="N8" s="293">
        <f t="shared" si="9"/>
        <v>0.15</v>
      </c>
      <c r="O8" s="1"/>
      <c r="P8" s="246">
        <v>23500</v>
      </c>
      <c r="Q8" s="246">
        <v>210000</v>
      </c>
      <c r="R8" s="246">
        <v>0</v>
      </c>
      <c r="S8" s="294">
        <v>233500</v>
      </c>
      <c r="T8" s="292">
        <v>1500</v>
      </c>
      <c r="U8" s="293">
        <f t="shared" si="10"/>
        <v>0.12452005119453925</v>
      </c>
      <c r="W8" s="265" t="s">
        <v>147</v>
      </c>
      <c r="X8" s="263">
        <f>P11</f>
        <v>0</v>
      </c>
      <c r="Y8" s="171">
        <f>Q11</f>
        <v>93000</v>
      </c>
      <c r="Z8" s="171">
        <f>R11</f>
        <v>0</v>
      </c>
      <c r="AA8" s="171">
        <f>S11</f>
        <v>93000</v>
      </c>
      <c r="AB8" s="266">
        <f>AA8/AA10</f>
        <v>4.9594709897610924E-2</v>
      </c>
      <c r="AC8" s="263">
        <f>I11</f>
        <v>40000</v>
      </c>
      <c r="AD8" s="171">
        <f>J11</f>
        <v>10000</v>
      </c>
      <c r="AE8" s="171">
        <f>K11</f>
        <v>0</v>
      </c>
      <c r="AF8" s="171">
        <f>L11</f>
        <v>50000</v>
      </c>
      <c r="AG8" s="266">
        <f>AF8/AF10</f>
        <v>2.7777777777777776E-2</v>
      </c>
      <c r="AH8" s="263">
        <f>B11</f>
        <v>25700</v>
      </c>
      <c r="AI8" s="171">
        <f>C11</f>
        <v>25700</v>
      </c>
      <c r="AJ8" s="171">
        <f>D11</f>
        <v>0</v>
      </c>
      <c r="AK8" s="171">
        <f>E11</f>
        <v>51400</v>
      </c>
      <c r="AL8" s="266">
        <f>AK8/AK10</f>
        <v>2.5700000000000001E-2</v>
      </c>
      <c r="AM8" s="254"/>
      <c r="AN8" s="255" t="s">
        <v>75</v>
      </c>
      <c r="AO8" s="260">
        <f>Z10</f>
        <v>157000</v>
      </c>
      <c r="AP8" s="260">
        <f>AE10</f>
        <v>174000</v>
      </c>
      <c r="AQ8" s="260">
        <f>AJ10</f>
        <v>179500</v>
      </c>
    </row>
    <row r="9" spans="1:64" ht="38.25" customHeight="1" x14ac:dyDescent="0.25">
      <c r="A9" s="163" t="s">
        <v>96</v>
      </c>
      <c r="B9" s="164">
        <f>'Category Detail (2021)'!B34</f>
        <v>20000</v>
      </c>
      <c r="C9" s="164">
        <f>'Category Detail (2021)'!C34</f>
        <v>90200</v>
      </c>
      <c r="D9" s="164">
        <f>'Category Detail (2021)'!D34</f>
        <v>0</v>
      </c>
      <c r="E9" s="259">
        <f t="shared" si="8"/>
        <v>110200</v>
      </c>
      <c r="F9" s="256">
        <f>'Category Detail (2021)'!F34</f>
        <v>10500</v>
      </c>
      <c r="G9" s="257">
        <f t="shared" si="11"/>
        <v>5.5100000000000003E-2</v>
      </c>
      <c r="H9" s="258"/>
      <c r="I9" s="164">
        <v>0</v>
      </c>
      <c r="J9" s="164">
        <v>120000</v>
      </c>
      <c r="K9" s="164">
        <v>0</v>
      </c>
      <c r="L9" s="259">
        <v>120000</v>
      </c>
      <c r="M9" s="256">
        <v>16500</v>
      </c>
      <c r="N9" s="257">
        <f t="shared" si="9"/>
        <v>6.6666666666666666E-2</v>
      </c>
      <c r="O9" s="1"/>
      <c r="P9" s="164">
        <v>130000</v>
      </c>
      <c r="Q9" s="164">
        <v>151400</v>
      </c>
      <c r="R9" s="164">
        <v>0</v>
      </c>
      <c r="S9" s="259">
        <v>281400</v>
      </c>
      <c r="T9" s="256">
        <v>15000</v>
      </c>
      <c r="U9" s="257">
        <f t="shared" si="10"/>
        <v>0.15006399317406144</v>
      </c>
      <c r="W9" s="303" t="s">
        <v>165</v>
      </c>
      <c r="X9" s="296">
        <f>SUM(P12:P14)</f>
        <v>245300</v>
      </c>
      <c r="Y9" s="250">
        <f>SUM(Q12:Q14)</f>
        <v>95000</v>
      </c>
      <c r="Z9" s="250">
        <f>SUM(R12:R14)</f>
        <v>157000</v>
      </c>
      <c r="AA9" s="250">
        <f>SUM(S12:S14)</f>
        <v>497300</v>
      </c>
      <c r="AB9" s="304">
        <f>AA9/$AA$10</f>
        <v>0.26519837883959047</v>
      </c>
      <c r="AC9" s="296">
        <f>SUM(I12:I14)</f>
        <v>217000</v>
      </c>
      <c r="AD9" s="250">
        <f>SUM(J12:J14)</f>
        <v>113000</v>
      </c>
      <c r="AE9" s="250">
        <f>SUM(K12:K14)</f>
        <v>174000</v>
      </c>
      <c r="AF9" s="250">
        <f>SUM(L12:L14)</f>
        <v>504000</v>
      </c>
      <c r="AG9" s="304">
        <f>AF9/$AF$10</f>
        <v>0.28000000000000003</v>
      </c>
      <c r="AH9" s="296">
        <f>SUM(B12:B14)</f>
        <v>208000</v>
      </c>
      <c r="AI9" s="250">
        <f>SUM(C12:C14)</f>
        <v>78000</v>
      </c>
      <c r="AJ9" s="250">
        <f>SUM(D12:D14)</f>
        <v>179500</v>
      </c>
      <c r="AK9" s="250">
        <f>SUM(E12:E14)</f>
        <v>465500</v>
      </c>
      <c r="AL9" s="304">
        <f>AK9/$AK$10</f>
        <v>0.23275000000000001</v>
      </c>
      <c r="AM9" s="254"/>
      <c r="AN9" s="261" t="s">
        <v>152</v>
      </c>
      <c r="AO9" s="184">
        <f>SUM(AO6:AO8)</f>
        <v>1875200</v>
      </c>
      <c r="AP9" s="184">
        <f>SUM(AP6:AP8)</f>
        <v>1800000</v>
      </c>
      <c r="AQ9" s="184">
        <f>SUM(AQ6:AQ8)</f>
        <v>2000000</v>
      </c>
    </row>
    <row r="10" spans="1:64" ht="38.25" customHeight="1" thickBot="1" x14ac:dyDescent="0.3">
      <c r="A10" s="163" t="s">
        <v>164</v>
      </c>
      <c r="B10" s="164">
        <f>'Category Detail (2021)'!B45</f>
        <v>125000</v>
      </c>
      <c r="C10" s="164">
        <f>'Category Detail (2021)'!C45</f>
        <v>138000</v>
      </c>
      <c r="D10" s="164">
        <f>'Category Detail (2021)'!D45</f>
        <v>0</v>
      </c>
      <c r="E10" s="259">
        <f t="shared" si="8"/>
        <v>263000</v>
      </c>
      <c r="F10" s="256">
        <f>'Category Detail (2021)'!F45</f>
        <v>18000</v>
      </c>
      <c r="G10" s="257">
        <f t="shared" si="11"/>
        <v>0.13150000000000001</v>
      </c>
      <c r="H10" s="40"/>
      <c r="I10" s="164">
        <v>0</v>
      </c>
      <c r="J10" s="164">
        <v>155000</v>
      </c>
      <c r="K10" s="164">
        <v>0</v>
      </c>
      <c r="L10" s="259">
        <v>155000</v>
      </c>
      <c r="M10" s="256">
        <v>22000</v>
      </c>
      <c r="N10" s="257">
        <f t="shared" si="9"/>
        <v>8.611111111111111E-2</v>
      </c>
      <c r="O10" s="1"/>
      <c r="P10" s="164">
        <v>0</v>
      </c>
      <c r="Q10" s="164">
        <v>130000</v>
      </c>
      <c r="R10" s="164">
        <v>0</v>
      </c>
      <c r="S10" s="259">
        <v>130000</v>
      </c>
      <c r="T10" s="256">
        <v>16000</v>
      </c>
      <c r="U10" s="257">
        <f t="shared" si="10"/>
        <v>6.9325938566552905E-2</v>
      </c>
      <c r="W10" s="271" t="s">
        <v>152</v>
      </c>
      <c r="X10" s="272">
        <f t="shared" ref="X10:AL10" si="12">SUM(X6:X9)</f>
        <v>523800</v>
      </c>
      <c r="Y10" s="273">
        <f t="shared" si="12"/>
        <v>1194400</v>
      </c>
      <c r="Z10" s="273">
        <f t="shared" si="12"/>
        <v>157000</v>
      </c>
      <c r="AA10" s="273">
        <f t="shared" si="12"/>
        <v>1875200</v>
      </c>
      <c r="AB10" s="274">
        <f t="shared" si="12"/>
        <v>1</v>
      </c>
      <c r="AC10" s="272">
        <f t="shared" si="12"/>
        <v>433000</v>
      </c>
      <c r="AD10" s="273">
        <f t="shared" si="12"/>
        <v>1193000</v>
      </c>
      <c r="AE10" s="273">
        <f t="shared" si="12"/>
        <v>174000</v>
      </c>
      <c r="AF10" s="273">
        <f t="shared" si="12"/>
        <v>1800000</v>
      </c>
      <c r="AG10" s="274">
        <f t="shared" si="12"/>
        <v>1</v>
      </c>
      <c r="AH10" s="272">
        <f t="shared" si="12"/>
        <v>595800</v>
      </c>
      <c r="AI10" s="273">
        <f t="shared" si="12"/>
        <v>1224700</v>
      </c>
      <c r="AJ10" s="273">
        <f t="shared" si="12"/>
        <v>179500</v>
      </c>
      <c r="AK10" s="273">
        <f t="shared" si="12"/>
        <v>2000000</v>
      </c>
      <c r="AL10" s="274">
        <f t="shared" si="12"/>
        <v>1</v>
      </c>
      <c r="AM10" s="254"/>
      <c r="AN10" s="254"/>
      <c r="AO10" s="254"/>
      <c r="AP10" s="254"/>
      <c r="AQ10" s="254"/>
    </row>
    <row r="11" spans="1:64" ht="38.25" customHeight="1" x14ac:dyDescent="0.25">
      <c r="A11" s="170" t="s">
        <v>147</v>
      </c>
      <c r="B11" s="171">
        <f>'Category Detail (2021)'!B50</f>
        <v>25700</v>
      </c>
      <c r="C11" s="171">
        <f>'Category Detail (2021)'!C50</f>
        <v>25700</v>
      </c>
      <c r="D11" s="171">
        <f>'Category Detail (2021)'!D50</f>
        <v>0</v>
      </c>
      <c r="E11" s="262">
        <f t="shared" si="8"/>
        <v>51400</v>
      </c>
      <c r="F11" s="263">
        <f>'Category Detail (2021)'!F50</f>
        <v>10000</v>
      </c>
      <c r="G11" s="264">
        <f t="shared" si="11"/>
        <v>2.5700000000000001E-2</v>
      </c>
      <c r="H11" s="40"/>
      <c r="I11" s="171">
        <v>40000</v>
      </c>
      <c r="J11" s="171">
        <v>10000</v>
      </c>
      <c r="K11" s="171">
        <v>0</v>
      </c>
      <c r="L11" s="262">
        <v>50000</v>
      </c>
      <c r="M11" s="263">
        <v>10000</v>
      </c>
      <c r="N11" s="264">
        <f t="shared" si="9"/>
        <v>2.7777777777777776E-2</v>
      </c>
      <c r="O11" s="1"/>
      <c r="P11" s="171">
        <v>0</v>
      </c>
      <c r="Q11" s="171">
        <v>93000</v>
      </c>
      <c r="R11" s="171">
        <v>0</v>
      </c>
      <c r="S11" s="262">
        <v>93000</v>
      </c>
      <c r="T11" s="263">
        <v>5000</v>
      </c>
      <c r="U11" s="264">
        <f t="shared" si="10"/>
        <v>4.9594709897610924E-2</v>
      </c>
      <c r="AM11" s="254"/>
      <c r="AN11" s="254"/>
      <c r="AO11" s="254"/>
      <c r="AP11" s="254"/>
      <c r="AQ11" s="254"/>
    </row>
    <row r="12" spans="1:64" ht="38.25" customHeight="1" x14ac:dyDescent="0.25">
      <c r="A12" s="249" t="s">
        <v>175</v>
      </c>
      <c r="B12" s="250">
        <f>'Category Detail (2021)'!B56</f>
        <v>56000</v>
      </c>
      <c r="C12" s="250">
        <f>'Category Detail (2021)'!C56</f>
        <v>0</v>
      </c>
      <c r="D12" s="250">
        <f>'Category Detail (2021)'!D56</f>
        <v>0</v>
      </c>
      <c r="E12" s="295">
        <f t="shared" si="8"/>
        <v>56000</v>
      </c>
      <c r="F12" s="296">
        <f>'Category Detail (2021)'!F56</f>
        <v>45000</v>
      </c>
      <c r="G12" s="297">
        <f t="shared" si="11"/>
        <v>2.8000000000000001E-2</v>
      </c>
      <c r="H12" s="258"/>
      <c r="I12" s="250">
        <v>50000</v>
      </c>
      <c r="J12" s="250">
        <v>0</v>
      </c>
      <c r="K12" s="250">
        <v>0</v>
      </c>
      <c r="L12" s="295">
        <v>50000</v>
      </c>
      <c r="M12" s="296">
        <v>45000</v>
      </c>
      <c r="N12" s="297">
        <f t="shared" si="9"/>
        <v>2.7777777777777776E-2</v>
      </c>
      <c r="O12" s="1"/>
      <c r="P12" s="250">
        <v>60000</v>
      </c>
      <c r="Q12" s="250">
        <v>5000</v>
      </c>
      <c r="R12" s="250">
        <v>0</v>
      </c>
      <c r="S12" s="295">
        <v>65000</v>
      </c>
      <c r="T12" s="296">
        <v>45000</v>
      </c>
      <c r="U12" s="297">
        <f t="shared" si="10"/>
        <v>3.4662969283276453E-2</v>
      </c>
      <c r="AM12" s="254"/>
      <c r="AN12" s="254"/>
      <c r="AO12" s="254"/>
      <c r="AP12" s="254"/>
      <c r="AQ12" s="254"/>
    </row>
    <row r="13" spans="1:64" ht="38.25" customHeight="1" x14ac:dyDescent="0.25">
      <c r="A13" s="249" t="s">
        <v>176</v>
      </c>
      <c r="B13" s="250">
        <f>'Category Detail (2021)'!B62</f>
        <v>148000</v>
      </c>
      <c r="C13" s="250">
        <f>'Category Detail (2021)'!C62</f>
        <v>78000</v>
      </c>
      <c r="D13" s="250">
        <f>'Category Detail (2021)'!D62</f>
        <v>0</v>
      </c>
      <c r="E13" s="295">
        <f t="shared" si="8"/>
        <v>226000</v>
      </c>
      <c r="F13" s="296">
        <f>'Category Detail (2021)'!F62</f>
        <v>10000</v>
      </c>
      <c r="G13" s="297">
        <f t="shared" si="11"/>
        <v>0.113</v>
      </c>
      <c r="H13" s="40"/>
      <c r="I13" s="250">
        <v>163000</v>
      </c>
      <c r="J13" s="250">
        <v>113000</v>
      </c>
      <c r="K13" s="250">
        <v>0</v>
      </c>
      <c r="L13" s="295">
        <v>276000</v>
      </c>
      <c r="M13" s="296">
        <v>10000</v>
      </c>
      <c r="N13" s="297">
        <f t="shared" si="9"/>
        <v>0.15333333333333332</v>
      </c>
      <c r="O13" s="1"/>
      <c r="P13" s="250">
        <v>182000</v>
      </c>
      <c r="Q13" s="250">
        <v>90000</v>
      </c>
      <c r="R13" s="250">
        <v>0</v>
      </c>
      <c r="S13" s="295">
        <v>272000</v>
      </c>
      <c r="T13" s="296">
        <v>10000</v>
      </c>
      <c r="U13" s="297">
        <f t="shared" si="10"/>
        <v>0.14505119453924914</v>
      </c>
      <c r="AM13" s="254"/>
      <c r="AN13" s="254"/>
      <c r="AO13" s="254"/>
      <c r="AP13" s="254"/>
      <c r="AQ13" s="254"/>
    </row>
    <row r="14" spans="1:64" ht="38.25" customHeight="1" x14ac:dyDescent="0.25">
      <c r="A14" s="249" t="s">
        <v>114</v>
      </c>
      <c r="B14" s="250">
        <f>'Category Detail (2021)'!B73</f>
        <v>4000</v>
      </c>
      <c r="C14" s="250">
        <f>'Category Detail (2021)'!C73</f>
        <v>0</v>
      </c>
      <c r="D14" s="250">
        <f>'Category Detail (2021)'!D73</f>
        <v>179500</v>
      </c>
      <c r="E14" s="295">
        <f t="shared" si="8"/>
        <v>183500</v>
      </c>
      <c r="F14" s="296">
        <f>'Category Detail (2021)'!F73</f>
        <v>66500</v>
      </c>
      <c r="G14" s="297">
        <f t="shared" si="11"/>
        <v>9.1749999999999998E-2</v>
      </c>
      <c r="H14" s="40"/>
      <c r="I14" s="250">
        <v>4000</v>
      </c>
      <c r="J14" s="250">
        <v>0</v>
      </c>
      <c r="K14" s="250">
        <v>174000</v>
      </c>
      <c r="L14" s="295">
        <v>178000</v>
      </c>
      <c r="M14" s="296">
        <v>66500</v>
      </c>
      <c r="N14" s="297">
        <f t="shared" si="9"/>
        <v>9.8888888888888887E-2</v>
      </c>
      <c r="O14" s="1"/>
      <c r="P14" s="250">
        <v>3300</v>
      </c>
      <c r="Q14" s="250">
        <v>0</v>
      </c>
      <c r="R14" s="250">
        <v>157000</v>
      </c>
      <c r="S14" s="295">
        <v>160300</v>
      </c>
      <c r="T14" s="296">
        <v>66500</v>
      </c>
      <c r="U14" s="297">
        <f t="shared" si="10"/>
        <v>8.5484215017064852E-2</v>
      </c>
      <c r="AM14" s="254"/>
      <c r="AN14" s="254"/>
      <c r="AO14" s="254"/>
      <c r="AP14" s="254"/>
      <c r="AQ14" s="254"/>
    </row>
    <row r="15" spans="1:64" ht="38.25" customHeight="1" x14ac:dyDescent="0.25">
      <c r="A15" s="267" t="s">
        <v>152</v>
      </c>
      <c r="B15" s="184">
        <f>SUM(B6:B14)</f>
        <v>595800</v>
      </c>
      <c r="C15" s="184">
        <f t="shared" ref="C15:F15" si="13">SUM(C6:C14)</f>
        <v>1224700</v>
      </c>
      <c r="D15" s="184">
        <f t="shared" si="13"/>
        <v>179500</v>
      </c>
      <c r="E15" s="268">
        <f>SUM(E6:E14)</f>
        <v>2000000</v>
      </c>
      <c r="F15" s="269">
        <f t="shared" si="13"/>
        <v>180595</v>
      </c>
      <c r="G15" s="270">
        <f>SUM(G6:G14)</f>
        <v>1.0000000000000002</v>
      </c>
      <c r="H15" s="40"/>
      <c r="I15" s="184">
        <f>SUM(I6:I14)</f>
        <v>433000</v>
      </c>
      <c r="J15" s="184">
        <f t="shared" ref="J15:M15" si="14">SUM(J6:J14)</f>
        <v>1193000</v>
      </c>
      <c r="K15" s="184">
        <f t="shared" si="14"/>
        <v>174000</v>
      </c>
      <c r="L15" s="268">
        <f>SUM(L6:L14)</f>
        <v>1800000</v>
      </c>
      <c r="M15" s="269">
        <f t="shared" si="14"/>
        <v>185600</v>
      </c>
      <c r="N15" s="270">
        <f>SUM(N6:N14)</f>
        <v>1</v>
      </c>
      <c r="O15" s="1"/>
      <c r="P15" s="184">
        <f>SUM(P6:P14)</f>
        <v>523800</v>
      </c>
      <c r="Q15" s="184">
        <f t="shared" ref="Q15:T15" si="15">SUM(Q6:Q14)</f>
        <v>1194400</v>
      </c>
      <c r="R15" s="184">
        <f t="shared" si="15"/>
        <v>157000</v>
      </c>
      <c r="S15" s="268">
        <f>SUM(S6:S14)</f>
        <v>1875200</v>
      </c>
      <c r="T15" s="269">
        <f t="shared" si="15"/>
        <v>190200</v>
      </c>
      <c r="U15" s="270">
        <f>SUM(U6:U14)</f>
        <v>1.0000000000000002</v>
      </c>
      <c r="AM15" s="254"/>
      <c r="AN15" s="254"/>
      <c r="AO15" s="254"/>
      <c r="AP15" s="254"/>
      <c r="AQ15" s="254"/>
    </row>
    <row r="16" spans="1:64" ht="15" x14ac:dyDescent="0.2">
      <c r="E16" s="275"/>
      <c r="I16" s="275"/>
      <c r="J16" s="275"/>
      <c r="K16" s="276"/>
      <c r="Q16" s="276"/>
      <c r="R16" s="276"/>
      <c r="AN16" s="254"/>
      <c r="AO16" s="254"/>
      <c r="AP16" s="254"/>
      <c r="AQ16" s="254"/>
      <c r="BL16" s="277"/>
    </row>
    <row r="20" spans="15:15" x14ac:dyDescent="0.2">
      <c r="O20" s="275"/>
    </row>
    <row r="21" spans="15:15" x14ac:dyDescent="0.2">
      <c r="O21" s="275"/>
    </row>
    <row r="112" spans="1:5" ht="15.75" customHeight="1" x14ac:dyDescent="0.25">
      <c r="A112" s="42"/>
      <c r="B112" s="480" t="s">
        <v>210</v>
      </c>
      <c r="C112" s="481"/>
      <c r="D112" s="481"/>
      <c r="E112" s="482"/>
    </row>
    <row r="113" spans="1:18" ht="31.5" x14ac:dyDescent="0.25">
      <c r="A113" s="156" t="s">
        <v>138</v>
      </c>
      <c r="B113" s="157" t="s">
        <v>73</v>
      </c>
      <c r="C113" s="157" t="s">
        <v>172</v>
      </c>
      <c r="D113" s="158" t="s">
        <v>75</v>
      </c>
      <c r="E113" s="157" t="s">
        <v>139</v>
      </c>
    </row>
    <row r="114" spans="1:18" ht="15.75" x14ac:dyDescent="0.2">
      <c r="A114" s="245" t="s">
        <v>173</v>
      </c>
      <c r="B114" s="246">
        <f>'WP Based on SP Amounts'!B10</f>
        <v>126000</v>
      </c>
      <c r="C114" s="246">
        <f t="shared" ref="C114:D114" si="16">C6</f>
        <v>431200</v>
      </c>
      <c r="D114" s="246">
        <f t="shared" si="16"/>
        <v>0</v>
      </c>
      <c r="E114" s="246">
        <f t="shared" ref="E114:E125" si="17">SUM(B114:D114)</f>
        <v>557200</v>
      </c>
    </row>
    <row r="115" spans="1:18" ht="15.75" x14ac:dyDescent="0.2">
      <c r="A115" s="245" t="s">
        <v>322</v>
      </c>
      <c r="B115" s="246">
        <f>'Category Detail (2021)'!B10-'WP Based on SP Amounts'!B10</f>
        <v>15000</v>
      </c>
      <c r="C115" s="246">
        <v>0</v>
      </c>
      <c r="D115" s="246">
        <v>0</v>
      </c>
      <c r="E115" s="246">
        <f t="shared" si="17"/>
        <v>15000</v>
      </c>
    </row>
    <row r="116" spans="1:18" ht="15.75" x14ac:dyDescent="0.2">
      <c r="A116" s="245" t="s">
        <v>174</v>
      </c>
      <c r="B116" s="246">
        <f>'WP Based on SP Amounts'!B19</f>
        <v>61100</v>
      </c>
      <c r="C116" s="246">
        <f t="shared" ref="C116:D116" si="18">C7</f>
        <v>276600</v>
      </c>
      <c r="D116" s="246">
        <f t="shared" si="18"/>
        <v>0</v>
      </c>
      <c r="E116" s="246">
        <f t="shared" si="17"/>
        <v>337700</v>
      </c>
    </row>
    <row r="117" spans="1:18" ht="15.75" x14ac:dyDescent="0.2">
      <c r="A117" s="245" t="s">
        <v>323</v>
      </c>
      <c r="B117" s="246">
        <f>'Category Detail (2021)'!B19-'WP Based on SP Amounts'!B19</f>
        <v>15000</v>
      </c>
      <c r="C117" s="246">
        <v>0</v>
      </c>
      <c r="D117" s="246">
        <v>0</v>
      </c>
      <c r="E117" s="246">
        <f t="shared" si="17"/>
        <v>15000</v>
      </c>
    </row>
    <row r="118" spans="1:18" ht="15.75" x14ac:dyDescent="0.2">
      <c r="A118" s="245" t="s">
        <v>90</v>
      </c>
      <c r="B118" s="246">
        <f t="shared" ref="B118:D119" si="19">B8</f>
        <v>0</v>
      </c>
      <c r="C118" s="246">
        <f t="shared" si="19"/>
        <v>185000</v>
      </c>
      <c r="D118" s="246">
        <f t="shared" si="19"/>
        <v>0</v>
      </c>
      <c r="E118" s="246">
        <f t="shared" si="17"/>
        <v>185000</v>
      </c>
    </row>
    <row r="119" spans="1:18" ht="15.75" x14ac:dyDescent="0.2">
      <c r="A119" s="163" t="s">
        <v>96</v>
      </c>
      <c r="B119" s="164">
        <f t="shared" si="19"/>
        <v>20000</v>
      </c>
      <c r="C119" s="164">
        <f t="shared" si="19"/>
        <v>90200</v>
      </c>
      <c r="D119" s="164">
        <f t="shared" si="19"/>
        <v>0</v>
      </c>
      <c r="E119" s="164">
        <f t="shared" si="17"/>
        <v>110200</v>
      </c>
    </row>
    <row r="120" spans="1:18" ht="15.75" x14ac:dyDescent="0.2">
      <c r="A120" s="163" t="s">
        <v>164</v>
      </c>
      <c r="B120" s="164">
        <v>0</v>
      </c>
      <c r="C120" s="164">
        <f>C10</f>
        <v>138000</v>
      </c>
      <c r="D120" s="164">
        <f>D10</f>
        <v>0</v>
      </c>
      <c r="E120" s="164">
        <f t="shared" si="17"/>
        <v>138000</v>
      </c>
    </row>
    <row r="121" spans="1:18" ht="15.75" x14ac:dyDescent="0.2">
      <c r="A121" s="163" t="s">
        <v>324</v>
      </c>
      <c r="B121" s="164">
        <f>'Category Detail (2021)'!B45-'WP Based on SP Amounts'!B44</f>
        <v>125000</v>
      </c>
      <c r="C121" s="164">
        <v>0</v>
      </c>
      <c r="D121" s="164">
        <v>0</v>
      </c>
      <c r="E121" s="164">
        <f t="shared" si="17"/>
        <v>125000</v>
      </c>
    </row>
    <row r="122" spans="1:18" ht="15.75" x14ac:dyDescent="0.2">
      <c r="A122" s="170" t="s">
        <v>147</v>
      </c>
      <c r="B122" s="171">
        <f t="shared" ref="B122:D125" si="20">B11</f>
        <v>25700</v>
      </c>
      <c r="C122" s="171">
        <f t="shared" si="20"/>
        <v>25700</v>
      </c>
      <c r="D122" s="171">
        <f t="shared" si="20"/>
        <v>0</v>
      </c>
      <c r="E122" s="171">
        <f t="shared" si="17"/>
        <v>51400</v>
      </c>
    </row>
    <row r="123" spans="1:18" ht="15.75" x14ac:dyDescent="0.2">
      <c r="A123" s="249" t="s">
        <v>175</v>
      </c>
      <c r="B123" s="250">
        <f t="shared" si="20"/>
        <v>56000</v>
      </c>
      <c r="C123" s="250">
        <f t="shared" si="20"/>
        <v>0</v>
      </c>
      <c r="D123" s="250">
        <f t="shared" si="20"/>
        <v>0</v>
      </c>
      <c r="E123" s="250">
        <f t="shared" si="17"/>
        <v>56000</v>
      </c>
    </row>
    <row r="124" spans="1:18" ht="15.75" x14ac:dyDescent="0.2">
      <c r="A124" s="249" t="s">
        <v>176</v>
      </c>
      <c r="B124" s="250">
        <f t="shared" si="20"/>
        <v>148000</v>
      </c>
      <c r="C124" s="250">
        <f t="shared" si="20"/>
        <v>78000</v>
      </c>
      <c r="D124" s="250">
        <f t="shared" si="20"/>
        <v>0</v>
      </c>
      <c r="E124" s="250">
        <f t="shared" si="17"/>
        <v>226000</v>
      </c>
    </row>
    <row r="125" spans="1:18" ht="15.75" x14ac:dyDescent="0.2">
      <c r="A125" s="249" t="s">
        <v>114</v>
      </c>
      <c r="B125" s="250">
        <f t="shared" si="20"/>
        <v>4000</v>
      </c>
      <c r="C125" s="250">
        <f t="shared" si="20"/>
        <v>0</v>
      </c>
      <c r="D125" s="250">
        <f t="shared" si="20"/>
        <v>179500</v>
      </c>
      <c r="E125" s="250">
        <f t="shared" si="17"/>
        <v>183500</v>
      </c>
    </row>
    <row r="126" spans="1:18" ht="15.75" x14ac:dyDescent="0.2">
      <c r="A126" s="267" t="s">
        <v>152</v>
      </c>
      <c r="B126" s="184">
        <f>SUM(B114:B125)</f>
        <v>595800</v>
      </c>
      <c r="C126" s="184">
        <f>SUM(C114:C125)</f>
        <v>1224700</v>
      </c>
      <c r="D126" s="184">
        <f>SUM(D114:D125)</f>
        <v>179500</v>
      </c>
      <c r="E126" s="184">
        <f>SUM(E114:E125)</f>
        <v>2000000</v>
      </c>
      <c r="N126" s="278"/>
      <c r="O126" s="275"/>
      <c r="P126" s="275"/>
      <c r="Q126" s="275"/>
      <c r="R126" s="275"/>
    </row>
    <row r="128" spans="1:18" x14ac:dyDescent="0.2">
      <c r="N128" s="278"/>
      <c r="O128" s="275"/>
      <c r="P128" s="275"/>
      <c r="Q128" s="275"/>
      <c r="R128" s="275"/>
    </row>
  </sheetData>
  <mergeCells count="9">
    <mergeCell ref="B112:E112"/>
    <mergeCell ref="AH4:AL4"/>
    <mergeCell ref="I3:M3"/>
    <mergeCell ref="P3:T3"/>
    <mergeCell ref="B4:F4"/>
    <mergeCell ref="I4:M4"/>
    <mergeCell ref="P4:T4"/>
    <mergeCell ref="AC4:AG4"/>
    <mergeCell ref="X4:AB4"/>
  </mergeCells>
  <pageMargins left="0.7" right="0.7" top="0.75" bottom="0.75" header="0.3" footer="0.3"/>
  <ignoredErrors>
    <ignoredError sqref="AD7:AF7 X9:AA9 AC9:AF9 X6:AA6 AC6:AF6 X7:AA7 AC7" formulaRange="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E66E4-F854-4224-87F5-C60E031754BD}">
  <dimension ref="A1:Z104"/>
  <sheetViews>
    <sheetView zoomScale="90" zoomScaleNormal="90" workbookViewId="0"/>
  </sheetViews>
  <sheetFormatPr defaultColWidth="8.85546875" defaultRowHeight="15.75" x14ac:dyDescent="0.25"/>
  <cols>
    <col min="1" max="1" width="79.85546875" style="1" bestFit="1" customWidth="1"/>
    <col min="2" max="2" width="15.28515625" style="1" bestFit="1" customWidth="1"/>
    <col min="3" max="3" width="13.42578125" style="1" bestFit="1" customWidth="1"/>
    <col min="4" max="4" width="13.42578125" style="1" customWidth="1"/>
    <col min="5" max="5" width="15.28515625" style="1" bestFit="1" customWidth="1"/>
    <col min="6" max="6" width="15.42578125" style="1" bestFit="1" customWidth="1"/>
    <col min="7" max="7" width="11.85546875" style="1" customWidth="1"/>
    <col min="8" max="8" width="10.140625" style="365" customWidth="1"/>
    <col min="9" max="9" width="7.28515625" style="1" bestFit="1" customWidth="1"/>
    <col min="10" max="11" width="12.7109375" style="1" customWidth="1"/>
    <col min="12" max="12" width="12" style="1" customWidth="1"/>
    <col min="13" max="13" width="10.28515625" style="1" customWidth="1"/>
    <col min="14" max="14" width="213" style="1" customWidth="1"/>
    <col min="15" max="15" width="8.85546875" style="125"/>
    <col min="16" max="16384" width="8.85546875" style="1"/>
  </cols>
  <sheetData>
    <row r="1" spans="1:15" ht="18.75" x14ac:dyDescent="0.3">
      <c r="A1" s="2" t="s">
        <v>224</v>
      </c>
      <c r="C1" s="8" t="s">
        <v>301</v>
      </c>
      <c r="D1" s="6">
        <f>'Funding Shares'!C31</f>
        <v>100000</v>
      </c>
      <c r="E1"/>
      <c r="F1"/>
      <c r="G1"/>
      <c r="H1" s="332"/>
      <c r="I1"/>
    </row>
    <row r="2" spans="1:15" x14ac:dyDescent="0.25">
      <c r="A2" s="56" t="str">
        <f>'Table of Contents'!A2</f>
        <v>Propsoed 2021 Work Plan, September 1, 2020</v>
      </c>
      <c r="C2" s="8" t="s">
        <v>215</v>
      </c>
      <c r="D2" s="6">
        <f>'Funding Shares'!C32+'Funding Shares'!C33</f>
        <v>55000</v>
      </c>
      <c r="E2"/>
      <c r="F2" s="6"/>
      <c r="G2" s="126"/>
      <c r="H2" s="367"/>
      <c r="I2" s="127"/>
      <c r="J2"/>
      <c r="L2"/>
      <c r="M2" s="126"/>
      <c r="N2" s="56"/>
    </row>
    <row r="3" spans="1:15" ht="16.5" thickBot="1" x14ac:dyDescent="0.3">
      <c r="A3" s="56"/>
      <c r="C3" s="8" t="s">
        <v>231</v>
      </c>
      <c r="D3" s="6">
        <f>'Funding Shares'!D25</f>
        <v>1845000</v>
      </c>
      <c r="G3" s="126"/>
      <c r="H3" s="367"/>
      <c r="I3" s="127"/>
      <c r="J3"/>
      <c r="L3"/>
      <c r="M3" s="126"/>
      <c r="N3" s="56"/>
    </row>
    <row r="4" spans="1:15" ht="21.75" customHeight="1" thickBot="1" x14ac:dyDescent="0.3">
      <c r="C4" s="389" t="s">
        <v>151</v>
      </c>
      <c r="D4" s="347">
        <f>SUM(D1:D3)</f>
        <v>2000000</v>
      </c>
      <c r="E4" s="391">
        <f>E76</f>
        <v>2000000</v>
      </c>
      <c r="F4" s="143">
        <f>D4-E4</f>
        <v>0</v>
      </c>
      <c r="G4" s="143"/>
      <c r="H4" s="143"/>
      <c r="I4" s="491" t="s">
        <v>71</v>
      </c>
      <c r="J4" s="491"/>
      <c r="K4" s="491"/>
      <c r="L4" s="491"/>
      <c r="M4" s="491"/>
      <c r="O4" s="1"/>
    </row>
    <row r="5" spans="1:15" s="128" customFormat="1" ht="63" x14ac:dyDescent="0.25">
      <c r="A5" s="81" t="s">
        <v>72</v>
      </c>
      <c r="B5" s="82" t="s">
        <v>73</v>
      </c>
      <c r="C5" s="83" t="s">
        <v>74</v>
      </c>
      <c r="D5" s="83" t="s">
        <v>75</v>
      </c>
      <c r="E5" s="390" t="s">
        <v>76</v>
      </c>
      <c r="F5" s="82" t="s">
        <v>168</v>
      </c>
      <c r="G5" s="82" t="s">
        <v>77</v>
      </c>
      <c r="H5" s="82" t="s">
        <v>225</v>
      </c>
      <c r="I5" s="142" t="s">
        <v>78</v>
      </c>
      <c r="J5" s="142" t="s">
        <v>79</v>
      </c>
      <c r="K5" s="142" t="s">
        <v>80</v>
      </c>
      <c r="L5" s="142" t="s">
        <v>81</v>
      </c>
      <c r="M5" s="142" t="s">
        <v>82</v>
      </c>
      <c r="N5" s="364" t="s">
        <v>83</v>
      </c>
    </row>
    <row r="6" spans="1:15" s="129" customFormat="1" x14ac:dyDescent="0.25">
      <c r="A6" s="84" t="s">
        <v>173</v>
      </c>
      <c r="B6" s="85"/>
      <c r="C6" s="85"/>
      <c r="D6" s="85"/>
      <c r="E6" s="85"/>
      <c r="F6" s="85"/>
      <c r="G6" s="86"/>
      <c r="H6" s="368"/>
      <c r="I6" s="86"/>
      <c r="J6" s="87"/>
      <c r="K6" s="86"/>
      <c r="L6" s="86"/>
      <c r="M6" s="86"/>
      <c r="N6" s="86"/>
    </row>
    <row r="7" spans="1:15" s="129" customFormat="1" x14ac:dyDescent="0.25">
      <c r="A7" s="88" t="s">
        <v>237</v>
      </c>
      <c r="B7" s="89">
        <f>($I7*J7)+15000</f>
        <v>96000</v>
      </c>
      <c r="C7" s="89">
        <f>$I7*K7</f>
        <v>277200</v>
      </c>
      <c r="D7" s="89">
        <f>$I7*L7</f>
        <v>0</v>
      </c>
      <c r="E7" s="89">
        <f>SUM(B7:D7)</f>
        <v>373200</v>
      </c>
      <c r="F7" s="89">
        <f>I7*M7</f>
        <v>12960</v>
      </c>
      <c r="G7" s="90"/>
      <c r="H7" s="369" t="s">
        <v>226</v>
      </c>
      <c r="I7" s="91">
        <v>18</v>
      </c>
      <c r="J7" s="87">
        <v>4500</v>
      </c>
      <c r="K7" s="92">
        <v>15400</v>
      </c>
      <c r="L7" s="92">
        <v>0</v>
      </c>
      <c r="M7" s="92">
        <v>720</v>
      </c>
      <c r="N7" s="93" t="s">
        <v>318</v>
      </c>
    </row>
    <row r="8" spans="1:15" s="129" customFormat="1" x14ac:dyDescent="0.25">
      <c r="A8" s="88" t="s">
        <v>286</v>
      </c>
      <c r="B8" s="89">
        <f t="shared" ref="B8:B9" si="0">$I8*J8</f>
        <v>45000</v>
      </c>
      <c r="C8" s="89">
        <f t="shared" ref="C8:C9" si="1">$I8*K8</f>
        <v>154000</v>
      </c>
      <c r="D8" s="89">
        <f t="shared" ref="D8:D9" si="2">$I8*L8</f>
        <v>0</v>
      </c>
      <c r="E8" s="89">
        <f t="shared" ref="E8:E9" si="3">SUM(B8:D8)</f>
        <v>199000</v>
      </c>
      <c r="F8" s="89">
        <f t="shared" ref="F8:F9" si="4">I8*M8</f>
        <v>1050</v>
      </c>
      <c r="G8" s="90"/>
      <c r="H8" s="369" t="s">
        <v>227</v>
      </c>
      <c r="I8" s="91">
        <v>10</v>
      </c>
      <c r="J8" s="87">
        <v>4500</v>
      </c>
      <c r="K8" s="92">
        <v>15400</v>
      </c>
      <c r="L8" s="92">
        <v>0</v>
      </c>
      <c r="M8" s="92">
        <v>105</v>
      </c>
      <c r="N8" s="93" t="s">
        <v>306</v>
      </c>
    </row>
    <row r="9" spans="1:15" s="129" customFormat="1" x14ac:dyDescent="0.25">
      <c r="A9" s="88" t="s">
        <v>287</v>
      </c>
      <c r="B9" s="89">
        <f t="shared" si="0"/>
        <v>0</v>
      </c>
      <c r="C9" s="89">
        <f t="shared" si="1"/>
        <v>0</v>
      </c>
      <c r="D9" s="89">
        <f t="shared" si="2"/>
        <v>0</v>
      </c>
      <c r="E9" s="89">
        <f t="shared" si="3"/>
        <v>0</v>
      </c>
      <c r="F9" s="89">
        <f t="shared" si="4"/>
        <v>0</v>
      </c>
      <c r="G9" s="90"/>
      <c r="H9" s="369" t="s">
        <v>228</v>
      </c>
      <c r="I9" s="91">
        <v>0</v>
      </c>
      <c r="J9" s="87">
        <v>4500</v>
      </c>
      <c r="K9" s="92">
        <v>15400</v>
      </c>
      <c r="L9" s="92">
        <v>0</v>
      </c>
      <c r="M9" s="92">
        <v>510</v>
      </c>
      <c r="N9" s="93" t="s">
        <v>238</v>
      </c>
    </row>
    <row r="10" spans="1:15" s="129" customFormat="1" x14ac:dyDescent="0.25">
      <c r="A10" s="84" t="str">
        <f>CONCATENATE("Subtotal ",A6)</f>
        <v>Subtotal Existing Measure Maintenance</v>
      </c>
      <c r="B10" s="94">
        <f>SUM(B7:B9)</f>
        <v>141000</v>
      </c>
      <c r="C10" s="94">
        <f>SUM(C7:C9)</f>
        <v>431200</v>
      </c>
      <c r="D10" s="94">
        <f>SUM(D7:D9)</f>
        <v>0</v>
      </c>
      <c r="E10" s="94">
        <f>SUM(E7:E9)</f>
        <v>572200</v>
      </c>
      <c r="F10" s="94">
        <f>SUM(F7:F9)</f>
        <v>14010</v>
      </c>
      <c r="G10" s="95">
        <f>E10/$E$76</f>
        <v>0.28610000000000002</v>
      </c>
      <c r="H10" s="369"/>
      <c r="I10" s="91"/>
      <c r="J10" s="87"/>
      <c r="K10" s="96"/>
      <c r="L10" s="96"/>
      <c r="M10" s="92"/>
      <c r="N10" s="86"/>
    </row>
    <row r="11" spans="1:15" s="129" customFormat="1" x14ac:dyDescent="0.25">
      <c r="A11" s="86"/>
      <c r="B11" s="89"/>
      <c r="C11" s="89"/>
      <c r="D11" s="89"/>
      <c r="E11" s="89"/>
      <c r="F11" s="97"/>
      <c r="G11" s="91"/>
      <c r="H11" s="371"/>
      <c r="I11" s="91"/>
      <c r="J11" s="91"/>
      <c r="K11" s="98"/>
      <c r="L11" s="98"/>
      <c r="M11" s="92"/>
      <c r="N11" s="86"/>
    </row>
    <row r="12" spans="1:15" s="129" customFormat="1" x14ac:dyDescent="0.25">
      <c r="A12" s="86"/>
      <c r="B12" s="89"/>
      <c r="C12" s="89"/>
      <c r="D12" s="89"/>
      <c r="E12" s="89"/>
      <c r="F12" s="97"/>
      <c r="G12" s="91"/>
      <c r="H12" s="371"/>
      <c r="I12" s="91"/>
      <c r="J12" s="91" t="s">
        <v>84</v>
      </c>
      <c r="K12" s="92"/>
      <c r="L12" s="92"/>
      <c r="M12" s="92"/>
      <c r="N12" s="86"/>
    </row>
    <row r="13" spans="1:15" s="129" customFormat="1" x14ac:dyDescent="0.25">
      <c r="A13" s="84" t="s">
        <v>174</v>
      </c>
      <c r="B13" s="89"/>
      <c r="C13" s="89"/>
      <c r="D13" s="89"/>
      <c r="E13" s="89"/>
      <c r="F13" s="89"/>
      <c r="G13" s="91"/>
      <c r="H13" s="371"/>
      <c r="I13" s="91"/>
      <c r="J13" s="87"/>
      <c r="K13" s="92"/>
      <c r="L13" s="92"/>
      <c r="M13" s="92"/>
      <c r="N13" s="86"/>
    </row>
    <row r="14" spans="1:15" s="129" customFormat="1" x14ac:dyDescent="0.25">
      <c r="A14" s="93" t="s">
        <v>85</v>
      </c>
      <c r="B14" s="89">
        <f>$I14*J14</f>
        <v>20600</v>
      </c>
      <c r="C14" s="89">
        <f t="shared" ref="C14:D14" si="5">$I14*K14</f>
        <v>20600</v>
      </c>
      <c r="D14" s="89">
        <f t="shared" si="5"/>
        <v>0</v>
      </c>
      <c r="E14" s="89">
        <f>SUM(B14:D14)</f>
        <v>41200</v>
      </c>
      <c r="F14" s="89">
        <f>M14*I14</f>
        <v>0</v>
      </c>
      <c r="G14" s="90"/>
      <c r="H14" s="369" t="s">
        <v>226</v>
      </c>
      <c r="I14" s="99">
        <v>2</v>
      </c>
      <c r="J14" s="87">
        <v>10300</v>
      </c>
      <c r="K14" s="92">
        <v>10300</v>
      </c>
      <c r="L14" s="92">
        <v>0</v>
      </c>
      <c r="M14" s="92">
        <v>0</v>
      </c>
      <c r="N14" s="93" t="s">
        <v>86</v>
      </c>
    </row>
    <row r="15" spans="1:15" s="129" customFormat="1" x14ac:dyDescent="0.25">
      <c r="A15" s="93" t="s">
        <v>261</v>
      </c>
      <c r="B15" s="89">
        <f t="shared" ref="B15:B17" si="6">$I15*J15</f>
        <v>22500</v>
      </c>
      <c r="C15" s="89">
        <f t="shared" ref="C15:C18" si="7">$I15*K15</f>
        <v>128000</v>
      </c>
      <c r="D15" s="89">
        <f t="shared" ref="D15:D18" si="8">$I15*L15</f>
        <v>0</v>
      </c>
      <c r="E15" s="89">
        <f t="shared" ref="E15:E18" si="9">SUM(B15:D15)</f>
        <v>150500</v>
      </c>
      <c r="F15" s="89">
        <f t="shared" ref="F15:F18" si="10">M15*I15</f>
        <v>3600</v>
      </c>
      <c r="G15" s="90"/>
      <c r="H15" s="369" t="s">
        <v>226</v>
      </c>
      <c r="I15" s="99">
        <v>5</v>
      </c>
      <c r="J15" s="87">
        <v>4500</v>
      </c>
      <c r="K15" s="92">
        <v>25600</v>
      </c>
      <c r="L15" s="92">
        <v>0</v>
      </c>
      <c r="M15" s="92">
        <v>720</v>
      </c>
      <c r="N15" s="93" t="s">
        <v>239</v>
      </c>
    </row>
    <row r="16" spans="1:15" s="129" customFormat="1" x14ac:dyDescent="0.25">
      <c r="A16" s="93" t="s">
        <v>87</v>
      </c>
      <c r="B16" s="89">
        <f t="shared" si="6"/>
        <v>9000</v>
      </c>
      <c r="C16" s="89">
        <f t="shared" si="7"/>
        <v>51200</v>
      </c>
      <c r="D16" s="89">
        <f t="shared" si="8"/>
        <v>0</v>
      </c>
      <c r="E16" s="89">
        <f t="shared" si="9"/>
        <v>60200</v>
      </c>
      <c r="F16" s="89">
        <f t="shared" si="10"/>
        <v>1440</v>
      </c>
      <c r="G16" s="90"/>
      <c r="H16" s="369" t="s">
        <v>227</v>
      </c>
      <c r="I16" s="99">
        <v>2</v>
      </c>
      <c r="J16" s="87">
        <v>4500</v>
      </c>
      <c r="K16" s="92">
        <v>25600</v>
      </c>
      <c r="L16" s="92">
        <v>0</v>
      </c>
      <c r="M16" s="92">
        <v>720</v>
      </c>
      <c r="N16" s="93" t="s">
        <v>240</v>
      </c>
    </row>
    <row r="17" spans="1:14" s="129" customFormat="1" x14ac:dyDescent="0.25">
      <c r="A17" s="93" t="s">
        <v>88</v>
      </c>
      <c r="B17" s="89">
        <f t="shared" si="6"/>
        <v>9000</v>
      </c>
      <c r="C17" s="89">
        <f t="shared" si="7"/>
        <v>51200</v>
      </c>
      <c r="D17" s="89">
        <f t="shared" si="8"/>
        <v>0</v>
      </c>
      <c r="E17" s="89">
        <f t="shared" si="9"/>
        <v>60200</v>
      </c>
      <c r="F17" s="89">
        <f t="shared" si="10"/>
        <v>1440</v>
      </c>
      <c r="G17" s="90"/>
      <c r="H17" s="369" t="s">
        <v>228</v>
      </c>
      <c r="I17" s="99">
        <v>2</v>
      </c>
      <c r="J17" s="87">
        <v>4500</v>
      </c>
      <c r="K17" s="92">
        <v>25600</v>
      </c>
      <c r="L17" s="92">
        <v>0</v>
      </c>
      <c r="M17" s="92">
        <v>720</v>
      </c>
      <c r="N17" s="93" t="s">
        <v>241</v>
      </c>
    </row>
    <row r="18" spans="1:14" s="129" customFormat="1" x14ac:dyDescent="0.25">
      <c r="A18" s="93" t="s">
        <v>89</v>
      </c>
      <c r="B18" s="89">
        <v>15000</v>
      </c>
      <c r="C18" s="89">
        <f t="shared" si="7"/>
        <v>25600</v>
      </c>
      <c r="D18" s="89">
        <f t="shared" si="8"/>
        <v>0</v>
      </c>
      <c r="E18" s="89">
        <f t="shared" si="9"/>
        <v>40600</v>
      </c>
      <c r="F18" s="89">
        <f t="shared" si="10"/>
        <v>105</v>
      </c>
      <c r="G18" s="90"/>
      <c r="H18" s="369" t="s">
        <v>227</v>
      </c>
      <c r="I18" s="99">
        <v>1</v>
      </c>
      <c r="J18" s="87">
        <v>0</v>
      </c>
      <c r="K18" s="92">
        <v>25600</v>
      </c>
      <c r="L18" s="92">
        <v>0</v>
      </c>
      <c r="M18" s="92">
        <v>105</v>
      </c>
      <c r="N18" s="86" t="s">
        <v>320</v>
      </c>
    </row>
    <row r="19" spans="1:14" s="129" customFormat="1" x14ac:dyDescent="0.25">
      <c r="A19" s="84" t="str">
        <f>CONCATENATE("Subtotal ",A13)</f>
        <v>Subtotal New Measure Development</v>
      </c>
      <c r="B19" s="94">
        <f>SUM(B14:B18)</f>
        <v>76100</v>
      </c>
      <c r="C19" s="94">
        <f>SUM(C14:C18)</f>
        <v>276600</v>
      </c>
      <c r="D19" s="94">
        <f>SUM(D14:D18)</f>
        <v>0</v>
      </c>
      <c r="E19" s="94">
        <f>SUM(E14:E18)</f>
        <v>352700</v>
      </c>
      <c r="F19" s="94">
        <f>SUM(F14:F18)</f>
        <v>6585</v>
      </c>
      <c r="G19" s="95">
        <f>E19/$E$76</f>
        <v>0.17635000000000001</v>
      </c>
      <c r="H19" s="369"/>
      <c r="I19" s="91"/>
      <c r="J19" s="91"/>
      <c r="K19" s="86"/>
      <c r="L19" s="86"/>
      <c r="M19" s="86"/>
      <c r="N19" s="93"/>
    </row>
    <row r="20" spans="1:14" s="129" customFormat="1" x14ac:dyDescent="0.25">
      <c r="A20" s="84"/>
      <c r="B20" s="89"/>
      <c r="C20" s="89"/>
      <c r="D20" s="89"/>
      <c r="E20" s="89"/>
      <c r="F20" s="100"/>
      <c r="G20" s="91"/>
      <c r="H20" s="371"/>
      <c r="I20" s="91"/>
      <c r="J20" s="91"/>
      <c r="K20" s="86"/>
      <c r="L20" s="86"/>
      <c r="M20" s="86"/>
      <c r="N20" s="93"/>
    </row>
    <row r="21" spans="1:14" s="129" customFormat="1" x14ac:dyDescent="0.25">
      <c r="A21" s="86"/>
      <c r="B21" s="89"/>
      <c r="C21" s="89"/>
      <c r="D21" s="89"/>
      <c r="E21" s="89"/>
      <c r="F21" s="100"/>
      <c r="G21" s="91"/>
      <c r="H21" s="371"/>
      <c r="I21" s="91"/>
      <c r="J21" s="91"/>
      <c r="K21" s="101"/>
      <c r="L21" s="101"/>
      <c r="M21" s="101"/>
      <c r="N21" s="93"/>
    </row>
    <row r="22" spans="1:14" s="42" customFormat="1" x14ac:dyDescent="0.25">
      <c r="A22" s="84" t="s">
        <v>90</v>
      </c>
      <c r="B22" s="102"/>
      <c r="C22" s="102"/>
      <c r="D22" s="102"/>
      <c r="E22" s="102"/>
      <c r="F22" s="102"/>
      <c r="G22" s="102"/>
      <c r="H22" s="372"/>
      <c r="I22" s="102"/>
      <c r="J22" s="102"/>
      <c r="K22" s="101"/>
      <c r="L22" s="101"/>
      <c r="M22" s="101"/>
      <c r="N22" s="93"/>
    </row>
    <row r="23" spans="1:14" s="42" customFormat="1" x14ac:dyDescent="0.25">
      <c r="A23" s="93" t="s">
        <v>91</v>
      </c>
      <c r="B23" s="89">
        <v>0</v>
      </c>
      <c r="C23" s="89">
        <v>0</v>
      </c>
      <c r="D23" s="89">
        <v>0</v>
      </c>
      <c r="E23" s="89">
        <f>SUM(B23:D23)</f>
        <v>0</v>
      </c>
      <c r="F23" s="89">
        <v>0</v>
      </c>
      <c r="G23" s="102"/>
      <c r="H23" s="372" t="s">
        <v>227</v>
      </c>
      <c r="I23" s="99" t="s">
        <v>92</v>
      </c>
      <c r="J23" s="87"/>
      <c r="K23" s="92"/>
      <c r="L23" s="92"/>
      <c r="M23" s="92"/>
      <c r="N23" s="93" t="s">
        <v>243</v>
      </c>
    </row>
    <row r="24" spans="1:14" s="42" customFormat="1" x14ac:dyDescent="0.25">
      <c r="A24" s="93" t="s">
        <v>93</v>
      </c>
      <c r="B24" s="89">
        <v>0</v>
      </c>
      <c r="C24" s="89">
        <v>0</v>
      </c>
      <c r="D24" s="89">
        <v>0</v>
      </c>
      <c r="E24" s="89">
        <f>SUM(B24:D24)</f>
        <v>0</v>
      </c>
      <c r="F24" s="89">
        <v>0</v>
      </c>
      <c r="G24" s="102"/>
      <c r="H24" s="372" t="s">
        <v>227</v>
      </c>
      <c r="I24" s="99" t="s">
        <v>92</v>
      </c>
      <c r="J24" s="87"/>
      <c r="K24" s="92"/>
      <c r="L24" s="92"/>
      <c r="M24" s="92"/>
      <c r="N24" s="93" t="s">
        <v>244</v>
      </c>
    </row>
    <row r="25" spans="1:14" s="42" customFormat="1" x14ac:dyDescent="0.25">
      <c r="A25" s="93" t="s">
        <v>94</v>
      </c>
      <c r="B25" s="89">
        <v>0</v>
      </c>
      <c r="C25" s="89">
        <v>185000</v>
      </c>
      <c r="D25" s="89">
        <v>0</v>
      </c>
      <c r="E25" s="89">
        <f t="shared" ref="E25" si="11">SUM(B25:D25)</f>
        <v>185000</v>
      </c>
      <c r="F25" s="89">
        <v>0</v>
      </c>
      <c r="G25" s="95"/>
      <c r="H25" s="369" t="s">
        <v>227</v>
      </c>
      <c r="I25" s="99" t="s">
        <v>92</v>
      </c>
      <c r="J25" s="87"/>
      <c r="K25" s="92"/>
      <c r="L25" s="92"/>
      <c r="M25" s="92"/>
      <c r="N25" s="93" t="s">
        <v>95</v>
      </c>
    </row>
    <row r="26" spans="1:14" s="42" customFormat="1" x14ac:dyDescent="0.25">
      <c r="A26" s="84" t="str">
        <f>CONCATENATE("Subtotal ",A22)</f>
        <v>Subtotal Standardization of Technical Analysis</v>
      </c>
      <c r="B26" s="94">
        <f>SUM(B23:B25)</f>
        <v>0</v>
      </c>
      <c r="C26" s="94">
        <f>SUM(C23:C25)</f>
        <v>185000</v>
      </c>
      <c r="D26" s="94">
        <f>SUM(D23:D25)</f>
        <v>0</v>
      </c>
      <c r="E26" s="94">
        <f>SUM(E23:E25)</f>
        <v>185000</v>
      </c>
      <c r="F26" s="94">
        <f>SUM(F23:F25)</f>
        <v>0</v>
      </c>
      <c r="G26" s="95">
        <f>E26/$E$76</f>
        <v>9.2499999999999999E-2</v>
      </c>
      <c r="H26" s="370"/>
      <c r="I26" s="102"/>
      <c r="J26" s="102"/>
      <c r="K26" s="101"/>
      <c r="L26" s="101"/>
      <c r="M26" s="101"/>
      <c r="N26" s="93"/>
    </row>
    <row r="27" spans="1:14" s="42" customFormat="1" x14ac:dyDescent="0.25">
      <c r="A27" s="84"/>
      <c r="B27" s="94"/>
      <c r="C27" s="94"/>
      <c r="D27" s="94"/>
      <c r="E27" s="94"/>
      <c r="F27" s="94"/>
      <c r="G27" s="95"/>
      <c r="H27" s="370"/>
      <c r="I27" s="102"/>
      <c r="J27" s="102"/>
      <c r="K27" s="101"/>
      <c r="L27" s="101"/>
      <c r="M27" s="101"/>
      <c r="N27" s="93"/>
    </row>
    <row r="28" spans="1:14" s="42" customFormat="1" x14ac:dyDescent="0.25">
      <c r="B28" s="103"/>
      <c r="C28" s="104"/>
      <c r="D28" s="103"/>
      <c r="E28" s="103"/>
      <c r="F28" s="20"/>
      <c r="G28" s="19"/>
      <c r="H28" s="373"/>
      <c r="I28" s="19"/>
      <c r="J28" s="19"/>
      <c r="N28" s="105"/>
    </row>
    <row r="29" spans="1:14" s="42" customFormat="1" x14ac:dyDescent="0.25">
      <c r="A29" s="130" t="s">
        <v>96</v>
      </c>
      <c r="B29" s="131"/>
      <c r="C29" s="131"/>
      <c r="D29" s="131"/>
      <c r="E29" s="131"/>
      <c r="F29" s="132"/>
      <c r="G29" s="132"/>
      <c r="H29" s="374"/>
      <c r="I29" s="132"/>
      <c r="J29" s="132"/>
      <c r="K29" s="133"/>
      <c r="L29" s="133"/>
      <c r="M29" s="134"/>
      <c r="N29" s="135"/>
    </row>
    <row r="30" spans="1:14" s="42" customFormat="1" x14ac:dyDescent="0.25">
      <c r="A30" s="135" t="s">
        <v>97</v>
      </c>
      <c r="B30" s="131">
        <v>0</v>
      </c>
      <c r="C30" s="131">
        <v>60200</v>
      </c>
      <c r="D30" s="131">
        <v>0</v>
      </c>
      <c r="E30" s="131">
        <f>SUM(B30:D30)</f>
        <v>60200</v>
      </c>
      <c r="F30" s="131">
        <v>5000</v>
      </c>
      <c r="G30" s="136"/>
      <c r="H30" s="385" t="s">
        <v>227</v>
      </c>
      <c r="I30" s="132"/>
      <c r="J30" s="137"/>
      <c r="K30" s="134"/>
      <c r="L30" s="134"/>
      <c r="M30" s="134"/>
      <c r="N30" s="135" t="s">
        <v>246</v>
      </c>
    </row>
    <row r="31" spans="1:14" s="42" customFormat="1" x14ac:dyDescent="0.25">
      <c r="A31" s="135" t="s">
        <v>98</v>
      </c>
      <c r="B31" s="131">
        <v>20000</v>
      </c>
      <c r="C31" s="131">
        <v>20000</v>
      </c>
      <c r="D31" s="131">
        <v>0</v>
      </c>
      <c r="E31" s="131">
        <f>SUM(B31:D31)</f>
        <v>40000</v>
      </c>
      <c r="F31" s="131">
        <v>500</v>
      </c>
      <c r="G31" s="136"/>
      <c r="H31" s="385" t="s">
        <v>227</v>
      </c>
      <c r="I31" s="132"/>
      <c r="J31" s="137"/>
      <c r="K31" s="134"/>
      <c r="L31" s="134"/>
      <c r="M31" s="134"/>
      <c r="N31" s="135" t="s">
        <v>310</v>
      </c>
    </row>
    <row r="32" spans="1:14" s="42" customFormat="1" x14ac:dyDescent="0.25">
      <c r="A32" s="135" t="s">
        <v>99</v>
      </c>
      <c r="B32" s="131">
        <v>0</v>
      </c>
      <c r="C32" s="131">
        <v>0</v>
      </c>
      <c r="D32" s="131">
        <v>0</v>
      </c>
      <c r="E32" s="131">
        <f>SUM(B32:D32)</f>
        <v>0</v>
      </c>
      <c r="F32" s="131">
        <v>0</v>
      </c>
      <c r="G32" s="136"/>
      <c r="H32" s="385" t="s">
        <v>227</v>
      </c>
      <c r="I32" s="132"/>
      <c r="J32" s="137"/>
      <c r="K32" s="134"/>
      <c r="L32" s="134"/>
      <c r="M32" s="134"/>
      <c r="N32" s="135" t="s">
        <v>275</v>
      </c>
    </row>
    <row r="33" spans="1:14" s="42" customFormat="1" x14ac:dyDescent="0.25">
      <c r="A33" s="135" t="s">
        <v>100</v>
      </c>
      <c r="B33" s="131">
        <v>0</v>
      </c>
      <c r="C33" s="131">
        <v>10000</v>
      </c>
      <c r="D33" s="131">
        <v>0</v>
      </c>
      <c r="E33" s="131">
        <f>SUM(B33:D33)</f>
        <v>10000</v>
      </c>
      <c r="F33" s="131">
        <v>5000</v>
      </c>
      <c r="G33" s="136"/>
      <c r="H33" s="385" t="s">
        <v>227</v>
      </c>
      <c r="I33" s="132"/>
      <c r="J33" s="137"/>
      <c r="K33" s="134"/>
      <c r="L33" s="134"/>
      <c r="M33" s="133"/>
      <c r="N33" s="135" t="s">
        <v>276</v>
      </c>
    </row>
    <row r="34" spans="1:14" s="42" customFormat="1" x14ac:dyDescent="0.25">
      <c r="A34" s="130" t="str">
        <f>CONCATENATE("Subtotal ",A29)</f>
        <v>Subtotal Tool Development</v>
      </c>
      <c r="B34" s="138">
        <f>SUM(B30:B33)</f>
        <v>20000</v>
      </c>
      <c r="C34" s="138">
        <f>SUM(C30:C33)</f>
        <v>90200</v>
      </c>
      <c r="D34" s="138">
        <f>SUM(D30:D33)</f>
        <v>0</v>
      </c>
      <c r="E34" s="138">
        <f>SUM(E30:E33)</f>
        <v>110200</v>
      </c>
      <c r="F34" s="138">
        <f>SUM(F30:F33)</f>
        <v>10500</v>
      </c>
      <c r="G34" s="136">
        <f>E34/$E$76</f>
        <v>5.5100000000000003E-2</v>
      </c>
      <c r="H34" s="385"/>
      <c r="I34" s="132"/>
      <c r="J34" s="132"/>
      <c r="K34" s="133"/>
      <c r="L34" s="133"/>
      <c r="M34" s="133"/>
      <c r="N34" s="135"/>
    </row>
    <row r="35" spans="1:14" s="42" customFormat="1" x14ac:dyDescent="0.25">
      <c r="A35" s="135"/>
      <c r="B35" s="131"/>
      <c r="C35" s="131"/>
      <c r="D35" s="131"/>
      <c r="E35" s="131"/>
      <c r="F35" s="132"/>
      <c r="G35" s="132"/>
      <c r="H35" s="374"/>
      <c r="I35" s="132"/>
      <c r="J35" s="132"/>
      <c r="K35" s="133"/>
      <c r="L35" s="133"/>
      <c r="M35" s="133"/>
      <c r="N35" s="135"/>
    </row>
    <row r="36" spans="1:14" s="42" customFormat="1" x14ac:dyDescent="0.25">
      <c r="A36" s="135"/>
      <c r="B36" s="131"/>
      <c r="C36" s="131"/>
      <c r="D36" s="131"/>
      <c r="E36" s="131"/>
      <c r="F36" s="132"/>
      <c r="G36" s="132"/>
      <c r="H36" s="374"/>
      <c r="I36" s="132"/>
      <c r="J36" s="140"/>
      <c r="K36" s="139"/>
      <c r="L36" s="133"/>
      <c r="M36" s="133"/>
      <c r="N36" s="135"/>
    </row>
    <row r="37" spans="1:14" s="42" customFormat="1" x14ac:dyDescent="0.25">
      <c r="A37" s="130" t="s">
        <v>101</v>
      </c>
      <c r="B37" s="131"/>
      <c r="C37" s="131"/>
      <c r="D37" s="131"/>
      <c r="E37" s="131"/>
      <c r="F37" s="141"/>
      <c r="G37" s="132"/>
      <c r="H37" s="374"/>
      <c r="I37" s="132"/>
      <c r="J37" s="132"/>
      <c r="K37" s="133"/>
      <c r="L37" s="133"/>
      <c r="M37" s="133"/>
      <c r="N37" s="135"/>
    </row>
    <row r="38" spans="1:14" s="42" customFormat="1" x14ac:dyDescent="0.25">
      <c r="A38" s="135" t="s">
        <v>102</v>
      </c>
      <c r="B38" s="131">
        <v>0</v>
      </c>
      <c r="C38" s="131">
        <v>60000</v>
      </c>
      <c r="D38" s="131">
        <v>0</v>
      </c>
      <c r="E38" s="131">
        <f>SUM(B38:D38)</f>
        <v>60000</v>
      </c>
      <c r="F38" s="141">
        <v>1000</v>
      </c>
      <c r="G38" s="136"/>
      <c r="H38" s="385" t="s">
        <v>227</v>
      </c>
      <c r="I38" s="132"/>
      <c r="J38" s="132"/>
      <c r="K38" s="133"/>
      <c r="L38" s="133"/>
      <c r="M38" s="133"/>
      <c r="N38" s="135" t="s">
        <v>308</v>
      </c>
    </row>
    <row r="39" spans="1:14" s="42" customFormat="1" x14ac:dyDescent="0.25">
      <c r="A39" s="135" t="s">
        <v>288</v>
      </c>
      <c r="B39" s="131">
        <v>25000</v>
      </c>
      <c r="C39" s="131">
        <v>0</v>
      </c>
      <c r="D39" s="131">
        <v>0</v>
      </c>
      <c r="E39" s="131">
        <f>SUM(B39:D39)</f>
        <v>25000</v>
      </c>
      <c r="F39" s="141">
        <v>1000</v>
      </c>
      <c r="G39" s="136"/>
      <c r="H39" s="385" t="s">
        <v>227</v>
      </c>
      <c r="I39" s="132"/>
      <c r="J39" s="132"/>
      <c r="K39" s="133"/>
      <c r="L39" s="133"/>
      <c r="M39" s="133"/>
      <c r="N39" s="135" t="s">
        <v>319</v>
      </c>
    </row>
    <row r="40" spans="1:14" s="42" customFormat="1" x14ac:dyDescent="0.25">
      <c r="A40" s="135" t="s">
        <v>103</v>
      </c>
      <c r="B40" s="131">
        <v>0</v>
      </c>
      <c r="C40" s="131">
        <v>10000</v>
      </c>
      <c r="D40" s="131">
        <v>0</v>
      </c>
      <c r="E40" s="131">
        <f t="shared" ref="E40:E44" si="12">SUM(B40:D40)</f>
        <v>10000</v>
      </c>
      <c r="F40" s="141">
        <v>0</v>
      </c>
      <c r="G40" s="136"/>
      <c r="H40" s="385" t="s">
        <v>226</v>
      </c>
      <c r="I40" s="132"/>
      <c r="J40" s="132"/>
      <c r="K40" s="133"/>
      <c r="L40" s="133"/>
      <c r="M40" s="133"/>
      <c r="N40" s="135" t="s">
        <v>272</v>
      </c>
    </row>
    <row r="41" spans="1:14" s="42" customFormat="1" x14ac:dyDescent="0.25">
      <c r="A41" s="135" t="s">
        <v>104</v>
      </c>
      <c r="B41" s="131">
        <v>0</v>
      </c>
      <c r="C41" s="131">
        <v>18000</v>
      </c>
      <c r="D41" s="131">
        <v>0</v>
      </c>
      <c r="E41" s="131">
        <f t="shared" si="12"/>
        <v>18000</v>
      </c>
      <c r="F41" s="141">
        <v>5000</v>
      </c>
      <c r="G41" s="136"/>
      <c r="H41" s="385" t="s">
        <v>226</v>
      </c>
      <c r="I41" s="132"/>
      <c r="J41" s="132"/>
      <c r="K41" s="133"/>
      <c r="L41" s="133"/>
      <c r="M41" s="133"/>
      <c r="N41" s="135" t="s">
        <v>311</v>
      </c>
    </row>
    <row r="42" spans="1:14" s="42" customFormat="1" x14ac:dyDescent="0.25">
      <c r="A42" s="135" t="s">
        <v>105</v>
      </c>
      <c r="B42" s="131">
        <v>0</v>
      </c>
      <c r="C42" s="131">
        <v>10000</v>
      </c>
      <c r="D42" s="131">
        <v>0</v>
      </c>
      <c r="E42" s="131">
        <f t="shared" si="12"/>
        <v>10000</v>
      </c>
      <c r="F42" s="141">
        <v>1000</v>
      </c>
      <c r="G42" s="136"/>
      <c r="H42" s="385" t="s">
        <v>226</v>
      </c>
      <c r="I42" s="132"/>
      <c r="J42" s="132"/>
      <c r="K42" s="133"/>
      <c r="L42" s="133"/>
      <c r="M42" s="133"/>
      <c r="N42" s="135" t="s">
        <v>277</v>
      </c>
    </row>
    <row r="43" spans="1:14" s="42" customFormat="1" x14ac:dyDescent="0.25">
      <c r="A43" s="135" t="s">
        <v>106</v>
      </c>
      <c r="B43" s="131">
        <v>100000</v>
      </c>
      <c r="C43" s="131">
        <v>20000</v>
      </c>
      <c r="D43" s="131">
        <v>0</v>
      </c>
      <c r="E43" s="131">
        <f t="shared" si="12"/>
        <v>120000</v>
      </c>
      <c r="F43" s="141">
        <v>5000</v>
      </c>
      <c r="G43" s="136"/>
      <c r="H43" s="385" t="s">
        <v>226</v>
      </c>
      <c r="I43" s="132"/>
      <c r="J43" s="132"/>
      <c r="K43" s="133"/>
      <c r="L43" s="133"/>
      <c r="M43" s="133"/>
      <c r="N43" s="135" t="s">
        <v>321</v>
      </c>
    </row>
    <row r="44" spans="1:14" s="42" customFormat="1" x14ac:dyDescent="0.25">
      <c r="A44" s="135" t="s">
        <v>273</v>
      </c>
      <c r="B44" s="131">
        <v>0</v>
      </c>
      <c r="C44" s="131">
        <v>20000</v>
      </c>
      <c r="D44" s="131">
        <v>0</v>
      </c>
      <c r="E44" s="131">
        <f t="shared" si="12"/>
        <v>20000</v>
      </c>
      <c r="F44" s="141">
        <v>5000</v>
      </c>
      <c r="G44" s="136"/>
      <c r="H44" s="385" t="s">
        <v>227</v>
      </c>
      <c r="I44" s="132"/>
      <c r="J44" s="132"/>
      <c r="K44" s="133"/>
      <c r="L44" s="133"/>
      <c r="M44" s="133"/>
      <c r="N44" s="135" t="s">
        <v>274</v>
      </c>
    </row>
    <row r="45" spans="1:14" s="42" customFormat="1" x14ac:dyDescent="0.25">
      <c r="A45" s="130" t="str">
        <f>CONCATENATE("Subtotal ",A37)</f>
        <v>Subtotal Regional Coordination on Energy Efficiency</v>
      </c>
      <c r="B45" s="138">
        <f>SUM(B38:B44)</f>
        <v>125000</v>
      </c>
      <c r="C45" s="138">
        <f>SUM(C38:C44)</f>
        <v>138000</v>
      </c>
      <c r="D45" s="138">
        <f>SUM(D38:D44)</f>
        <v>0</v>
      </c>
      <c r="E45" s="138">
        <f>SUM(E38:E44)</f>
        <v>263000</v>
      </c>
      <c r="F45" s="138">
        <f>SUM(F38:F44)</f>
        <v>18000</v>
      </c>
      <c r="G45" s="136">
        <f>E45/$E$76</f>
        <v>0.13150000000000001</v>
      </c>
      <c r="H45" s="385"/>
      <c r="I45" s="132"/>
      <c r="J45" s="132"/>
      <c r="K45" s="133"/>
      <c r="L45" s="133"/>
      <c r="M45" s="133"/>
      <c r="N45" s="135"/>
    </row>
    <row r="46" spans="1:14" s="42" customFormat="1" x14ac:dyDescent="0.25">
      <c r="A46" s="130"/>
      <c r="B46" s="138"/>
      <c r="C46" s="138"/>
      <c r="D46" s="138"/>
      <c r="E46" s="138"/>
      <c r="F46" s="138"/>
      <c r="G46" s="136"/>
      <c r="H46" s="385"/>
      <c r="I46" s="132"/>
      <c r="J46" s="132"/>
      <c r="K46" s="133"/>
      <c r="L46" s="133"/>
      <c r="M46" s="133"/>
      <c r="N46" s="135"/>
    </row>
    <row r="47" spans="1:14" s="42" customFormat="1" x14ac:dyDescent="0.25">
      <c r="A47" s="106"/>
      <c r="B47" s="107"/>
      <c r="C47" s="107"/>
      <c r="D47" s="107"/>
      <c r="E47" s="107"/>
      <c r="F47" s="107"/>
      <c r="G47" s="108"/>
      <c r="H47" s="386"/>
      <c r="I47" s="19"/>
      <c r="J47" s="19"/>
      <c r="N47" s="105"/>
    </row>
    <row r="48" spans="1:14" s="42" customFormat="1" x14ac:dyDescent="0.25">
      <c r="A48" s="221" t="s">
        <v>107</v>
      </c>
      <c r="B48" s="222"/>
      <c r="C48" s="222"/>
      <c r="D48" s="222"/>
      <c r="E48" s="222"/>
      <c r="F48" s="223"/>
      <c r="G48" s="223"/>
      <c r="H48" s="375"/>
      <c r="I48" s="223"/>
      <c r="J48" s="223"/>
      <c r="K48" s="224"/>
      <c r="L48" s="224"/>
      <c r="M48" s="224"/>
      <c r="N48" s="225"/>
    </row>
    <row r="49" spans="1:15" s="42" customFormat="1" x14ac:dyDescent="0.25">
      <c r="A49" s="225" t="s">
        <v>108</v>
      </c>
      <c r="B49" s="222">
        <v>25700</v>
      </c>
      <c r="C49" s="222">
        <v>25700</v>
      </c>
      <c r="D49" s="222">
        <v>0</v>
      </c>
      <c r="E49" s="222">
        <f>SUM(B49:D49)</f>
        <v>51400</v>
      </c>
      <c r="F49" s="455">
        <v>10000</v>
      </c>
      <c r="G49" s="223"/>
      <c r="H49" s="375" t="s">
        <v>226</v>
      </c>
      <c r="I49" s="226"/>
      <c r="J49" s="227"/>
      <c r="K49" s="228"/>
      <c r="L49" s="228"/>
      <c r="M49" s="228"/>
      <c r="N49" s="225" t="s">
        <v>223</v>
      </c>
    </row>
    <row r="50" spans="1:15" s="42" customFormat="1" x14ac:dyDescent="0.25">
      <c r="A50" s="221" t="str">
        <f>CONCATENATE("Subtotal ",A48)</f>
        <v>Subtotal Demand Response Products</v>
      </c>
      <c r="B50" s="229">
        <f>SUM(B49:B49)</f>
        <v>25700</v>
      </c>
      <c r="C50" s="229">
        <f>SUM(C49:C49)</f>
        <v>25700</v>
      </c>
      <c r="D50" s="229">
        <f>SUM(D49:D49)</f>
        <v>0</v>
      </c>
      <c r="E50" s="229">
        <f>SUM(E49:E49)</f>
        <v>51400</v>
      </c>
      <c r="F50" s="229">
        <f>SUM(F49:F49)</f>
        <v>10000</v>
      </c>
      <c r="G50" s="230">
        <f>E50/$E$76</f>
        <v>2.5700000000000001E-2</v>
      </c>
      <c r="H50" s="387"/>
      <c r="I50" s="223"/>
      <c r="J50" s="223"/>
      <c r="K50" s="231"/>
      <c r="L50" s="224"/>
      <c r="M50" s="224"/>
      <c r="N50" s="225"/>
    </row>
    <row r="51" spans="1:15" s="42" customFormat="1" x14ac:dyDescent="0.25">
      <c r="A51" s="224"/>
      <c r="B51" s="222"/>
      <c r="C51" s="222"/>
      <c r="D51" s="222"/>
      <c r="E51" s="222"/>
      <c r="F51" s="229"/>
      <c r="G51" s="223"/>
      <c r="H51" s="375"/>
      <c r="I51" s="223"/>
      <c r="J51" s="223"/>
      <c r="K51" s="224"/>
      <c r="L51" s="224"/>
      <c r="M51" s="224"/>
      <c r="N51" s="225"/>
    </row>
    <row r="52" spans="1:15" x14ac:dyDescent="0.25">
      <c r="A52" s="109"/>
      <c r="B52" s="110"/>
      <c r="C52" s="110"/>
      <c r="D52" s="110"/>
      <c r="E52" s="110"/>
      <c r="F52" s="107"/>
      <c r="G52" s="21"/>
      <c r="H52" s="376"/>
      <c r="I52" s="21"/>
      <c r="J52" s="21"/>
      <c r="M52" s="42"/>
      <c r="N52" s="109"/>
      <c r="O52" s="1"/>
    </row>
    <row r="53" spans="1:15" s="42" customFormat="1" x14ac:dyDescent="0.25">
      <c r="A53" s="232" t="s">
        <v>184</v>
      </c>
      <c r="B53" s="233"/>
      <c r="C53" s="233"/>
      <c r="D53" s="233"/>
      <c r="E53" s="233"/>
      <c r="F53" s="234"/>
      <c r="G53" s="235"/>
      <c r="H53" s="377"/>
      <c r="I53" s="235"/>
      <c r="J53" s="235"/>
      <c r="K53" s="236"/>
      <c r="L53" s="236"/>
      <c r="M53" s="236"/>
      <c r="N53" s="237"/>
    </row>
    <row r="54" spans="1:15" s="42" customFormat="1" x14ac:dyDescent="0.25">
      <c r="A54" s="237" t="s">
        <v>109</v>
      </c>
      <c r="B54" s="233">
        <v>0</v>
      </c>
      <c r="C54" s="233">
        <v>0</v>
      </c>
      <c r="D54" s="233">
        <v>0</v>
      </c>
      <c r="E54" s="233">
        <f>SUM(B54:D54)</f>
        <v>0</v>
      </c>
      <c r="F54" s="233">
        <v>30000</v>
      </c>
      <c r="G54" s="235"/>
      <c r="H54" s="377" t="s">
        <v>226</v>
      </c>
      <c r="I54" s="235"/>
      <c r="J54" s="235"/>
      <c r="K54" s="236"/>
      <c r="L54" s="236"/>
      <c r="M54" s="236"/>
      <c r="N54" s="237" t="s">
        <v>169</v>
      </c>
    </row>
    <row r="55" spans="1:15" s="42" customFormat="1" x14ac:dyDescent="0.25">
      <c r="A55" s="237" t="s">
        <v>110</v>
      </c>
      <c r="B55" s="233">
        <v>56000</v>
      </c>
      <c r="C55" s="233">
        <v>0</v>
      </c>
      <c r="D55" s="233">
        <v>0</v>
      </c>
      <c r="E55" s="233">
        <f>SUM(B55:D55)</f>
        <v>56000</v>
      </c>
      <c r="F55" s="233">
        <v>15000</v>
      </c>
      <c r="G55" s="235" t="s">
        <v>84</v>
      </c>
      <c r="H55" s="377" t="s">
        <v>226</v>
      </c>
      <c r="I55" s="235"/>
      <c r="J55" s="235"/>
      <c r="K55" s="236"/>
      <c r="L55" s="236"/>
      <c r="M55" s="236"/>
      <c r="N55" s="237" t="s">
        <v>222</v>
      </c>
    </row>
    <row r="56" spans="1:15" s="42" customFormat="1" x14ac:dyDescent="0.25">
      <c r="A56" s="232" t="str">
        <f>CONCATENATE("Subtotal ",A53)</f>
        <v>Subtotal Website and Conservation Tracking</v>
      </c>
      <c r="B56" s="234">
        <f>SUM(B54:B55)</f>
        <v>56000</v>
      </c>
      <c r="C56" s="234">
        <f>SUM(C54:C55)</f>
        <v>0</v>
      </c>
      <c r="D56" s="234">
        <f>SUM(D54:D55)</f>
        <v>0</v>
      </c>
      <c r="E56" s="234">
        <f>SUM(E54:E55)</f>
        <v>56000</v>
      </c>
      <c r="F56" s="234">
        <f>SUM(F54:F55)</f>
        <v>45000</v>
      </c>
      <c r="G56" s="238">
        <f>E56/$E$76</f>
        <v>2.8000000000000001E-2</v>
      </c>
      <c r="H56" s="388"/>
      <c r="I56" s="235"/>
      <c r="J56" s="235"/>
      <c r="K56" s="236"/>
      <c r="L56" s="236"/>
      <c r="M56" s="236"/>
      <c r="N56" s="237"/>
    </row>
    <row r="57" spans="1:15" s="42" customFormat="1" x14ac:dyDescent="0.25">
      <c r="A57" s="232"/>
      <c r="B57" s="233"/>
      <c r="C57" s="233"/>
      <c r="D57" s="233"/>
      <c r="E57" s="233"/>
      <c r="F57" s="233"/>
      <c r="G57" s="235"/>
      <c r="H57" s="377"/>
      <c r="I57" s="235"/>
      <c r="J57" s="235"/>
      <c r="K57" s="236"/>
      <c r="L57" s="236"/>
      <c r="M57" s="236"/>
      <c r="N57" s="237"/>
    </row>
    <row r="58" spans="1:15" s="42" customFormat="1" x14ac:dyDescent="0.25">
      <c r="A58" s="237"/>
      <c r="B58" s="233"/>
      <c r="C58" s="233"/>
      <c r="D58" s="233"/>
      <c r="E58" s="233"/>
      <c r="F58" s="233"/>
      <c r="G58" s="235"/>
      <c r="H58" s="377"/>
      <c r="I58" s="235"/>
      <c r="J58" s="235"/>
      <c r="K58" s="236"/>
      <c r="L58" s="236"/>
      <c r="M58" s="236"/>
      <c r="N58" s="237"/>
    </row>
    <row r="59" spans="1:15" s="42" customFormat="1" x14ac:dyDescent="0.25">
      <c r="A59" s="232" t="s">
        <v>111</v>
      </c>
      <c r="B59" s="233"/>
      <c r="C59" s="233"/>
      <c r="D59" s="233"/>
      <c r="E59" s="233"/>
      <c r="F59" s="234"/>
      <c r="G59" s="235"/>
      <c r="H59" s="377"/>
      <c r="I59" s="235"/>
      <c r="J59" s="235"/>
      <c r="K59" s="236"/>
      <c r="L59" s="236"/>
      <c r="M59" s="236"/>
      <c r="N59" s="237"/>
    </row>
    <row r="60" spans="1:15" s="42" customFormat="1" x14ac:dyDescent="0.25">
      <c r="A60" s="237" t="s">
        <v>112</v>
      </c>
      <c r="B60" s="233">
        <v>33000</v>
      </c>
      <c r="C60" s="233">
        <v>0</v>
      </c>
      <c r="D60" s="233">
        <v>0</v>
      </c>
      <c r="E60" s="233">
        <f>SUM(B60:D60)</f>
        <v>33000</v>
      </c>
      <c r="F60" s="233">
        <v>10000</v>
      </c>
      <c r="G60" s="239"/>
      <c r="H60" s="379" t="s">
        <v>227</v>
      </c>
      <c r="I60" s="239"/>
      <c r="J60" s="235"/>
      <c r="K60" s="236"/>
      <c r="L60" s="236"/>
      <c r="M60" s="236"/>
      <c r="N60" s="236" t="s">
        <v>245</v>
      </c>
    </row>
    <row r="61" spans="1:15" s="42" customFormat="1" x14ac:dyDescent="0.25">
      <c r="A61" s="237" t="s">
        <v>113</v>
      </c>
      <c r="B61" s="233">
        <v>115000</v>
      </c>
      <c r="C61" s="233">
        <v>78000</v>
      </c>
      <c r="D61" s="233">
        <v>0</v>
      </c>
      <c r="E61" s="233">
        <f>SUM(B61:D61)</f>
        <v>193000</v>
      </c>
      <c r="F61" s="233">
        <v>0</v>
      </c>
      <c r="G61" s="238"/>
      <c r="H61" s="388" t="s">
        <v>227</v>
      </c>
      <c r="I61" s="235"/>
      <c r="J61" s="235"/>
      <c r="K61" s="236"/>
      <c r="L61" s="236"/>
      <c r="M61" s="236"/>
      <c r="N61" s="237" t="s">
        <v>309</v>
      </c>
    </row>
    <row r="62" spans="1:15" s="42" customFormat="1" x14ac:dyDescent="0.25">
      <c r="A62" s="232" t="str">
        <f>CONCATENATE("Subtotal ",A59)</f>
        <v>Subtotal RTF Meetings and Member Support</v>
      </c>
      <c r="B62" s="234">
        <f>SUM(B60:B61)</f>
        <v>148000</v>
      </c>
      <c r="C62" s="234">
        <f>SUM(C60:C61)</f>
        <v>78000</v>
      </c>
      <c r="D62" s="234">
        <f>SUM(D60:D61)</f>
        <v>0</v>
      </c>
      <c r="E62" s="234">
        <f>SUM(E60:E61)</f>
        <v>226000</v>
      </c>
      <c r="F62" s="234">
        <f>SUM(F60:F61)</f>
        <v>10000</v>
      </c>
      <c r="G62" s="238">
        <f>E62/$E$76</f>
        <v>0.113</v>
      </c>
      <c r="H62" s="378"/>
      <c r="I62" s="235"/>
      <c r="J62" s="235"/>
      <c r="K62" s="236"/>
      <c r="L62" s="236"/>
      <c r="M62" s="236"/>
      <c r="N62" s="236"/>
    </row>
    <row r="63" spans="1:15" s="42" customFormat="1" x14ac:dyDescent="0.25">
      <c r="A63" s="236"/>
      <c r="B63" s="233"/>
      <c r="C63" s="233"/>
      <c r="D63" s="233"/>
      <c r="E63" s="233"/>
      <c r="F63" s="233"/>
      <c r="G63" s="235"/>
      <c r="H63" s="377"/>
      <c r="I63" s="235"/>
      <c r="J63" s="235"/>
      <c r="K63" s="236"/>
      <c r="L63" s="236"/>
      <c r="M63" s="236"/>
      <c r="N63" s="236"/>
    </row>
    <row r="64" spans="1:15" s="42" customFormat="1" x14ac:dyDescent="0.25">
      <c r="A64" s="236"/>
      <c r="B64" s="233"/>
      <c r="C64" s="233"/>
      <c r="D64" s="233"/>
      <c r="E64" s="233"/>
      <c r="F64" s="233"/>
      <c r="G64" s="235"/>
      <c r="H64" s="377"/>
      <c r="I64" s="235"/>
      <c r="J64" s="235"/>
      <c r="K64" s="236"/>
      <c r="L64" s="236"/>
      <c r="M64" s="236"/>
      <c r="N64" s="236"/>
    </row>
    <row r="65" spans="1:26" s="42" customFormat="1" x14ac:dyDescent="0.25">
      <c r="A65" s="232" t="s">
        <v>114</v>
      </c>
      <c r="B65" s="233"/>
      <c r="C65" s="233"/>
      <c r="D65" s="233"/>
      <c r="E65" s="233"/>
      <c r="F65" s="233"/>
      <c r="G65" s="235"/>
      <c r="H65" s="377"/>
      <c r="I65" s="240"/>
      <c r="J65" s="240"/>
      <c r="K65" s="240"/>
      <c r="L65" s="240"/>
      <c r="M65" s="236"/>
      <c r="N65" s="236"/>
    </row>
    <row r="66" spans="1:26" s="42" customFormat="1" x14ac:dyDescent="0.25">
      <c r="A66" s="237" t="s">
        <v>115</v>
      </c>
      <c r="B66" s="233">
        <v>0</v>
      </c>
      <c r="C66" s="233">
        <v>0</v>
      </c>
      <c r="D66" s="233">
        <f>177000*L66</f>
        <v>26550</v>
      </c>
      <c r="E66" s="233">
        <f>SUM(B66:D66)</f>
        <v>26550</v>
      </c>
      <c r="F66" s="233">
        <v>5000</v>
      </c>
      <c r="G66" s="235"/>
      <c r="H66" s="379" t="s">
        <v>227</v>
      </c>
      <c r="I66" s="235"/>
      <c r="J66" s="236"/>
      <c r="K66" s="236"/>
      <c r="L66" s="241">
        <v>0.15</v>
      </c>
      <c r="M66" s="236"/>
      <c r="N66" s="236" t="s">
        <v>116</v>
      </c>
    </row>
    <row r="67" spans="1:26" s="42" customFormat="1" x14ac:dyDescent="0.25">
      <c r="A67" s="237" t="s">
        <v>218</v>
      </c>
      <c r="B67" s="233">
        <v>0</v>
      </c>
      <c r="C67" s="233">
        <v>0</v>
      </c>
      <c r="D67" s="233">
        <f t="shared" ref="D67:D71" si="13">177000*L67</f>
        <v>44250</v>
      </c>
      <c r="E67" s="233">
        <f>SUM(B67:D67)</f>
        <v>44250</v>
      </c>
      <c r="F67" s="233">
        <v>0</v>
      </c>
      <c r="G67" s="242"/>
      <c r="H67" s="379" t="s">
        <v>227</v>
      </c>
      <c r="I67" s="239"/>
      <c r="J67" s="236"/>
      <c r="K67" s="236"/>
      <c r="L67" s="241">
        <v>0.25</v>
      </c>
      <c r="M67" s="236"/>
      <c r="N67" s="236" t="s">
        <v>117</v>
      </c>
    </row>
    <row r="68" spans="1:26" s="42" customFormat="1" x14ac:dyDescent="0.25">
      <c r="A68" s="237" t="s">
        <v>118</v>
      </c>
      <c r="B68" s="233">
        <v>4000</v>
      </c>
      <c r="C68" s="233">
        <v>0</v>
      </c>
      <c r="D68" s="233">
        <f t="shared" si="13"/>
        <v>26550</v>
      </c>
      <c r="E68" s="233">
        <f t="shared" ref="E68:E71" si="14">SUM(B68:D68)</f>
        <v>30550</v>
      </c>
      <c r="F68" s="233">
        <v>50000</v>
      </c>
      <c r="G68" s="242"/>
      <c r="H68" s="379" t="s">
        <v>227</v>
      </c>
      <c r="I68" s="242"/>
      <c r="J68" s="236"/>
      <c r="K68" s="243"/>
      <c r="L68" s="241">
        <v>0.15</v>
      </c>
      <c r="M68" s="236"/>
      <c r="N68" s="236" t="s">
        <v>217</v>
      </c>
    </row>
    <row r="69" spans="1:26" s="42" customFormat="1" x14ac:dyDescent="0.25">
      <c r="A69" s="237" t="s">
        <v>119</v>
      </c>
      <c r="B69" s="233">
        <v>0</v>
      </c>
      <c r="C69" s="233">
        <v>0</v>
      </c>
      <c r="D69" s="233">
        <f t="shared" si="13"/>
        <v>35400</v>
      </c>
      <c r="E69" s="233">
        <f t="shared" si="14"/>
        <v>35400</v>
      </c>
      <c r="F69" s="233">
        <v>1000</v>
      </c>
      <c r="G69" s="235"/>
      <c r="H69" s="379" t="s">
        <v>227</v>
      </c>
      <c r="I69" s="235"/>
      <c r="J69" s="236"/>
      <c r="K69" s="236"/>
      <c r="L69" s="241">
        <v>0.2</v>
      </c>
      <c r="M69" s="236"/>
      <c r="N69" s="236" t="s">
        <v>120</v>
      </c>
    </row>
    <row r="70" spans="1:26" s="42" customFormat="1" x14ac:dyDescent="0.25">
      <c r="A70" s="237" t="s">
        <v>121</v>
      </c>
      <c r="B70" s="233">
        <v>0</v>
      </c>
      <c r="C70" s="233">
        <v>0</v>
      </c>
      <c r="D70" s="233">
        <f t="shared" si="13"/>
        <v>8850</v>
      </c>
      <c r="E70" s="233">
        <f t="shared" si="14"/>
        <v>8850</v>
      </c>
      <c r="F70" s="233">
        <v>500</v>
      </c>
      <c r="G70" s="242"/>
      <c r="H70" s="379" t="s">
        <v>227</v>
      </c>
      <c r="I70" s="239"/>
      <c r="J70" s="236"/>
      <c r="K70" s="236"/>
      <c r="L70" s="241">
        <v>0.05</v>
      </c>
      <c r="M70" s="236"/>
      <c r="N70" s="236" t="s">
        <v>122</v>
      </c>
    </row>
    <row r="71" spans="1:26" s="42" customFormat="1" x14ac:dyDescent="0.25">
      <c r="A71" s="237" t="s">
        <v>123</v>
      </c>
      <c r="B71" s="233">
        <v>0</v>
      </c>
      <c r="C71" s="233">
        <v>0</v>
      </c>
      <c r="D71" s="233">
        <f t="shared" si="13"/>
        <v>35400</v>
      </c>
      <c r="E71" s="233">
        <f t="shared" si="14"/>
        <v>35400</v>
      </c>
      <c r="F71" s="233">
        <v>10000</v>
      </c>
      <c r="G71" s="242"/>
      <c r="H71" s="379" t="s">
        <v>227</v>
      </c>
      <c r="I71" s="239"/>
      <c r="J71" s="236"/>
      <c r="K71" s="236"/>
      <c r="L71" s="241">
        <v>0.2</v>
      </c>
      <c r="M71" s="236"/>
      <c r="N71" s="236" t="s">
        <v>124</v>
      </c>
    </row>
    <row r="72" spans="1:26" s="42" customFormat="1" x14ac:dyDescent="0.25">
      <c r="A72" s="237" t="s">
        <v>51</v>
      </c>
      <c r="B72" s="233">
        <v>0</v>
      </c>
      <c r="C72" s="233">
        <v>0</v>
      </c>
      <c r="D72" s="233">
        <v>2500</v>
      </c>
      <c r="E72" s="233">
        <f>SUM(B72:D72)</f>
        <v>2500</v>
      </c>
      <c r="F72" s="233">
        <v>0</v>
      </c>
      <c r="G72" s="242"/>
      <c r="H72" s="379" t="s">
        <v>227</v>
      </c>
      <c r="I72" s="239"/>
      <c r="J72" s="236"/>
      <c r="K72" s="236"/>
      <c r="L72" s="241"/>
      <c r="M72" s="236"/>
      <c r="N72" s="236" t="s">
        <v>216</v>
      </c>
    </row>
    <row r="73" spans="1:26" s="42" customFormat="1" x14ac:dyDescent="0.25">
      <c r="A73" s="232" t="str">
        <f>CONCATENATE("Subtotal ",A65)</f>
        <v>Subtotal RTF Management</v>
      </c>
      <c r="B73" s="234">
        <f>SUM(B66:B72)</f>
        <v>4000</v>
      </c>
      <c r="C73" s="234">
        <f>SUM(C66:C72)</f>
        <v>0</v>
      </c>
      <c r="D73" s="234">
        <f>SUM(D66:D72)</f>
        <v>179500</v>
      </c>
      <c r="E73" s="234">
        <f>SUM(E66:E72)</f>
        <v>183500</v>
      </c>
      <c r="F73" s="234">
        <f>SUM(F66:F72)</f>
        <v>66500</v>
      </c>
      <c r="G73" s="238">
        <f>E73/$E$76</f>
        <v>9.1749999999999998E-2</v>
      </c>
      <c r="H73" s="378"/>
      <c r="I73" s="235"/>
      <c r="J73" s="236"/>
      <c r="K73" s="236"/>
      <c r="L73" s="244">
        <f>SUM(L66:L71)</f>
        <v>1</v>
      </c>
      <c r="M73" s="236"/>
      <c r="N73" s="236"/>
    </row>
    <row r="74" spans="1:26" s="42" customFormat="1" x14ac:dyDescent="0.25">
      <c r="A74" s="236"/>
      <c r="B74" s="236"/>
      <c r="C74" s="236"/>
      <c r="D74" s="236"/>
      <c r="E74" s="236"/>
      <c r="F74" s="236"/>
      <c r="G74" s="236"/>
      <c r="H74" s="380"/>
      <c r="I74" s="236"/>
      <c r="J74" s="236"/>
      <c r="K74" s="236"/>
      <c r="L74" s="236"/>
      <c r="M74" s="236"/>
      <c r="N74" s="236"/>
    </row>
    <row r="75" spans="1:26" x14ac:dyDescent="0.25">
      <c r="O75" s="1"/>
    </row>
    <row r="76" spans="1:26" x14ac:dyDescent="0.25">
      <c r="A76" s="111" t="s">
        <v>125</v>
      </c>
      <c r="B76" s="112">
        <f>SUM(B10,B19,B26,B34,B50,B45,B56,B62,B73)</f>
        <v>595800</v>
      </c>
      <c r="C76" s="112">
        <f>SUM(C10,C19,C26,C34,C50,C45,C56,C62,C73)</f>
        <v>1224700</v>
      </c>
      <c r="D76" s="112">
        <f>SUM(D10,D19,D26,D34,D50,D45,D56,D62,D73)</f>
        <v>179500</v>
      </c>
      <c r="E76" s="112">
        <f>SUM(E10,E19,E26,E34,E50,E45,E56,E62,E73)</f>
        <v>2000000</v>
      </c>
      <c r="F76" s="112">
        <f>SUM(F10,F19,F26,F34,F50,F45,F56,F62,F73)</f>
        <v>180595</v>
      </c>
      <c r="G76" s="113">
        <f>SUM(G6:G75)</f>
        <v>1.0000000000000002</v>
      </c>
      <c r="H76" s="381"/>
      <c r="I76" s="114"/>
      <c r="J76" s="114"/>
      <c r="K76" s="114"/>
      <c r="L76" s="114"/>
      <c r="M76" s="114"/>
      <c r="N76" s="114"/>
      <c r="O76" s="114"/>
      <c r="P76" s="114"/>
      <c r="Q76" s="114"/>
      <c r="R76" s="114"/>
      <c r="S76" s="114"/>
      <c r="T76" s="114"/>
      <c r="U76" s="114"/>
      <c r="V76" s="114"/>
      <c r="W76" s="114"/>
      <c r="X76" s="114"/>
      <c r="Y76" s="114"/>
      <c r="Z76" s="114"/>
    </row>
    <row r="77" spans="1:26" ht="16.5" thickBot="1" x14ac:dyDescent="0.3">
      <c r="C77" s="115"/>
      <c r="F77" s="115"/>
      <c r="G77" s="116"/>
      <c r="H77" s="382"/>
    </row>
    <row r="78" spans="1:26" x14ac:dyDescent="0.25">
      <c r="A78" s="144" t="s">
        <v>126</v>
      </c>
      <c r="B78" s="145"/>
      <c r="D78"/>
      <c r="E78" s="358" t="s">
        <v>219</v>
      </c>
      <c r="F78" s="359"/>
      <c r="G78"/>
      <c r="H78" s="403"/>
      <c r="I78"/>
      <c r="O78" s="1"/>
    </row>
    <row r="79" spans="1:26" x14ac:dyDescent="0.25">
      <c r="A79" s="118" t="s">
        <v>127</v>
      </c>
      <c r="B79" s="119">
        <f>B76/$E$76</f>
        <v>0.2979</v>
      </c>
      <c r="C79" s="116"/>
      <c r="D79"/>
      <c r="E79" s="360" t="s">
        <v>220</v>
      </c>
      <c r="F79" s="361" t="s">
        <v>221</v>
      </c>
      <c r="G79"/>
      <c r="H79" s="332"/>
      <c r="I79"/>
      <c r="O79" s="1"/>
    </row>
    <row r="80" spans="1:26" ht="16.5" thickBot="1" x14ac:dyDescent="0.3">
      <c r="A80" s="120" t="s">
        <v>128</v>
      </c>
      <c r="B80" s="121">
        <f>C76/$E$76</f>
        <v>0.61234999999999995</v>
      </c>
      <c r="C80" s="393"/>
      <c r="D80"/>
      <c r="E80" s="362">
        <v>88</v>
      </c>
      <c r="F80" s="363">
        <f>E80+(E80*0.025)</f>
        <v>90.2</v>
      </c>
      <c r="G80"/>
      <c r="H80" s="332"/>
      <c r="I80"/>
      <c r="J80" s="6"/>
    </row>
    <row r="81" spans="1:15" x14ac:dyDescent="0.25">
      <c r="A81" s="120" t="s">
        <v>129</v>
      </c>
      <c r="B81" s="121">
        <f>D76/E76</f>
        <v>8.9749999999999996E-2</v>
      </c>
      <c r="C81" s="393"/>
      <c r="D81"/>
      <c r="E81"/>
      <c r="F81"/>
      <c r="G81"/>
      <c r="H81" s="332"/>
      <c r="I81"/>
      <c r="J81" s="6"/>
      <c r="O81" s="1"/>
    </row>
    <row r="82" spans="1:15" x14ac:dyDescent="0.25">
      <c r="A82" s="120" t="s">
        <v>130</v>
      </c>
      <c r="B82" s="122">
        <f>B10+B19</f>
        <v>217100</v>
      </c>
      <c r="C82" s="116"/>
      <c r="D82"/>
      <c r="E82"/>
      <c r="F82"/>
      <c r="G82"/>
      <c r="H82" s="332"/>
      <c r="I82"/>
      <c r="K82" s="41"/>
      <c r="O82" s="1"/>
    </row>
    <row r="83" spans="1:15" x14ac:dyDescent="0.25">
      <c r="A83" s="146" t="s">
        <v>131</v>
      </c>
      <c r="B83" s="147">
        <f>C76/200000</f>
        <v>6.1234999999999999</v>
      </c>
      <c r="D83"/>
      <c r="E83"/>
      <c r="F83"/>
      <c r="G83"/>
      <c r="H83" s="332"/>
      <c r="I83" s="42"/>
      <c r="O83" s="1"/>
    </row>
    <row r="84" spans="1:15" x14ac:dyDescent="0.25">
      <c r="A84" s="123" t="s">
        <v>132</v>
      </c>
      <c r="B84" s="124">
        <f>F76/'NPCC Contribution'!C2</f>
        <v>1.0592082111436951</v>
      </c>
      <c r="D84"/>
      <c r="E84"/>
      <c r="F84"/>
      <c r="G84"/>
      <c r="H84" s="332"/>
      <c r="I84" s="42"/>
    </row>
    <row r="85" spans="1:15" x14ac:dyDescent="0.25">
      <c r="D85"/>
      <c r="E85" s="42"/>
      <c r="F85" s="42"/>
      <c r="G85"/>
      <c r="H85" s="332"/>
      <c r="I85" s="42"/>
    </row>
    <row r="86" spans="1:15" x14ac:dyDescent="0.25">
      <c r="D86"/>
      <c r="E86" s="42"/>
      <c r="F86" s="42"/>
      <c r="G86"/>
      <c r="H86" s="332"/>
      <c r="I86" s="42"/>
    </row>
    <row r="87" spans="1:15" x14ac:dyDescent="0.25">
      <c r="A87" s="42"/>
      <c r="B87" s="42"/>
      <c r="C87" s="42"/>
      <c r="D87" s="42"/>
      <c r="E87" s="42"/>
      <c r="F87" s="42"/>
      <c r="G87" s="42"/>
      <c r="H87" s="366"/>
      <c r="I87" s="42"/>
    </row>
    <row r="88" spans="1:15" x14ac:dyDescent="0.25">
      <c r="A88" s="42"/>
      <c r="B88" s="42"/>
      <c r="C88" s="42"/>
      <c r="D88" s="42"/>
      <c r="E88" s="42"/>
      <c r="F88" s="42"/>
      <c r="G88" s="42"/>
      <c r="H88" s="366"/>
      <c r="I88" s="42"/>
    </row>
    <row r="89" spans="1:15" x14ac:dyDescent="0.25">
      <c r="A89" s="42"/>
      <c r="B89" s="42"/>
      <c r="C89" s="42"/>
      <c r="D89" s="42"/>
      <c r="E89" s="42"/>
      <c r="F89" s="42"/>
      <c r="G89" s="42"/>
      <c r="H89" s="366"/>
      <c r="I89" s="42"/>
    </row>
    <row r="90" spans="1:15" x14ac:dyDescent="0.25">
      <c r="A90" s="42"/>
      <c r="B90" s="42"/>
      <c r="C90" s="42"/>
      <c r="D90" s="42"/>
      <c r="E90" s="42"/>
      <c r="F90" s="42"/>
      <c r="G90" s="42"/>
      <c r="H90" s="366"/>
      <c r="I90" s="42"/>
      <c r="N90" s="41"/>
    </row>
    <row r="91" spans="1:15" x14ac:dyDescent="0.25">
      <c r="A91" s="42"/>
      <c r="B91" s="42"/>
      <c r="C91" s="42"/>
      <c r="D91" s="42"/>
      <c r="E91" s="42"/>
      <c r="F91" s="42"/>
    </row>
    <row r="92" spans="1:15" x14ac:dyDescent="0.25">
      <c r="A92" s="42"/>
      <c r="B92" s="42"/>
      <c r="C92" s="42"/>
      <c r="D92" s="42"/>
      <c r="E92" s="42"/>
    </row>
    <row r="93" spans="1:15" x14ac:dyDescent="0.25">
      <c r="A93" s="42"/>
      <c r="B93" s="42"/>
      <c r="C93" s="42"/>
      <c r="D93" s="42"/>
      <c r="E93" s="42"/>
    </row>
    <row r="94" spans="1:15" x14ac:dyDescent="0.25">
      <c r="A94" s="42"/>
      <c r="B94" s="42"/>
      <c r="C94" s="42"/>
      <c r="D94" s="42"/>
      <c r="E94" s="42"/>
    </row>
    <row r="95" spans="1:15" x14ac:dyDescent="0.25">
      <c r="A95" s="42"/>
      <c r="B95" s="42"/>
      <c r="C95" s="42"/>
      <c r="D95" s="42"/>
      <c r="E95" s="42"/>
    </row>
    <row r="96" spans="1:15" x14ac:dyDescent="0.25">
      <c r="A96" s="42"/>
      <c r="B96" s="42"/>
      <c r="C96" s="42"/>
      <c r="D96" s="42"/>
      <c r="E96" s="42"/>
    </row>
    <row r="97" spans="1:5" x14ac:dyDescent="0.25">
      <c r="A97" s="42"/>
      <c r="B97" s="42"/>
      <c r="C97" s="42"/>
      <c r="D97" s="42"/>
      <c r="E97" s="42"/>
    </row>
    <row r="98" spans="1:5" x14ac:dyDescent="0.25">
      <c r="A98" s="42"/>
      <c r="B98" s="42"/>
      <c r="C98" s="42"/>
      <c r="D98" s="42"/>
      <c r="E98" s="42"/>
    </row>
    <row r="99" spans="1:5" x14ac:dyDescent="0.25">
      <c r="A99" s="42"/>
      <c r="B99" s="42"/>
      <c r="C99" s="42"/>
      <c r="D99" s="42"/>
      <c r="E99" s="42"/>
    </row>
    <row r="100" spans="1:5" x14ac:dyDescent="0.25">
      <c r="A100" s="42"/>
      <c r="B100" s="42"/>
      <c r="C100" s="42"/>
      <c r="D100" s="42"/>
      <c r="E100" s="42"/>
    </row>
    <row r="101" spans="1:5" x14ac:dyDescent="0.25">
      <c r="A101" s="42"/>
      <c r="B101" s="42"/>
      <c r="C101" s="42"/>
      <c r="D101" s="42"/>
      <c r="E101" s="42"/>
    </row>
    <row r="102" spans="1:5" x14ac:dyDescent="0.25">
      <c r="A102" s="42"/>
      <c r="B102" s="42"/>
      <c r="C102" s="42"/>
      <c r="D102" s="42"/>
      <c r="E102" s="42"/>
    </row>
    <row r="103" spans="1:5" x14ac:dyDescent="0.25">
      <c r="A103" s="42"/>
      <c r="B103" s="42"/>
      <c r="C103" s="42"/>
      <c r="D103" s="42"/>
      <c r="E103" s="42"/>
    </row>
    <row r="104" spans="1:5" x14ac:dyDescent="0.25">
      <c r="A104" s="42"/>
      <c r="B104" s="42"/>
      <c r="C104" s="42"/>
      <c r="D104" s="42"/>
      <c r="E104" s="42"/>
    </row>
  </sheetData>
  <mergeCells count="1">
    <mergeCell ref="I4:M4"/>
  </mergeCells>
  <conditionalFormatting sqref="D4">
    <cfRule type="expression" dxfId="12" priority="1">
      <formula>$D$4&lt;&gt;$E$4</formula>
    </cfRule>
    <cfRule type="expression" dxfId="11" priority="2">
      <formula>$D$4=$E$4</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467A8-C11A-411B-91E1-DD417D01E546}">
  <dimension ref="A1:AJ71"/>
  <sheetViews>
    <sheetView workbookViewId="0"/>
  </sheetViews>
  <sheetFormatPr defaultColWidth="8.85546875" defaultRowHeight="15.75" x14ac:dyDescent="0.25"/>
  <cols>
    <col min="1" max="1" width="51" style="1" bestFit="1" customWidth="1"/>
    <col min="2" max="6" width="13.85546875" style="1" customWidth="1"/>
    <col min="7" max="7" width="10" style="1" customWidth="1"/>
    <col min="8" max="12" width="13.85546875" style="1" customWidth="1"/>
    <col min="13" max="13" width="10" style="1" customWidth="1"/>
    <col min="14" max="18" width="13.85546875" style="1" customWidth="1"/>
    <col min="19" max="19" width="10" style="1" customWidth="1"/>
    <col min="20" max="23" width="13.85546875" style="1" customWidth="1"/>
    <col min="24" max="24" width="14" style="1" customWidth="1"/>
    <col min="25" max="25" width="10" style="1" customWidth="1"/>
    <col min="26" max="30" width="13.85546875" style="1" customWidth="1"/>
    <col min="31" max="31" width="10" style="1" customWidth="1"/>
    <col min="32" max="32" width="35.42578125" style="1" customWidth="1"/>
    <col min="33" max="35" width="13.85546875" style="1" customWidth="1"/>
    <col min="36" max="36" width="105" style="1" customWidth="1"/>
    <col min="37" max="16384" width="8.85546875" style="1"/>
  </cols>
  <sheetData>
    <row r="1" spans="1:36" ht="18.75" x14ac:dyDescent="0.3">
      <c r="A1" s="148" t="s">
        <v>280</v>
      </c>
      <c r="B1" s="149"/>
    </row>
    <row r="2" spans="1:36" x14ac:dyDescent="0.25">
      <c r="A2" s="150" t="str">
        <f>'Table of Contents'!A2</f>
        <v>Propsoed 2021 Work Plan, September 1, 2020</v>
      </c>
      <c r="H2" s="151"/>
      <c r="I2" s="151"/>
      <c r="J2" s="152"/>
      <c r="N2" s="151"/>
      <c r="O2" s="151"/>
      <c r="P2" s="152"/>
      <c r="T2" s="151"/>
      <c r="U2" s="151"/>
      <c r="V2" s="152"/>
      <c r="Z2" s="151"/>
      <c r="AA2" s="151"/>
      <c r="AB2" s="152"/>
    </row>
    <row r="3" spans="1:36" x14ac:dyDescent="0.25">
      <c r="A3"/>
      <c r="H3" s="153"/>
      <c r="I3" s="153" t="s">
        <v>133</v>
      </c>
      <c r="J3" s="154">
        <v>2.5000000000000001E-2</v>
      </c>
      <c r="N3" s="153"/>
      <c r="O3" s="153" t="s">
        <v>133</v>
      </c>
      <c r="P3" s="154">
        <f>J3</f>
        <v>2.5000000000000001E-2</v>
      </c>
      <c r="T3" s="153"/>
      <c r="U3" s="153" t="s">
        <v>133</v>
      </c>
      <c r="V3" s="154">
        <f>P3</f>
        <v>2.5000000000000001E-2</v>
      </c>
      <c r="X3" s="14"/>
      <c r="Y3" s="14"/>
      <c r="Z3" s="153"/>
      <c r="AA3" s="153" t="s">
        <v>133</v>
      </c>
      <c r="AB3" s="154">
        <f>V3</f>
        <v>2.5000000000000001E-2</v>
      </c>
    </row>
    <row r="4" spans="1:36" x14ac:dyDescent="0.25">
      <c r="B4" s="492" t="s">
        <v>281</v>
      </c>
      <c r="C4" s="493"/>
      <c r="D4" s="493"/>
      <c r="E4" s="493"/>
      <c r="F4" s="493"/>
      <c r="H4" s="492" t="s">
        <v>134</v>
      </c>
      <c r="I4" s="493"/>
      <c r="J4" s="493"/>
      <c r="K4" s="493"/>
      <c r="L4" s="494"/>
      <c r="N4" s="492" t="s">
        <v>135</v>
      </c>
      <c r="O4" s="493"/>
      <c r="P4" s="493"/>
      <c r="Q4" s="493"/>
      <c r="R4" s="493"/>
      <c r="T4" s="492" t="s">
        <v>136</v>
      </c>
      <c r="U4" s="493"/>
      <c r="V4" s="493"/>
      <c r="W4" s="493"/>
      <c r="X4" s="493"/>
      <c r="Y4" s="155"/>
      <c r="Z4" s="495" t="s">
        <v>137</v>
      </c>
      <c r="AA4" s="493"/>
      <c r="AB4" s="493"/>
      <c r="AC4" s="493"/>
      <c r="AD4" s="493"/>
    </row>
    <row r="5" spans="1:36" ht="47.25" x14ac:dyDescent="0.25">
      <c r="A5" s="156" t="s">
        <v>138</v>
      </c>
      <c r="B5" s="157" t="s">
        <v>73</v>
      </c>
      <c r="C5" s="157" t="s">
        <v>74</v>
      </c>
      <c r="D5" s="158" t="s">
        <v>75</v>
      </c>
      <c r="E5" s="159" t="s">
        <v>139</v>
      </c>
      <c r="F5" s="160" t="s">
        <v>168</v>
      </c>
      <c r="H5" s="157" t="str">
        <f>B5</f>
        <v>Contract RFP</v>
      </c>
      <c r="I5" s="157" t="str">
        <f>C5</f>
        <v>Contract Analyst Team</v>
      </c>
      <c r="J5" s="157" t="str">
        <f>D5</f>
        <v>RTF Manager</v>
      </c>
      <c r="K5" s="157" t="str">
        <f>E5</f>
        <v>Subtotal Funders</v>
      </c>
      <c r="L5" s="157" t="str">
        <f>F5</f>
        <v>Council Staff Contribution</v>
      </c>
      <c r="N5" s="157" t="str">
        <f>H5</f>
        <v>Contract RFP</v>
      </c>
      <c r="O5" s="157" t="str">
        <f>I5</f>
        <v>Contract Analyst Team</v>
      </c>
      <c r="P5" s="157" t="str">
        <f>J5</f>
        <v>RTF Manager</v>
      </c>
      <c r="Q5" s="157" t="str">
        <f>K5</f>
        <v>Subtotal Funders</v>
      </c>
      <c r="R5" s="157" t="str">
        <f>L5</f>
        <v>Council Staff Contribution</v>
      </c>
      <c r="T5" s="157" t="str">
        <f>N5</f>
        <v>Contract RFP</v>
      </c>
      <c r="U5" s="157" t="str">
        <f>O5</f>
        <v>Contract Analyst Team</v>
      </c>
      <c r="V5" s="157" t="str">
        <f>P5</f>
        <v>RTF Manager</v>
      </c>
      <c r="W5" s="157" t="str">
        <f>Q5</f>
        <v>Subtotal Funders</v>
      </c>
      <c r="X5" s="157" t="str">
        <f>R5</f>
        <v>Council Staff Contribution</v>
      </c>
      <c r="Z5" s="157" t="str">
        <f>T5</f>
        <v>Contract RFP</v>
      </c>
      <c r="AA5" s="157" t="str">
        <f>U5</f>
        <v>Contract Analyst Team</v>
      </c>
      <c r="AB5" s="157" t="str">
        <f>V5</f>
        <v>RTF Manager</v>
      </c>
      <c r="AC5" s="157" t="str">
        <f>W5</f>
        <v>Subtotal Funders</v>
      </c>
      <c r="AD5" s="157" t="str">
        <f>X5</f>
        <v>Council Staff Contribution</v>
      </c>
      <c r="AF5" s="156" t="s">
        <v>140</v>
      </c>
      <c r="AG5" s="157">
        <v>2020</v>
      </c>
      <c r="AH5" s="157" t="s">
        <v>141</v>
      </c>
      <c r="AI5" s="157" t="s">
        <v>142</v>
      </c>
      <c r="AJ5" s="162" t="s">
        <v>83</v>
      </c>
    </row>
    <row r="6" spans="1:36" ht="38.25" customHeight="1" x14ac:dyDescent="0.25">
      <c r="A6" s="245" t="str">
        <f>'Category (2021)'!A6</f>
        <v>Existing Measure Maintenance</v>
      </c>
      <c r="B6" s="246">
        <v>92000</v>
      </c>
      <c r="C6" s="246">
        <v>345000</v>
      </c>
      <c r="D6" s="294">
        <v>0</v>
      </c>
      <c r="E6" s="247">
        <f>SUM(B6:D6)</f>
        <v>437000</v>
      </c>
      <c r="F6" s="246">
        <f>'Category (2021)'!F6</f>
        <v>14010</v>
      </c>
      <c r="H6" s="246">
        <v>106400</v>
      </c>
      <c r="I6" s="246">
        <v>399800</v>
      </c>
      <c r="J6" s="246">
        <v>0</v>
      </c>
      <c r="K6" s="247">
        <f>SUM(H6:J6)</f>
        <v>506200</v>
      </c>
      <c r="L6" s="248">
        <v>9900</v>
      </c>
      <c r="N6" s="246">
        <v>67200</v>
      </c>
      <c r="O6" s="246">
        <v>252200</v>
      </c>
      <c r="P6" s="246">
        <v>0</v>
      </c>
      <c r="Q6" s="247">
        <f>SUM(N6:P6)</f>
        <v>319400</v>
      </c>
      <c r="R6" s="248">
        <v>10200</v>
      </c>
      <c r="T6" s="246">
        <v>90500</v>
      </c>
      <c r="U6" s="246">
        <v>339300</v>
      </c>
      <c r="V6" s="246">
        <v>0</v>
      </c>
      <c r="W6" s="247">
        <f>SUM(T6:V6)</f>
        <v>429800</v>
      </c>
      <c r="X6" s="248">
        <v>10400</v>
      </c>
      <c r="Z6" s="246">
        <v>106000</v>
      </c>
      <c r="AA6" s="246">
        <v>397400</v>
      </c>
      <c r="AB6" s="246">
        <v>0</v>
      </c>
      <c r="AC6" s="247">
        <f>SUM(Z6:AB6)</f>
        <v>503400</v>
      </c>
      <c r="AD6" s="248">
        <v>10700</v>
      </c>
      <c r="AF6" s="167" t="s">
        <v>143</v>
      </c>
      <c r="AG6" s="168">
        <f>SUM(E6:E8)</f>
        <v>971000</v>
      </c>
      <c r="AH6" s="168">
        <f>SUM(AC6:AC8)</f>
        <v>1029900</v>
      </c>
      <c r="AI6" s="168">
        <f>AH6-AG6</f>
        <v>58900</v>
      </c>
      <c r="AJ6" s="169" t="s">
        <v>144</v>
      </c>
    </row>
    <row r="7" spans="1:36" ht="38.25" customHeight="1" x14ac:dyDescent="0.25">
      <c r="A7" s="245" t="str">
        <f>'Category (2021)'!A7</f>
        <v>New Measure Development</v>
      </c>
      <c r="B7" s="246">
        <v>44000</v>
      </c>
      <c r="C7" s="246">
        <v>220000</v>
      </c>
      <c r="D7" s="246">
        <v>0</v>
      </c>
      <c r="E7" s="247">
        <f t="shared" ref="E7:E14" si="0">SUM(B7:D7)</f>
        <v>264000</v>
      </c>
      <c r="F7" s="248">
        <f>'Category (2021)'!F7</f>
        <v>6585</v>
      </c>
      <c r="H7" s="246">
        <v>41000</v>
      </c>
      <c r="I7" s="246">
        <v>174300</v>
      </c>
      <c r="J7" s="246">
        <v>0</v>
      </c>
      <c r="K7" s="247">
        <f t="shared" ref="K7:K14" si="1">SUM(H7:J7)</f>
        <v>215300</v>
      </c>
      <c r="L7" s="248">
        <v>4500</v>
      </c>
      <c r="N7" s="246">
        <v>54600</v>
      </c>
      <c r="O7" s="246">
        <v>257400</v>
      </c>
      <c r="P7" s="246">
        <v>0</v>
      </c>
      <c r="Q7" s="247">
        <f t="shared" ref="Q7:Q14" si="2">SUM(N7:P7)</f>
        <v>312000</v>
      </c>
      <c r="R7" s="248">
        <v>4600</v>
      </c>
      <c r="T7" s="246">
        <v>51700</v>
      </c>
      <c r="U7" s="246">
        <v>236900</v>
      </c>
      <c r="V7" s="246">
        <v>0</v>
      </c>
      <c r="W7" s="247">
        <f t="shared" ref="W7:W14" si="3">SUM(T7:V7)</f>
        <v>288600</v>
      </c>
      <c r="X7" s="248">
        <v>4700</v>
      </c>
      <c r="Z7" s="246">
        <v>57400</v>
      </c>
      <c r="AA7" s="246">
        <v>270400</v>
      </c>
      <c r="AB7" s="246">
        <v>0</v>
      </c>
      <c r="AC7" s="247">
        <f t="shared" ref="AC7:AC14" si="4">SUM(Z7:AB7)</f>
        <v>327800</v>
      </c>
      <c r="AD7" s="248">
        <v>4900</v>
      </c>
      <c r="AF7" s="167" t="s">
        <v>96</v>
      </c>
      <c r="AG7" s="168">
        <f>E9</f>
        <v>120000</v>
      </c>
      <c r="AH7" s="168">
        <f>AC9</f>
        <v>130200</v>
      </c>
      <c r="AI7" s="168">
        <f t="shared" ref="AI7:AI10" si="5">AH7-AG7</f>
        <v>10200</v>
      </c>
      <c r="AJ7" s="169" t="s">
        <v>145</v>
      </c>
    </row>
    <row r="8" spans="1:36" ht="38.25" customHeight="1" x14ac:dyDescent="0.25">
      <c r="A8" s="245" t="str">
        <f>'Category (2021)'!A8</f>
        <v>Standardization of Technical Analysis</v>
      </c>
      <c r="B8" s="246">
        <v>40000</v>
      </c>
      <c r="C8" s="246">
        <v>230000</v>
      </c>
      <c r="D8" s="246">
        <v>0</v>
      </c>
      <c r="E8" s="247">
        <f t="shared" si="0"/>
        <v>270000</v>
      </c>
      <c r="F8" s="248">
        <f>'Category (2021)'!F8</f>
        <v>0</v>
      </c>
      <c r="H8" s="246">
        <v>0</v>
      </c>
      <c r="I8" s="246">
        <v>194800</v>
      </c>
      <c r="J8" s="246">
        <v>0</v>
      </c>
      <c r="K8" s="247">
        <f t="shared" si="1"/>
        <v>194800</v>
      </c>
      <c r="L8" s="248">
        <v>1500</v>
      </c>
      <c r="N8" s="246">
        <v>21000</v>
      </c>
      <c r="O8" s="246">
        <v>231100</v>
      </c>
      <c r="P8" s="246">
        <v>0</v>
      </c>
      <c r="Q8" s="247">
        <f t="shared" si="2"/>
        <v>252100</v>
      </c>
      <c r="R8" s="248">
        <v>1600</v>
      </c>
      <c r="T8" s="246">
        <v>0</v>
      </c>
      <c r="U8" s="246">
        <v>210000</v>
      </c>
      <c r="V8" s="246">
        <v>0</v>
      </c>
      <c r="W8" s="247">
        <f t="shared" si="3"/>
        <v>210000</v>
      </c>
      <c r="X8" s="248">
        <v>1600</v>
      </c>
      <c r="Z8" s="246">
        <v>0</v>
      </c>
      <c r="AA8" s="246">
        <v>198700</v>
      </c>
      <c r="AB8" s="246">
        <v>0</v>
      </c>
      <c r="AC8" s="247">
        <f t="shared" si="4"/>
        <v>198700</v>
      </c>
      <c r="AD8" s="248">
        <v>1700</v>
      </c>
      <c r="AE8" s="6"/>
      <c r="AF8" s="167" t="s">
        <v>102</v>
      </c>
      <c r="AG8" s="168">
        <f>E10</f>
        <v>155000</v>
      </c>
      <c r="AH8" s="168">
        <f>AC10</f>
        <v>215200</v>
      </c>
      <c r="AI8" s="168">
        <f t="shared" si="5"/>
        <v>60200</v>
      </c>
      <c r="AJ8" s="169" t="s">
        <v>146</v>
      </c>
    </row>
    <row r="9" spans="1:36" ht="38.25" customHeight="1" x14ac:dyDescent="0.25">
      <c r="A9" s="163" t="str">
        <f>'Category (2021)'!A9</f>
        <v>Tool Development</v>
      </c>
      <c r="B9" s="164">
        <v>0</v>
      </c>
      <c r="C9" s="164">
        <v>120000</v>
      </c>
      <c r="D9" s="164">
        <v>0</v>
      </c>
      <c r="E9" s="165">
        <f t="shared" si="0"/>
        <v>120000</v>
      </c>
      <c r="F9" s="166">
        <f>'Category (2021)'!F9</f>
        <v>10500</v>
      </c>
      <c r="H9" s="164">
        <v>25600</v>
      </c>
      <c r="I9" s="164">
        <v>140400</v>
      </c>
      <c r="J9" s="164">
        <v>0</v>
      </c>
      <c r="K9" s="165">
        <f t="shared" si="1"/>
        <v>166000</v>
      </c>
      <c r="L9" s="166">
        <v>16900</v>
      </c>
      <c r="N9" s="164">
        <v>26300</v>
      </c>
      <c r="O9" s="164">
        <v>99800</v>
      </c>
      <c r="P9" s="164">
        <v>0</v>
      </c>
      <c r="Q9" s="165">
        <f t="shared" si="2"/>
        <v>126100</v>
      </c>
      <c r="R9" s="166">
        <v>17300</v>
      </c>
      <c r="T9" s="164">
        <v>0</v>
      </c>
      <c r="U9" s="164">
        <v>101200</v>
      </c>
      <c r="V9" s="164">
        <v>0</v>
      </c>
      <c r="W9" s="165">
        <f t="shared" si="3"/>
        <v>101200</v>
      </c>
      <c r="X9" s="166">
        <v>17800</v>
      </c>
      <c r="Z9" s="164">
        <v>5500</v>
      </c>
      <c r="AA9" s="164">
        <v>124700</v>
      </c>
      <c r="AB9" s="164">
        <v>0</v>
      </c>
      <c r="AC9" s="165">
        <f t="shared" si="4"/>
        <v>130200</v>
      </c>
      <c r="AD9" s="166">
        <v>18200</v>
      </c>
      <c r="AE9" s="6"/>
      <c r="AF9" s="167" t="s">
        <v>147</v>
      </c>
      <c r="AG9" s="168">
        <f>E11</f>
        <v>50000</v>
      </c>
      <c r="AH9" s="168">
        <f>AC11</f>
        <v>55200</v>
      </c>
      <c r="AI9" s="168">
        <f t="shared" si="5"/>
        <v>5200</v>
      </c>
      <c r="AJ9" s="169" t="s">
        <v>148</v>
      </c>
    </row>
    <row r="10" spans="1:36" ht="38.25" customHeight="1" x14ac:dyDescent="0.25">
      <c r="A10" s="163" t="str">
        <f>'Category (2021)'!A10</f>
        <v>Regional Coordination</v>
      </c>
      <c r="B10" s="164">
        <v>0</v>
      </c>
      <c r="C10" s="164">
        <v>155000</v>
      </c>
      <c r="D10" s="164">
        <v>0</v>
      </c>
      <c r="E10" s="165">
        <f t="shared" si="0"/>
        <v>155000</v>
      </c>
      <c r="F10" s="166">
        <f>'Category (2021)'!F10</f>
        <v>18000</v>
      </c>
      <c r="H10" s="164">
        <v>10300</v>
      </c>
      <c r="I10" s="164">
        <v>184500</v>
      </c>
      <c r="J10" s="164">
        <v>0</v>
      </c>
      <c r="K10" s="165">
        <f t="shared" si="1"/>
        <v>194800</v>
      </c>
      <c r="L10" s="166">
        <v>22600</v>
      </c>
      <c r="N10" s="164">
        <v>15800</v>
      </c>
      <c r="O10" s="164">
        <v>283700</v>
      </c>
      <c r="P10" s="164">
        <v>0</v>
      </c>
      <c r="Q10" s="165">
        <f t="shared" si="2"/>
        <v>299500</v>
      </c>
      <c r="R10" s="166">
        <v>23100</v>
      </c>
      <c r="T10" s="164">
        <v>64600</v>
      </c>
      <c r="U10" s="164">
        <v>247700</v>
      </c>
      <c r="V10" s="164">
        <v>0</v>
      </c>
      <c r="W10" s="165">
        <f t="shared" si="3"/>
        <v>312300</v>
      </c>
      <c r="X10" s="166">
        <v>23700</v>
      </c>
      <c r="Z10" s="164">
        <v>27600</v>
      </c>
      <c r="AA10" s="164">
        <v>187600</v>
      </c>
      <c r="AB10" s="164">
        <v>0</v>
      </c>
      <c r="AC10" s="165">
        <f t="shared" si="4"/>
        <v>215200</v>
      </c>
      <c r="AD10" s="166">
        <v>24300</v>
      </c>
      <c r="AE10" s="6"/>
      <c r="AF10" s="167" t="s">
        <v>149</v>
      </c>
      <c r="AG10" s="168">
        <f>SUM(E12:E14)</f>
        <v>504000</v>
      </c>
      <c r="AH10" s="168">
        <f>SUM(AC12:AC14)</f>
        <v>556300</v>
      </c>
      <c r="AI10" s="168">
        <f t="shared" si="5"/>
        <v>52300</v>
      </c>
      <c r="AJ10" s="169" t="s">
        <v>150</v>
      </c>
    </row>
    <row r="11" spans="1:36" ht="38.25" customHeight="1" x14ac:dyDescent="0.25">
      <c r="A11" s="170" t="str">
        <f>'Category (2021)'!A11</f>
        <v>Demand Response</v>
      </c>
      <c r="B11" s="171">
        <v>40000</v>
      </c>
      <c r="C11" s="171">
        <v>10000</v>
      </c>
      <c r="D11" s="171">
        <v>0</v>
      </c>
      <c r="E11" s="172">
        <f t="shared" si="0"/>
        <v>50000</v>
      </c>
      <c r="F11" s="173">
        <f>'Category (2021)'!F11</f>
        <v>10000</v>
      </c>
      <c r="H11" s="171">
        <v>25600</v>
      </c>
      <c r="I11" s="171">
        <v>25600</v>
      </c>
      <c r="J11" s="171">
        <v>0</v>
      </c>
      <c r="K11" s="172">
        <f t="shared" si="1"/>
        <v>51200</v>
      </c>
      <c r="L11" s="173">
        <v>10300</v>
      </c>
      <c r="N11" s="171">
        <v>0</v>
      </c>
      <c r="O11" s="171">
        <v>52500</v>
      </c>
      <c r="P11" s="171">
        <v>0</v>
      </c>
      <c r="Q11" s="172">
        <f t="shared" si="2"/>
        <v>52500</v>
      </c>
      <c r="R11" s="173">
        <v>10500</v>
      </c>
      <c r="T11" s="171">
        <v>0</v>
      </c>
      <c r="U11" s="171">
        <v>53800</v>
      </c>
      <c r="V11" s="171">
        <v>0</v>
      </c>
      <c r="W11" s="172">
        <f t="shared" si="3"/>
        <v>53800</v>
      </c>
      <c r="X11" s="173">
        <v>10800</v>
      </c>
      <c r="Z11" s="171">
        <v>0</v>
      </c>
      <c r="AA11" s="171">
        <v>55200</v>
      </c>
      <c r="AB11" s="171">
        <v>0</v>
      </c>
      <c r="AC11" s="172">
        <f t="shared" si="4"/>
        <v>55200</v>
      </c>
      <c r="AD11" s="173">
        <v>11000</v>
      </c>
      <c r="AE11" s="6"/>
      <c r="AF11" s="174" t="s">
        <v>151</v>
      </c>
      <c r="AG11" s="175">
        <f>SUM(AG6:AG10)</f>
        <v>1800000</v>
      </c>
      <c r="AH11" s="175">
        <f>SUM(AH6:AH10)</f>
        <v>1986800</v>
      </c>
      <c r="AI11" s="175">
        <f>SUM(AI6:AI10)</f>
        <v>186800</v>
      </c>
      <c r="AJ11" s="176"/>
    </row>
    <row r="12" spans="1:36" ht="38.25" customHeight="1" x14ac:dyDescent="0.25">
      <c r="A12" s="249" t="str">
        <f>'Category (2021)'!A12</f>
        <v>Website and Regional Conservation Progress</v>
      </c>
      <c r="B12" s="250">
        <v>50000</v>
      </c>
      <c r="C12" s="250">
        <v>0</v>
      </c>
      <c r="D12" s="250">
        <v>0</v>
      </c>
      <c r="E12" s="251">
        <f t="shared" si="0"/>
        <v>50000</v>
      </c>
      <c r="F12" s="252">
        <f>'Category (2021)'!F12</f>
        <v>45000</v>
      </c>
      <c r="H12" s="250">
        <v>51300</v>
      </c>
      <c r="I12" s="250">
        <v>0</v>
      </c>
      <c r="J12" s="250">
        <v>0</v>
      </c>
      <c r="K12" s="251">
        <f t="shared" si="1"/>
        <v>51300</v>
      </c>
      <c r="L12" s="252">
        <v>46100</v>
      </c>
      <c r="N12" s="250">
        <v>52500</v>
      </c>
      <c r="O12" s="250">
        <v>0</v>
      </c>
      <c r="P12" s="250">
        <v>0</v>
      </c>
      <c r="Q12" s="251">
        <f t="shared" si="2"/>
        <v>52500</v>
      </c>
      <c r="R12" s="252">
        <v>47300</v>
      </c>
      <c r="T12" s="250">
        <v>53800</v>
      </c>
      <c r="U12" s="250">
        <v>0</v>
      </c>
      <c r="V12" s="250">
        <v>0</v>
      </c>
      <c r="W12" s="251">
        <f t="shared" si="3"/>
        <v>53800</v>
      </c>
      <c r="X12" s="252">
        <v>48500</v>
      </c>
      <c r="Z12" s="250">
        <v>55200</v>
      </c>
      <c r="AA12" s="250">
        <v>0</v>
      </c>
      <c r="AB12" s="250">
        <v>0</v>
      </c>
      <c r="AC12" s="251">
        <f t="shared" si="4"/>
        <v>55200</v>
      </c>
      <c r="AD12" s="252">
        <v>49700</v>
      </c>
      <c r="AF12"/>
      <c r="AG12" s="6"/>
    </row>
    <row r="13" spans="1:36" ht="38.25" customHeight="1" x14ac:dyDescent="0.25">
      <c r="A13" s="249" t="str">
        <f>'Category (2021)'!A13</f>
        <v>RTF Meeting Support</v>
      </c>
      <c r="B13" s="250">
        <v>163000</v>
      </c>
      <c r="C13" s="250">
        <v>113000</v>
      </c>
      <c r="D13" s="250">
        <v>0</v>
      </c>
      <c r="E13" s="251">
        <f t="shared" si="0"/>
        <v>276000</v>
      </c>
      <c r="F13" s="252">
        <f>'Category (2021)'!F13</f>
        <v>10000</v>
      </c>
      <c r="H13" s="250">
        <v>167100</v>
      </c>
      <c r="I13" s="250">
        <v>115800</v>
      </c>
      <c r="J13" s="250">
        <v>0</v>
      </c>
      <c r="K13" s="251">
        <f t="shared" si="1"/>
        <v>282900</v>
      </c>
      <c r="L13" s="252">
        <v>10300</v>
      </c>
      <c r="N13" s="250">
        <v>171300</v>
      </c>
      <c r="O13" s="250">
        <v>118700</v>
      </c>
      <c r="P13" s="250">
        <v>0</v>
      </c>
      <c r="Q13" s="251">
        <f t="shared" si="2"/>
        <v>290000</v>
      </c>
      <c r="R13" s="252">
        <v>10500</v>
      </c>
      <c r="T13" s="250">
        <v>175500</v>
      </c>
      <c r="U13" s="250">
        <v>121700</v>
      </c>
      <c r="V13" s="250">
        <v>0</v>
      </c>
      <c r="W13" s="251">
        <f t="shared" si="3"/>
        <v>297200</v>
      </c>
      <c r="X13" s="252">
        <v>10800</v>
      </c>
      <c r="Z13" s="250">
        <v>179900</v>
      </c>
      <c r="AA13" s="250">
        <v>124700</v>
      </c>
      <c r="AB13" s="250">
        <v>0</v>
      </c>
      <c r="AC13" s="251">
        <f t="shared" si="4"/>
        <v>304600</v>
      </c>
      <c r="AD13" s="252">
        <v>11000</v>
      </c>
      <c r="AF13"/>
    </row>
    <row r="14" spans="1:36" ht="38.25" customHeight="1" x14ac:dyDescent="0.25">
      <c r="A14" s="249" t="str">
        <f>'Category (2021)'!A14</f>
        <v>RTF Management</v>
      </c>
      <c r="B14" s="250">
        <v>4000</v>
      </c>
      <c r="C14" s="250">
        <v>0</v>
      </c>
      <c r="D14" s="250">
        <v>174000</v>
      </c>
      <c r="E14" s="251">
        <f t="shared" si="0"/>
        <v>178000</v>
      </c>
      <c r="F14" s="252">
        <f>'Category (2021)'!F14</f>
        <v>66500</v>
      </c>
      <c r="H14" s="250">
        <v>4100</v>
      </c>
      <c r="I14" s="250">
        <v>0</v>
      </c>
      <c r="J14" s="250">
        <v>178400</v>
      </c>
      <c r="K14" s="251">
        <f t="shared" si="1"/>
        <v>182500</v>
      </c>
      <c r="L14" s="252">
        <v>68200</v>
      </c>
      <c r="N14" s="250">
        <v>4200</v>
      </c>
      <c r="O14" s="250">
        <v>0</v>
      </c>
      <c r="P14" s="250">
        <v>182800</v>
      </c>
      <c r="Q14" s="251">
        <f t="shared" si="2"/>
        <v>187000</v>
      </c>
      <c r="R14" s="252">
        <v>69900</v>
      </c>
      <c r="T14" s="250">
        <v>4300</v>
      </c>
      <c r="U14" s="250">
        <v>0</v>
      </c>
      <c r="V14" s="250">
        <v>187400</v>
      </c>
      <c r="W14" s="251">
        <f t="shared" si="3"/>
        <v>191700</v>
      </c>
      <c r="X14" s="252">
        <v>71600</v>
      </c>
      <c r="Z14" s="250">
        <v>4400</v>
      </c>
      <c r="AA14" s="250">
        <v>0</v>
      </c>
      <c r="AB14" s="250">
        <v>192100</v>
      </c>
      <c r="AC14" s="251">
        <f t="shared" si="4"/>
        <v>196500</v>
      </c>
      <c r="AD14" s="252">
        <v>73400</v>
      </c>
      <c r="AF14"/>
    </row>
    <row r="15" spans="1:36" ht="38.25" customHeight="1" x14ac:dyDescent="0.25">
      <c r="A15" s="177" t="s">
        <v>152</v>
      </c>
      <c r="B15" s="178">
        <f>SUM(B6:B14)</f>
        <v>433000</v>
      </c>
      <c r="C15" s="178">
        <f t="shared" ref="C15:D15" si="6">SUM(C6:C14)</f>
        <v>1193000</v>
      </c>
      <c r="D15" s="178">
        <f t="shared" si="6"/>
        <v>174000</v>
      </c>
      <c r="E15" s="179">
        <f>SUM(E6:E14)</f>
        <v>1800000</v>
      </c>
      <c r="F15" s="180">
        <f>SUM(F6:F14)</f>
        <v>180595</v>
      </c>
      <c r="H15" s="181">
        <f>SUM(H6:H14)</f>
        <v>431400</v>
      </c>
      <c r="I15" s="181">
        <f t="shared" ref="I15:L15" si="7">SUM(I6:I14)</f>
        <v>1235200</v>
      </c>
      <c r="J15" s="181">
        <f t="shared" si="7"/>
        <v>178400</v>
      </c>
      <c r="K15" s="182">
        <f>SUM(K6:K14)</f>
        <v>1845000</v>
      </c>
      <c r="L15" s="183">
        <f t="shared" si="7"/>
        <v>190300</v>
      </c>
      <c r="N15" s="184">
        <f>SUM(N6:N14)</f>
        <v>412900</v>
      </c>
      <c r="O15" s="184">
        <f t="shared" ref="O15:R15" si="8">SUM(O6:O14)</f>
        <v>1295400</v>
      </c>
      <c r="P15" s="184">
        <f t="shared" si="8"/>
        <v>182800</v>
      </c>
      <c r="Q15" s="185">
        <f>SUM(Q6:Q14)</f>
        <v>1891100</v>
      </c>
      <c r="R15" s="186">
        <f t="shared" si="8"/>
        <v>195000</v>
      </c>
      <c r="T15" s="184">
        <f>SUM(T6:T14)</f>
        <v>440400</v>
      </c>
      <c r="U15" s="184">
        <f t="shared" ref="U15:X15" si="9">SUM(U6:U14)</f>
        <v>1310600</v>
      </c>
      <c r="V15" s="184">
        <f t="shared" si="9"/>
        <v>187400</v>
      </c>
      <c r="W15" s="185">
        <f>SUM(W6:W14)</f>
        <v>1938400</v>
      </c>
      <c r="X15" s="186">
        <f t="shared" si="9"/>
        <v>199900</v>
      </c>
      <c r="Z15" s="184">
        <f>SUM(Z6:Z14)</f>
        <v>436000</v>
      </c>
      <c r="AA15" s="184">
        <f t="shared" ref="AA15:AD15" si="10">SUM(AA6:AA14)</f>
        <v>1358700</v>
      </c>
      <c r="AB15" s="184">
        <f t="shared" si="10"/>
        <v>192100</v>
      </c>
      <c r="AC15" s="185">
        <f>SUM(AC6:AC14)</f>
        <v>1986800</v>
      </c>
      <c r="AD15" s="186">
        <f t="shared" si="10"/>
        <v>204900</v>
      </c>
      <c r="AF15"/>
    </row>
    <row r="16" spans="1:36" x14ac:dyDescent="0.25">
      <c r="A16" s="187" t="s">
        <v>34</v>
      </c>
      <c r="B16" s="188"/>
      <c r="C16" s="189">
        <f>C15/200000</f>
        <v>5.9649999999999999</v>
      </c>
      <c r="D16" s="190">
        <v>1</v>
      </c>
      <c r="E16" s="191"/>
      <c r="F16" s="192">
        <f>'NPCC Contribution'!E25</f>
        <v>1.6500000000000004</v>
      </c>
      <c r="G16" s="6"/>
      <c r="H16" s="187"/>
      <c r="I16" s="193">
        <f>I15/200000</f>
        <v>6.1760000000000002</v>
      </c>
      <c r="J16" s="194">
        <v>1</v>
      </c>
      <c r="K16" s="195"/>
      <c r="L16" s="193">
        <f>F16</f>
        <v>1.6500000000000004</v>
      </c>
      <c r="N16" s="187"/>
      <c r="O16" s="189">
        <f>O15/200000</f>
        <v>6.4770000000000003</v>
      </c>
      <c r="P16" s="189">
        <f>J16</f>
        <v>1</v>
      </c>
      <c r="Q16" s="189"/>
      <c r="R16" s="189">
        <f>L16</f>
        <v>1.6500000000000004</v>
      </c>
      <c r="T16" s="187"/>
      <c r="U16" s="189">
        <f>U15/200000</f>
        <v>6.5529999999999999</v>
      </c>
      <c r="V16" s="189">
        <f>P16</f>
        <v>1</v>
      </c>
      <c r="W16" s="196"/>
      <c r="X16" s="189">
        <f>R16</f>
        <v>1.6500000000000004</v>
      </c>
      <c r="Z16" s="187"/>
      <c r="AA16" s="189">
        <f>AA15/200000</f>
        <v>6.7934999999999999</v>
      </c>
      <c r="AB16" s="189">
        <f>V16</f>
        <v>1</v>
      </c>
      <c r="AC16" s="189"/>
      <c r="AD16" s="189">
        <f>X16</f>
        <v>1.6500000000000004</v>
      </c>
      <c r="AF16"/>
    </row>
    <row r="17" spans="1:32" x14ac:dyDescent="0.25">
      <c r="I17" s="197"/>
      <c r="L17" s="6"/>
      <c r="N17" s="197"/>
      <c r="P17" s="42"/>
      <c r="Q17" s="198"/>
      <c r="R17" s="6"/>
      <c r="S17" s="41"/>
      <c r="V17" s="42"/>
      <c r="W17" s="199"/>
      <c r="X17" s="41"/>
      <c r="Y17" s="197"/>
      <c r="AB17" s="42"/>
      <c r="AC17" s="200"/>
      <c r="AD17" s="6"/>
      <c r="AF17"/>
    </row>
    <row r="18" spans="1:32" ht="47.25" x14ac:dyDescent="0.25">
      <c r="A18" s="290"/>
      <c r="B18" s="289" t="s">
        <v>73</v>
      </c>
      <c r="C18" s="289" t="s">
        <v>74</v>
      </c>
      <c r="D18" s="289" t="s">
        <v>75</v>
      </c>
      <c r="E18" s="289" t="s">
        <v>139</v>
      </c>
      <c r="F18" s="289" t="s">
        <v>167</v>
      </c>
      <c r="I18" s="40"/>
      <c r="K18" s="201"/>
      <c r="L18" s="201"/>
      <c r="M18" s="201"/>
      <c r="N18" s="201"/>
      <c r="O18" s="201"/>
      <c r="P18" s="198"/>
      <c r="Q18" s="198"/>
      <c r="R18" s="201"/>
      <c r="S18" s="201"/>
      <c r="T18" s="201"/>
      <c r="U18" s="201"/>
      <c r="V18" s="198"/>
      <c r="W18" s="202"/>
      <c r="X18" s="201"/>
      <c r="Y18" s="201"/>
      <c r="Z18" s="201"/>
      <c r="AA18" s="201"/>
      <c r="AB18" s="198"/>
      <c r="AC18" s="202"/>
      <c r="AF18"/>
    </row>
    <row r="19" spans="1:32" x14ac:dyDescent="0.25">
      <c r="A19" s="203">
        <v>2020</v>
      </c>
      <c r="B19" s="204">
        <f>B15</f>
        <v>433000</v>
      </c>
      <c r="C19" s="204">
        <f t="shared" ref="C19:F19" si="11">C15</f>
        <v>1193000</v>
      </c>
      <c r="D19" s="204">
        <f t="shared" si="11"/>
        <v>174000</v>
      </c>
      <c r="E19" s="204">
        <f t="shared" si="11"/>
        <v>1800000</v>
      </c>
      <c r="F19" s="204">
        <f t="shared" si="11"/>
        <v>180595</v>
      </c>
      <c r="AF19"/>
    </row>
    <row r="20" spans="1:32" x14ac:dyDescent="0.25">
      <c r="A20" s="205">
        <v>2021</v>
      </c>
      <c r="B20" s="204">
        <f>H15</f>
        <v>431400</v>
      </c>
      <c r="C20" s="204">
        <f t="shared" ref="C20:F20" si="12">I15</f>
        <v>1235200</v>
      </c>
      <c r="D20" s="204">
        <f t="shared" si="12"/>
        <v>178400</v>
      </c>
      <c r="E20" s="204">
        <f t="shared" si="12"/>
        <v>1845000</v>
      </c>
      <c r="F20" s="204">
        <f t="shared" si="12"/>
        <v>190300</v>
      </c>
      <c r="W20" s="6"/>
      <c r="AF20"/>
    </row>
    <row r="21" spans="1:32" x14ac:dyDescent="0.25">
      <c r="A21" s="205">
        <v>2022</v>
      </c>
      <c r="B21" s="204">
        <f>N15</f>
        <v>412900</v>
      </c>
      <c r="C21" s="204">
        <f>O15</f>
        <v>1295400</v>
      </c>
      <c r="D21" s="204">
        <f t="shared" ref="D21:F21" si="13">P15</f>
        <v>182800</v>
      </c>
      <c r="E21" s="204">
        <f t="shared" si="13"/>
        <v>1891100</v>
      </c>
      <c r="F21" s="204">
        <f t="shared" si="13"/>
        <v>195000</v>
      </c>
      <c r="AF21"/>
    </row>
    <row r="22" spans="1:32" x14ac:dyDescent="0.25">
      <c r="A22" s="205">
        <v>2023</v>
      </c>
      <c r="B22" s="204">
        <f>T15</f>
        <v>440400</v>
      </c>
      <c r="C22" s="204">
        <f>U15</f>
        <v>1310600</v>
      </c>
      <c r="D22" s="204">
        <f t="shared" ref="D22:F22" si="14">V15</f>
        <v>187400</v>
      </c>
      <c r="E22" s="204">
        <f t="shared" si="14"/>
        <v>1938400</v>
      </c>
      <c r="F22" s="204">
        <f t="shared" si="14"/>
        <v>199900</v>
      </c>
    </row>
    <row r="23" spans="1:32" x14ac:dyDescent="0.25">
      <c r="A23" s="205">
        <v>2024</v>
      </c>
      <c r="B23" s="204">
        <f>Z15</f>
        <v>436000</v>
      </c>
      <c r="C23" s="204">
        <f>AA15</f>
        <v>1358700</v>
      </c>
      <c r="D23" s="204">
        <f t="shared" ref="D23:F23" si="15">AB15</f>
        <v>192100</v>
      </c>
      <c r="E23" s="204">
        <f t="shared" si="15"/>
        <v>1986800</v>
      </c>
      <c r="F23" s="204">
        <f t="shared" si="15"/>
        <v>204900</v>
      </c>
    </row>
    <row r="25" spans="1:32" x14ac:dyDescent="0.25">
      <c r="B25" s="206"/>
      <c r="C25" s="206"/>
      <c r="D25" s="206"/>
      <c r="E25" s="206"/>
      <c r="F25" s="206"/>
    </row>
    <row r="26" spans="1:32" x14ac:dyDescent="0.25">
      <c r="A26" s="117"/>
      <c r="B26" s="289">
        <v>2020</v>
      </c>
      <c r="C26" s="289">
        <v>2021</v>
      </c>
      <c r="D26" s="289">
        <v>2022</v>
      </c>
      <c r="E26" s="289">
        <v>2023</v>
      </c>
      <c r="F26" s="289">
        <v>2024</v>
      </c>
      <c r="G26" s="289" t="s">
        <v>187</v>
      </c>
    </row>
    <row r="27" spans="1:32" x14ac:dyDescent="0.25">
      <c r="A27" s="203" t="s">
        <v>73</v>
      </c>
      <c r="B27" s="204">
        <f>B19</f>
        <v>433000</v>
      </c>
      <c r="C27" s="204">
        <f>B20</f>
        <v>431400</v>
      </c>
      <c r="D27" s="204">
        <f>B21</f>
        <v>412900</v>
      </c>
      <c r="E27" s="204">
        <f>B22</f>
        <v>440400</v>
      </c>
      <c r="F27" s="204">
        <f>B23</f>
        <v>436000</v>
      </c>
      <c r="G27" s="310">
        <f>SUM(B27:F27)/SUM($B$30:$F$30)</f>
        <v>0.22763256634923318</v>
      </c>
    </row>
    <row r="28" spans="1:32" x14ac:dyDescent="0.25">
      <c r="A28" s="203" t="s">
        <v>74</v>
      </c>
      <c r="B28" s="204">
        <f>C19</f>
        <v>1193000</v>
      </c>
      <c r="C28" s="204">
        <f>C20</f>
        <v>1235200</v>
      </c>
      <c r="D28" s="204">
        <f>C21</f>
        <v>1295400</v>
      </c>
      <c r="E28" s="204">
        <f>C22</f>
        <v>1310600</v>
      </c>
      <c r="F28" s="204">
        <f>C23</f>
        <v>1358700</v>
      </c>
      <c r="G28" s="311">
        <f t="shared" ref="G28:G31" si="16">SUM(B28:F28)/SUM($B$30:$F$30)</f>
        <v>0.67568938729350092</v>
      </c>
    </row>
    <row r="29" spans="1:32" x14ac:dyDescent="0.25">
      <c r="A29" s="203" t="s">
        <v>75</v>
      </c>
      <c r="B29" s="204">
        <f>D19</f>
        <v>174000</v>
      </c>
      <c r="C29" s="204">
        <f>D20</f>
        <v>178400</v>
      </c>
      <c r="D29" s="204">
        <f>D21</f>
        <v>182800</v>
      </c>
      <c r="E29" s="204">
        <f>D22</f>
        <v>187400</v>
      </c>
      <c r="F29" s="204">
        <f>D23</f>
        <v>192100</v>
      </c>
      <c r="G29" s="312">
        <f t="shared" si="16"/>
        <v>9.6678046357265915E-2</v>
      </c>
    </row>
    <row r="30" spans="1:32" x14ac:dyDescent="0.25">
      <c r="A30" s="203" t="s">
        <v>139</v>
      </c>
      <c r="B30" s="204">
        <f>E19</f>
        <v>1800000</v>
      </c>
      <c r="C30" s="204">
        <f>E20</f>
        <v>1845000</v>
      </c>
      <c r="D30" s="204">
        <f>E21</f>
        <v>1891100</v>
      </c>
      <c r="E30" s="204">
        <f>E22</f>
        <v>1938400</v>
      </c>
      <c r="F30" s="204">
        <f>E23</f>
        <v>1986800</v>
      </c>
      <c r="G30" s="313">
        <f t="shared" si="16"/>
        <v>1</v>
      </c>
    </row>
    <row r="31" spans="1:32" x14ac:dyDescent="0.25">
      <c r="A31" s="203" t="s">
        <v>153</v>
      </c>
      <c r="B31" s="204">
        <f>F19</f>
        <v>180595</v>
      </c>
      <c r="C31" s="204">
        <f>F20</f>
        <v>190300</v>
      </c>
      <c r="D31" s="204">
        <f>F21</f>
        <v>195000</v>
      </c>
      <c r="E31" s="204">
        <f>F22</f>
        <v>199900</v>
      </c>
      <c r="F31" s="204">
        <f>F23</f>
        <v>204900</v>
      </c>
      <c r="G31" s="309">
        <f t="shared" si="16"/>
        <v>0.1025963662498811</v>
      </c>
    </row>
    <row r="32" spans="1:32" x14ac:dyDescent="0.25">
      <c r="A32" s="287" t="s">
        <v>154</v>
      </c>
      <c r="B32" s="288">
        <f>F16</f>
        <v>1.6500000000000004</v>
      </c>
      <c r="C32" s="288">
        <f>L16</f>
        <v>1.6500000000000004</v>
      </c>
      <c r="D32" s="288">
        <f>R16</f>
        <v>1.6500000000000004</v>
      </c>
      <c r="E32" s="288">
        <f>X16</f>
        <v>1.6500000000000004</v>
      </c>
      <c r="F32" s="288">
        <f>AD16</f>
        <v>1.6500000000000004</v>
      </c>
    </row>
    <row r="35" spans="1:14" x14ac:dyDescent="0.25">
      <c r="A35" s="207" t="s">
        <v>139</v>
      </c>
      <c r="B35" s="157">
        <v>2020</v>
      </c>
      <c r="C35" s="157">
        <v>2021</v>
      </c>
      <c r="D35" s="157">
        <v>2022</v>
      </c>
      <c r="E35" s="157">
        <v>2023</v>
      </c>
      <c r="F35" s="157">
        <v>2024</v>
      </c>
      <c r="G35" s="289" t="s">
        <v>187</v>
      </c>
    </row>
    <row r="36" spans="1:14" x14ac:dyDescent="0.25">
      <c r="A36" s="281" t="s">
        <v>186</v>
      </c>
      <c r="B36" s="282">
        <f>SUM(E6:E8)</f>
        <v>971000</v>
      </c>
      <c r="C36" s="282">
        <f>SUM(K6:K8)</f>
        <v>916300</v>
      </c>
      <c r="D36" s="282">
        <f>SUM(Q6:Q8)</f>
        <v>883500</v>
      </c>
      <c r="E36" s="282">
        <f>SUM(W6:W8)</f>
        <v>928400</v>
      </c>
      <c r="F36" s="282">
        <f>SUM(AC6:AC8)</f>
        <v>1029900</v>
      </c>
      <c r="G36" s="310">
        <f>SUM(B36:F36)/SUM($B$40:$F$40)</f>
        <v>0.49983617473285913</v>
      </c>
    </row>
    <row r="37" spans="1:14" x14ac:dyDescent="0.25">
      <c r="A37" s="208" t="s">
        <v>185</v>
      </c>
      <c r="B37" s="279">
        <f>SUM(E9:E10)</f>
        <v>275000</v>
      </c>
      <c r="C37" s="279">
        <f>SUM(K9:K10)</f>
        <v>360800</v>
      </c>
      <c r="D37" s="279">
        <f>SUM(Q9:Q10)</f>
        <v>425600</v>
      </c>
      <c r="E37" s="279">
        <f>SUM(W9:W10)</f>
        <v>413500</v>
      </c>
      <c r="F37" s="279">
        <f>SUM(AC9:AC10)</f>
        <v>345400</v>
      </c>
      <c r="G37" s="311">
        <f t="shared" ref="G37:G39" si="17">SUM(B37:F37)/SUM($B$40:$F$40)</f>
        <v>0.19239427985583377</v>
      </c>
    </row>
    <row r="38" spans="1:14" x14ac:dyDescent="0.25">
      <c r="A38" s="210" t="s">
        <v>147</v>
      </c>
      <c r="B38" s="280">
        <f>E11</f>
        <v>50000</v>
      </c>
      <c r="C38" s="280">
        <f>K11</f>
        <v>51200</v>
      </c>
      <c r="D38" s="280">
        <f>Q11</f>
        <v>52500</v>
      </c>
      <c r="E38" s="280">
        <f>W11</f>
        <v>53800</v>
      </c>
      <c r="F38" s="280">
        <f>AC11</f>
        <v>55200</v>
      </c>
      <c r="G38" s="312">
        <f t="shared" si="17"/>
        <v>2.7765740437360617E-2</v>
      </c>
    </row>
    <row r="39" spans="1:14" x14ac:dyDescent="0.25">
      <c r="A39" s="284" t="s">
        <v>114</v>
      </c>
      <c r="B39" s="285">
        <f>SUM(E12:E14)</f>
        <v>504000</v>
      </c>
      <c r="C39" s="285">
        <f>SUM(K12:K14)</f>
        <v>516700</v>
      </c>
      <c r="D39" s="285">
        <f>SUM(Q12:Q14)</f>
        <v>529500</v>
      </c>
      <c r="E39" s="285">
        <f>SUM(W12:W14)</f>
        <v>542700</v>
      </c>
      <c r="F39" s="285">
        <f>SUM(AC12:AC14)</f>
        <v>556300</v>
      </c>
      <c r="G39" s="313">
        <f t="shared" si="17"/>
        <v>0.2800038049739465</v>
      </c>
    </row>
    <row r="40" spans="1:14" x14ac:dyDescent="0.25">
      <c r="A40" s="212" t="s">
        <v>151</v>
      </c>
      <c r="B40" s="213">
        <f>SUM(B36:B39)</f>
        <v>1800000</v>
      </c>
      <c r="C40" s="213">
        <f t="shared" ref="C40:F40" si="18">SUM(C36:C39)</f>
        <v>1845000</v>
      </c>
      <c r="D40" s="213">
        <f t="shared" si="18"/>
        <v>1891100</v>
      </c>
      <c r="E40" s="213">
        <f t="shared" si="18"/>
        <v>1938400</v>
      </c>
      <c r="F40" s="213">
        <f t="shared" si="18"/>
        <v>1986800</v>
      </c>
      <c r="G40" s="309">
        <f>SUM(B40:F40)/SUM($B$40:$F$40)</f>
        <v>1</v>
      </c>
    </row>
    <row r="43" spans="1:14" x14ac:dyDescent="0.25">
      <c r="A43" s="291" t="s">
        <v>166</v>
      </c>
      <c r="B43" s="289">
        <v>2020</v>
      </c>
      <c r="C43" s="289">
        <v>2021</v>
      </c>
      <c r="D43" s="289">
        <v>2022</v>
      </c>
      <c r="E43" s="289">
        <v>2023</v>
      </c>
      <c r="F43" s="289">
        <v>2024</v>
      </c>
      <c r="G43"/>
    </row>
    <row r="44" spans="1:14" x14ac:dyDescent="0.25">
      <c r="A44" s="281" t="s">
        <v>186</v>
      </c>
      <c r="B44" s="283">
        <f>SUM(E6:F8)</f>
        <v>991595</v>
      </c>
      <c r="C44" s="283">
        <f>SUM(K6:L8)</f>
        <v>932200</v>
      </c>
      <c r="D44" s="283">
        <f>SUM(Q6:R8)</f>
        <v>899900</v>
      </c>
      <c r="E44" s="283">
        <f>SUM(W6:X8)</f>
        <v>945100</v>
      </c>
      <c r="F44" s="283">
        <f>SUM(AC6:AD8)</f>
        <v>1047200</v>
      </c>
      <c r="G44"/>
      <c r="H44"/>
      <c r="I44"/>
      <c r="J44"/>
      <c r="K44"/>
      <c r="L44"/>
      <c r="M44"/>
      <c r="N44"/>
    </row>
    <row r="45" spans="1:14" x14ac:dyDescent="0.25">
      <c r="A45" s="208" t="s">
        <v>185</v>
      </c>
      <c r="B45" s="209">
        <f>SUM(E9:F10)</f>
        <v>303500</v>
      </c>
      <c r="C45" s="209">
        <f>SUM(K9:L10)</f>
        <v>400300</v>
      </c>
      <c r="D45" s="209">
        <f>SUM(Q9:R10)</f>
        <v>466000</v>
      </c>
      <c r="E45" s="209">
        <f>SUM(W9:X10)</f>
        <v>455000</v>
      </c>
      <c r="F45" s="209">
        <f>SUM(AC9:AD10)</f>
        <v>387900</v>
      </c>
      <c r="G45"/>
      <c r="H45"/>
      <c r="I45"/>
      <c r="J45"/>
      <c r="K45"/>
      <c r="L45"/>
      <c r="M45"/>
      <c r="N45"/>
    </row>
    <row r="46" spans="1:14" x14ac:dyDescent="0.25">
      <c r="A46" s="210" t="s">
        <v>147</v>
      </c>
      <c r="B46" s="211">
        <f>SUM(E11:F11)</f>
        <v>60000</v>
      </c>
      <c r="C46" s="211">
        <f>SUM(K11:L11)</f>
        <v>61500</v>
      </c>
      <c r="D46" s="211">
        <f>SUM(Q11:R11)</f>
        <v>63000</v>
      </c>
      <c r="E46" s="211">
        <f>SUM(W11:X11)</f>
        <v>64600</v>
      </c>
      <c r="F46" s="211">
        <f>SUM(AC11:AD11)</f>
        <v>66200</v>
      </c>
      <c r="G46"/>
      <c r="H46"/>
      <c r="I46"/>
      <c r="J46"/>
      <c r="K46"/>
      <c r="L46"/>
      <c r="M46"/>
      <c r="N46"/>
    </row>
    <row r="47" spans="1:14" x14ac:dyDescent="0.25">
      <c r="A47" s="284" t="s">
        <v>114</v>
      </c>
      <c r="B47" s="286">
        <f>SUM(E12:F14)</f>
        <v>625500</v>
      </c>
      <c r="C47" s="286">
        <f>SUM(K12:L14)</f>
        <v>641300</v>
      </c>
      <c r="D47" s="286">
        <f>SUM(Q12:R14)</f>
        <v>657200</v>
      </c>
      <c r="E47" s="286">
        <f>SUM(W12:X14)</f>
        <v>673600</v>
      </c>
      <c r="F47" s="286">
        <f>SUM(AC12:AD14)</f>
        <v>690400</v>
      </c>
      <c r="G47"/>
      <c r="H47"/>
      <c r="I47"/>
      <c r="J47"/>
      <c r="K47"/>
      <c r="L47"/>
      <c r="M47"/>
      <c r="N47"/>
    </row>
    <row r="48" spans="1:14" x14ac:dyDescent="0.25">
      <c r="A48" s="212" t="s">
        <v>151</v>
      </c>
      <c r="B48" s="213">
        <f>SUM(B44:B47)</f>
        <v>1980595</v>
      </c>
      <c r="C48" s="213">
        <f t="shared" ref="C48:F48" si="19">SUM(C44:C47)</f>
        <v>2035300</v>
      </c>
      <c r="D48" s="213">
        <f t="shared" si="19"/>
        <v>2086100</v>
      </c>
      <c r="E48" s="213">
        <f t="shared" si="19"/>
        <v>2138300</v>
      </c>
      <c r="F48" s="213">
        <f t="shared" si="19"/>
        <v>2191700</v>
      </c>
      <c r="G48"/>
      <c r="H48"/>
      <c r="I48"/>
      <c r="J48"/>
      <c r="K48"/>
      <c r="L48"/>
      <c r="M48"/>
      <c r="N48"/>
    </row>
    <row r="49" spans="1:14" x14ac:dyDescent="0.25">
      <c r="B49" s="6"/>
      <c r="G49"/>
      <c r="H49"/>
      <c r="I49"/>
      <c r="J49"/>
      <c r="K49"/>
      <c r="L49"/>
      <c r="M49"/>
      <c r="N49"/>
    </row>
    <row r="50" spans="1:14" x14ac:dyDescent="0.25">
      <c r="A50" s="291" t="s">
        <v>155</v>
      </c>
      <c r="B50" s="289">
        <v>2020</v>
      </c>
      <c r="C50" s="289">
        <v>2021</v>
      </c>
      <c r="D50" s="289">
        <v>2022</v>
      </c>
      <c r="E50" s="289">
        <v>2023</v>
      </c>
      <c r="F50" s="289">
        <v>2024</v>
      </c>
      <c r="H50"/>
      <c r="I50"/>
      <c r="J50"/>
      <c r="K50"/>
      <c r="L50"/>
      <c r="M50"/>
      <c r="N50"/>
    </row>
    <row r="51" spans="1:14" x14ac:dyDescent="0.25">
      <c r="A51" s="214" t="s">
        <v>156</v>
      </c>
      <c r="B51" s="215"/>
      <c r="C51" s="216">
        <f>K15-E$15</f>
        <v>45000</v>
      </c>
      <c r="D51" s="216">
        <f>Q15-K$15</f>
        <v>46100</v>
      </c>
      <c r="E51" s="216">
        <f>W15-Q$15</f>
        <v>47300</v>
      </c>
      <c r="F51" s="216">
        <f>AC15-W$15</f>
        <v>48400</v>
      </c>
      <c r="H51"/>
      <c r="I51"/>
      <c r="J51"/>
      <c r="K51"/>
      <c r="L51"/>
      <c r="M51"/>
      <c r="N51"/>
    </row>
    <row r="52" spans="1:14" x14ac:dyDescent="0.25">
      <c r="A52" s="214" t="s">
        <v>157</v>
      </c>
      <c r="B52" s="215"/>
      <c r="C52" s="216">
        <f>K15-$E$15</f>
        <v>45000</v>
      </c>
      <c r="D52" s="216">
        <f>Q15-$E$15</f>
        <v>91100</v>
      </c>
      <c r="E52" s="216">
        <f>W15-$E$15</f>
        <v>138400</v>
      </c>
      <c r="F52" s="216">
        <f>AC15-$E$15</f>
        <v>186800</v>
      </c>
      <c r="H52"/>
      <c r="I52"/>
      <c r="J52"/>
      <c r="K52"/>
      <c r="L52"/>
      <c r="M52"/>
      <c r="N52"/>
    </row>
    <row r="53" spans="1:14" customFormat="1" ht="12.75" x14ac:dyDescent="0.2"/>
    <row r="54" spans="1:14" x14ac:dyDescent="0.25">
      <c r="A54" s="291"/>
      <c r="B54" s="289">
        <v>2020</v>
      </c>
      <c r="C54" s="289">
        <v>2021</v>
      </c>
      <c r="D54" s="289">
        <v>2022</v>
      </c>
      <c r="E54" s="289">
        <v>2023</v>
      </c>
      <c r="F54" s="289">
        <v>2024</v>
      </c>
      <c r="H54"/>
      <c r="I54"/>
      <c r="J54"/>
      <c r="K54"/>
      <c r="L54"/>
      <c r="M54"/>
      <c r="N54"/>
    </row>
    <row r="55" spans="1:14" x14ac:dyDescent="0.25">
      <c r="A55" s="214" t="s">
        <v>158</v>
      </c>
      <c r="B55" s="216">
        <v>1476000</v>
      </c>
      <c r="C55" s="216">
        <v>1512900</v>
      </c>
      <c r="D55" s="216">
        <v>1550700</v>
      </c>
      <c r="E55" s="216">
        <v>1589500</v>
      </c>
      <c r="F55" s="216">
        <v>1629200</v>
      </c>
      <c r="H55"/>
      <c r="I55"/>
      <c r="J55"/>
      <c r="K55"/>
      <c r="L55"/>
      <c r="M55"/>
      <c r="N55"/>
    </row>
    <row r="56" spans="1:14" x14ac:dyDescent="0.25">
      <c r="A56" s="214" t="s">
        <v>159</v>
      </c>
      <c r="B56" s="216">
        <v>324000</v>
      </c>
      <c r="C56" s="216">
        <v>332100</v>
      </c>
      <c r="D56" s="216">
        <v>340400</v>
      </c>
      <c r="E56" s="216">
        <v>348900</v>
      </c>
      <c r="F56" s="216">
        <v>357600</v>
      </c>
      <c r="L56"/>
      <c r="M56"/>
      <c r="N56"/>
    </row>
    <row r="57" spans="1:14" x14ac:dyDescent="0.25">
      <c r="A57" s="217" t="s">
        <v>151</v>
      </c>
      <c r="B57" s="218">
        <f>SUM(B55:B56)</f>
        <v>1800000</v>
      </c>
      <c r="C57" s="218">
        <f>SUM(C55:C56)</f>
        <v>1845000</v>
      </c>
      <c r="D57" s="218">
        <f>SUM(D55:D56)</f>
        <v>1891100</v>
      </c>
      <c r="E57" s="218">
        <f>SUM(E55:E56)</f>
        <v>1938400</v>
      </c>
      <c r="F57" s="218">
        <f>SUM(F55:F56)</f>
        <v>1986800</v>
      </c>
      <c r="L57"/>
      <c r="M57"/>
      <c r="N57"/>
    </row>
    <row r="58" spans="1:14" x14ac:dyDescent="0.25">
      <c r="A58" s="219"/>
      <c r="B58" s="220"/>
      <c r="C58" s="220"/>
      <c r="D58" s="220"/>
      <c r="E58" s="220"/>
      <c r="F58" s="220"/>
      <c r="L58"/>
      <c r="M58"/>
      <c r="N58"/>
    </row>
    <row r="59" spans="1:14" x14ac:dyDescent="0.25">
      <c r="A59" s="219"/>
      <c r="B59" s="220"/>
      <c r="C59" s="220"/>
      <c r="D59" s="220"/>
      <c r="E59" s="220"/>
      <c r="F59" s="220"/>
      <c r="L59"/>
      <c r="M59"/>
      <c r="N59"/>
    </row>
    <row r="60" spans="1:14" x14ac:dyDescent="0.25">
      <c r="A60" s="219"/>
      <c r="B60" s="220"/>
      <c r="C60" s="220"/>
      <c r="D60" s="220"/>
      <c r="E60" s="220"/>
      <c r="F60" s="220"/>
      <c r="L60"/>
      <c r="M60"/>
      <c r="N60"/>
    </row>
    <row r="61" spans="1:14" x14ac:dyDescent="0.25">
      <c r="A61" s="219"/>
      <c r="B61" s="220"/>
      <c r="C61" s="220"/>
      <c r="D61" s="220"/>
      <c r="E61" s="220"/>
      <c r="F61" s="220"/>
      <c r="L61"/>
      <c r="M61"/>
      <c r="N61"/>
    </row>
    <row r="62" spans="1:14" x14ac:dyDescent="0.25">
      <c r="A62"/>
      <c r="B62"/>
      <c r="C62"/>
      <c r="D62"/>
      <c r="E62"/>
      <c r="F62"/>
      <c r="G62"/>
      <c r="L62"/>
      <c r="M62"/>
      <c r="N62"/>
    </row>
    <row r="63" spans="1:14" x14ac:dyDescent="0.25">
      <c r="A63"/>
      <c r="B63"/>
      <c r="C63"/>
      <c r="D63"/>
      <c r="E63"/>
      <c r="F63"/>
      <c r="G63"/>
      <c r="L63"/>
      <c r="M63"/>
      <c r="N63"/>
    </row>
    <row r="64" spans="1:14" x14ac:dyDescent="0.25">
      <c r="A64"/>
      <c r="B64"/>
      <c r="C64"/>
      <c r="D64"/>
      <c r="E64"/>
      <c r="F64"/>
      <c r="G64"/>
      <c r="H64"/>
      <c r="I64"/>
      <c r="L64"/>
      <c r="M64"/>
      <c r="N64"/>
    </row>
    <row r="65" spans="1:14" x14ac:dyDescent="0.25">
      <c r="A65"/>
      <c r="B65"/>
      <c r="C65"/>
      <c r="D65"/>
      <c r="E65"/>
      <c r="F65"/>
      <c r="G65"/>
      <c r="H65"/>
      <c r="I65"/>
      <c r="L65"/>
      <c r="M65"/>
      <c r="N65"/>
    </row>
    <row r="66" spans="1:14" x14ac:dyDescent="0.25">
      <c r="A66"/>
      <c r="B66"/>
      <c r="C66"/>
      <c r="D66"/>
      <c r="E66"/>
      <c r="F66"/>
      <c r="G66"/>
      <c r="H66"/>
      <c r="I66"/>
      <c r="L66"/>
      <c r="M66"/>
      <c r="N66"/>
    </row>
    <row r="67" spans="1:14" x14ac:dyDescent="0.25">
      <c r="A67"/>
      <c r="B67"/>
      <c r="C67"/>
      <c r="D67"/>
      <c r="E67"/>
      <c r="F67"/>
      <c r="G67"/>
      <c r="H67"/>
      <c r="I67"/>
    </row>
    <row r="68" spans="1:14" x14ac:dyDescent="0.25">
      <c r="A68"/>
      <c r="B68"/>
      <c r="C68"/>
      <c r="D68"/>
      <c r="E68"/>
      <c r="F68"/>
      <c r="G68"/>
      <c r="H68"/>
      <c r="I68"/>
    </row>
    <row r="69" spans="1:14" x14ac:dyDescent="0.25">
      <c r="A69"/>
      <c r="B69"/>
      <c r="C69"/>
      <c r="D69"/>
      <c r="E69"/>
      <c r="F69"/>
      <c r="G69"/>
      <c r="H69"/>
      <c r="I69"/>
    </row>
    <row r="70" spans="1:14" x14ac:dyDescent="0.25">
      <c r="A70"/>
      <c r="B70"/>
      <c r="C70"/>
      <c r="D70"/>
      <c r="E70"/>
      <c r="F70"/>
      <c r="G70"/>
      <c r="H70"/>
      <c r="I70"/>
    </row>
    <row r="71" spans="1:14" x14ac:dyDescent="0.25">
      <c r="A71"/>
      <c r="B71"/>
      <c r="C71"/>
      <c r="D71"/>
      <c r="E71"/>
      <c r="F71"/>
      <c r="G71"/>
      <c r="H71"/>
      <c r="I71"/>
    </row>
  </sheetData>
  <mergeCells count="5">
    <mergeCell ref="B4:F4"/>
    <mergeCell ref="H4:L4"/>
    <mergeCell ref="N4:R4"/>
    <mergeCell ref="T4:X4"/>
    <mergeCell ref="Z4:AD4"/>
  </mergeCells>
  <pageMargins left="0.7" right="0.7" top="0.75" bottom="0.75" header="0.3" footer="0.3"/>
  <ignoredErrors>
    <ignoredError sqref="B57:F57"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5F953-1B7B-4C81-8178-D3F88728C899}">
  <dimension ref="A1:H53"/>
  <sheetViews>
    <sheetView topLeftCell="A16" workbookViewId="0">
      <selection activeCell="C1" sqref="C1"/>
    </sheetView>
  </sheetViews>
  <sheetFormatPr defaultRowHeight="15.75" x14ac:dyDescent="0.25"/>
  <cols>
    <col min="1" max="1" width="34.28515625" style="1" customWidth="1"/>
    <col min="2" max="2" width="17.28515625" style="1" customWidth="1"/>
    <col min="3" max="8" width="14.28515625" style="1" customWidth="1"/>
    <col min="9" max="16384" width="9.140625" style="1"/>
  </cols>
  <sheetData>
    <row r="1" spans="1:8" ht="18.75" x14ac:dyDescent="0.3">
      <c r="A1" s="2" t="s">
        <v>296</v>
      </c>
    </row>
    <row r="2" spans="1:8" x14ac:dyDescent="0.25">
      <c r="A2" s="3" t="str">
        <f>'Table of Contents'!A2</f>
        <v>Propsoed 2021 Work Plan, September 1, 2020</v>
      </c>
    </row>
    <row r="3" spans="1:8" ht="16.5" thickBot="1" x14ac:dyDescent="0.3"/>
    <row r="4" spans="1:8" ht="16.5" thickBot="1" x14ac:dyDescent="0.3">
      <c r="A4" s="496" t="s">
        <v>188</v>
      </c>
      <c r="B4" s="498" t="s">
        <v>189</v>
      </c>
      <c r="C4" s="501" t="s">
        <v>236</v>
      </c>
      <c r="D4" s="502"/>
      <c r="E4" s="502"/>
      <c r="F4" s="502"/>
      <c r="G4" s="502"/>
      <c r="H4" s="316"/>
    </row>
    <row r="5" spans="1:8" ht="16.5" thickBot="1" x14ac:dyDescent="0.3">
      <c r="A5" s="497"/>
      <c r="B5" s="499"/>
      <c r="C5" s="333">
        <v>2020</v>
      </c>
      <c r="D5" s="333">
        <v>2021</v>
      </c>
      <c r="E5" s="333">
        <v>2022</v>
      </c>
      <c r="F5" s="333">
        <v>2023</v>
      </c>
      <c r="G5" s="333">
        <v>2024</v>
      </c>
      <c r="H5" s="334" t="s">
        <v>151</v>
      </c>
    </row>
    <row r="6" spans="1:8" ht="16.5" thickBot="1" x14ac:dyDescent="0.3">
      <c r="A6" s="497"/>
      <c r="B6" s="500"/>
      <c r="C6" s="314">
        <v>1800000</v>
      </c>
      <c r="D6" s="315">
        <v>1845000</v>
      </c>
      <c r="E6" s="315">
        <v>1891100</v>
      </c>
      <c r="F6" s="315">
        <v>1938400</v>
      </c>
      <c r="G6" s="317">
        <v>1986800</v>
      </c>
      <c r="H6" s="318">
        <v>9461300</v>
      </c>
    </row>
    <row r="7" spans="1:8" x14ac:dyDescent="0.25">
      <c r="A7" s="319" t="s">
        <v>190</v>
      </c>
      <c r="B7" s="335">
        <v>0.30028642998319471</v>
      </c>
      <c r="C7" s="320">
        <v>540500</v>
      </c>
      <c r="D7" s="320">
        <v>554000</v>
      </c>
      <c r="E7" s="320">
        <v>567900</v>
      </c>
      <c r="F7" s="320">
        <v>582100</v>
      </c>
      <c r="G7" s="320">
        <v>596600</v>
      </c>
      <c r="H7" s="321">
        <v>2841100</v>
      </c>
    </row>
    <row r="8" spans="1:8" x14ac:dyDescent="0.25">
      <c r="A8" s="322" t="s">
        <v>234</v>
      </c>
      <c r="B8" s="336">
        <v>0.22542356758584972</v>
      </c>
      <c r="C8" s="320">
        <v>395900</v>
      </c>
      <c r="D8" s="320">
        <v>405800</v>
      </c>
      <c r="E8" s="320">
        <v>416000</v>
      </c>
      <c r="F8" s="323">
        <v>426300</v>
      </c>
      <c r="G8" s="320">
        <v>437000</v>
      </c>
      <c r="H8" s="324">
        <v>2081000</v>
      </c>
    </row>
    <row r="9" spans="1:8" x14ac:dyDescent="0.25">
      <c r="A9" s="322" t="s">
        <v>191</v>
      </c>
      <c r="B9" s="336">
        <v>0.18987876930231576</v>
      </c>
      <c r="C9" s="320">
        <v>341800</v>
      </c>
      <c r="D9" s="320">
        <v>350300</v>
      </c>
      <c r="E9" s="320">
        <v>359100</v>
      </c>
      <c r="F9" s="323">
        <v>368100</v>
      </c>
      <c r="G9" s="320">
        <v>377200</v>
      </c>
      <c r="H9" s="324">
        <v>1796500</v>
      </c>
    </row>
    <row r="10" spans="1:8" x14ac:dyDescent="0.25">
      <c r="A10" s="322" t="s">
        <v>192</v>
      </c>
      <c r="B10" s="336">
        <v>7.5391331001025227E-2</v>
      </c>
      <c r="C10" s="320">
        <v>135700</v>
      </c>
      <c r="D10" s="320">
        <v>139100</v>
      </c>
      <c r="E10" s="320">
        <v>142600</v>
      </c>
      <c r="F10" s="323">
        <v>146100</v>
      </c>
      <c r="G10" s="320">
        <v>149800</v>
      </c>
      <c r="H10" s="324">
        <v>713300</v>
      </c>
    </row>
    <row r="11" spans="1:8" x14ac:dyDescent="0.25">
      <c r="A11" s="322" t="s">
        <v>193</v>
      </c>
      <c r="B11" s="336">
        <v>6.7791952480103154E-2</v>
      </c>
      <c r="C11" s="320">
        <v>122100</v>
      </c>
      <c r="D11" s="320">
        <v>125100</v>
      </c>
      <c r="E11" s="320">
        <v>128100</v>
      </c>
      <c r="F11" s="323">
        <v>131400</v>
      </c>
      <c r="G11" s="320">
        <v>134700</v>
      </c>
      <c r="H11" s="324">
        <v>641400</v>
      </c>
    </row>
    <row r="12" spans="1:8" x14ac:dyDescent="0.25">
      <c r="A12" s="322" t="s">
        <v>235</v>
      </c>
      <c r="B12" s="336">
        <v>2.084280172914927E-2</v>
      </c>
      <c r="C12" s="320">
        <v>41800</v>
      </c>
      <c r="D12" s="320">
        <v>42800</v>
      </c>
      <c r="E12" s="320">
        <v>43800</v>
      </c>
      <c r="F12" s="323">
        <v>45000</v>
      </c>
      <c r="G12" s="320">
        <v>46100</v>
      </c>
      <c r="H12" s="324">
        <v>219500</v>
      </c>
    </row>
    <row r="13" spans="1:8" x14ac:dyDescent="0.25">
      <c r="A13" s="325" t="s">
        <v>194</v>
      </c>
      <c r="B13" s="336">
        <v>1.777768382780379E-2</v>
      </c>
      <c r="C13" s="320">
        <v>32000</v>
      </c>
      <c r="D13" s="320">
        <v>32800</v>
      </c>
      <c r="E13" s="320">
        <v>33600</v>
      </c>
      <c r="F13" s="323">
        <v>34500</v>
      </c>
      <c r="G13" s="320">
        <v>35300</v>
      </c>
      <c r="H13" s="324">
        <v>168200</v>
      </c>
    </row>
    <row r="14" spans="1:8" x14ac:dyDescent="0.25">
      <c r="A14" s="322" t="s">
        <v>204</v>
      </c>
      <c r="B14" s="336">
        <v>1.7016689038504222E-2</v>
      </c>
      <c r="C14" s="320">
        <v>30600</v>
      </c>
      <c r="D14" s="320">
        <v>31400</v>
      </c>
      <c r="E14" s="320">
        <v>32200</v>
      </c>
      <c r="F14" s="320">
        <v>33000</v>
      </c>
      <c r="G14" s="320">
        <v>33800</v>
      </c>
      <c r="H14" s="324">
        <v>161000</v>
      </c>
    </row>
    <row r="15" spans="1:8" x14ac:dyDescent="0.25">
      <c r="A15" s="322" t="s">
        <v>195</v>
      </c>
      <c r="B15" s="336">
        <v>2.8621859575322629E-2</v>
      </c>
      <c r="C15" s="320">
        <v>51500</v>
      </c>
      <c r="D15" s="320">
        <v>52800</v>
      </c>
      <c r="E15" s="320">
        <v>54100</v>
      </c>
      <c r="F15" s="320">
        <v>55500</v>
      </c>
      <c r="G15" s="320">
        <v>56900</v>
      </c>
      <c r="H15" s="324">
        <v>270800</v>
      </c>
    </row>
    <row r="16" spans="1:8" x14ac:dyDescent="0.25">
      <c r="A16" s="322" t="s">
        <v>196</v>
      </c>
      <c r="B16" s="336">
        <v>1.0231152167249744E-2</v>
      </c>
      <c r="C16" s="320">
        <v>18400</v>
      </c>
      <c r="D16" s="320">
        <v>18900</v>
      </c>
      <c r="E16" s="320">
        <v>19400</v>
      </c>
      <c r="F16" s="320">
        <v>19800</v>
      </c>
      <c r="G16" s="320">
        <v>20300</v>
      </c>
      <c r="H16" s="324">
        <v>96800</v>
      </c>
    </row>
    <row r="17" spans="1:8" x14ac:dyDescent="0.25">
      <c r="A17" s="322" t="s">
        <v>197</v>
      </c>
      <c r="B17" s="336">
        <v>7.7367803578789387E-3</v>
      </c>
      <c r="C17" s="320">
        <v>13900</v>
      </c>
      <c r="D17" s="320">
        <v>14300</v>
      </c>
      <c r="E17" s="320">
        <v>14600</v>
      </c>
      <c r="F17" s="320">
        <v>15000</v>
      </c>
      <c r="G17" s="320">
        <v>15400</v>
      </c>
      <c r="H17" s="324">
        <v>73200</v>
      </c>
    </row>
    <row r="18" spans="1:8" x14ac:dyDescent="0.25">
      <c r="A18" s="322" t="s">
        <v>198</v>
      </c>
      <c r="B18" s="336">
        <v>5.4326572458330254E-3</v>
      </c>
      <c r="C18" s="320">
        <v>9800</v>
      </c>
      <c r="D18" s="320">
        <v>10000</v>
      </c>
      <c r="E18" s="320">
        <v>10300</v>
      </c>
      <c r="F18" s="320">
        <v>10500</v>
      </c>
      <c r="G18" s="320">
        <v>10800</v>
      </c>
      <c r="H18" s="324">
        <v>51400</v>
      </c>
    </row>
    <row r="19" spans="1:8" x14ac:dyDescent="0.25">
      <c r="A19" s="322" t="s">
        <v>199</v>
      </c>
      <c r="B19" s="336">
        <v>1.7439463921448428E-3</v>
      </c>
      <c r="C19" s="320">
        <v>3100</v>
      </c>
      <c r="D19" s="320">
        <v>3200</v>
      </c>
      <c r="E19" s="320">
        <v>3300</v>
      </c>
      <c r="F19" s="320">
        <v>3400</v>
      </c>
      <c r="G19" s="320">
        <v>3500</v>
      </c>
      <c r="H19" s="324">
        <v>16500</v>
      </c>
    </row>
    <row r="20" spans="1:8" x14ac:dyDescent="0.25">
      <c r="A20" s="325" t="s">
        <v>200</v>
      </c>
      <c r="B20" s="336">
        <v>8.1067083804551177E-3</v>
      </c>
      <c r="C20" s="320">
        <v>14600</v>
      </c>
      <c r="D20" s="320">
        <v>15000</v>
      </c>
      <c r="E20" s="320">
        <v>15300</v>
      </c>
      <c r="F20" s="320">
        <v>15700</v>
      </c>
      <c r="G20" s="320">
        <v>16100</v>
      </c>
      <c r="H20" s="324">
        <v>76700</v>
      </c>
    </row>
    <row r="21" spans="1:8" x14ac:dyDescent="0.25">
      <c r="A21" s="325" t="s">
        <v>201</v>
      </c>
      <c r="B21" s="336">
        <v>1.5325589506727405E-3</v>
      </c>
      <c r="C21" s="320">
        <v>2800</v>
      </c>
      <c r="D21" s="320">
        <v>2800</v>
      </c>
      <c r="E21" s="320">
        <v>2900</v>
      </c>
      <c r="F21" s="320">
        <v>3000</v>
      </c>
      <c r="G21" s="320">
        <v>3000</v>
      </c>
      <c r="H21" s="324">
        <v>14500</v>
      </c>
    </row>
    <row r="22" spans="1:8" x14ac:dyDescent="0.25">
      <c r="A22" s="322" t="s">
        <v>202</v>
      </c>
      <c r="B22" s="336">
        <v>1.6593914155560018E-2</v>
      </c>
      <c r="C22" s="320">
        <v>29800</v>
      </c>
      <c r="D22" s="320">
        <v>30600</v>
      </c>
      <c r="E22" s="320">
        <v>31400</v>
      </c>
      <c r="F22" s="320">
        <v>32200</v>
      </c>
      <c r="G22" s="320">
        <v>33000</v>
      </c>
      <c r="H22" s="324">
        <v>157000</v>
      </c>
    </row>
    <row r="23" spans="1:8" x14ac:dyDescent="0.25">
      <c r="A23" s="322" t="s">
        <v>203</v>
      </c>
      <c r="B23" s="336">
        <v>5.5911978269371013E-3</v>
      </c>
      <c r="C23" s="320">
        <v>10100</v>
      </c>
      <c r="D23" s="320">
        <v>10300</v>
      </c>
      <c r="E23" s="320">
        <v>10600</v>
      </c>
      <c r="F23" s="320">
        <v>10800</v>
      </c>
      <c r="G23" s="320">
        <v>11100</v>
      </c>
      <c r="H23" s="324">
        <v>52900</v>
      </c>
    </row>
    <row r="24" spans="1:8" ht="16.5" thickBot="1" x14ac:dyDescent="0.3">
      <c r="A24" s="326" t="s">
        <v>233</v>
      </c>
      <c r="B24" s="396" t="s">
        <v>92</v>
      </c>
      <c r="C24" s="320">
        <v>5600</v>
      </c>
      <c r="D24" s="320">
        <v>5800</v>
      </c>
      <c r="E24" s="320">
        <v>5900</v>
      </c>
      <c r="F24" s="320">
        <v>6000</v>
      </c>
      <c r="G24" s="320">
        <v>6200</v>
      </c>
      <c r="H24" s="324">
        <v>29500</v>
      </c>
    </row>
    <row r="25" spans="1:8" ht="16.5" thickBot="1" x14ac:dyDescent="0.3">
      <c r="A25" s="327" t="s">
        <v>151</v>
      </c>
      <c r="B25" s="328">
        <v>0.99999999999999989</v>
      </c>
      <c r="C25" s="329">
        <v>1800000</v>
      </c>
      <c r="D25" s="330">
        <v>1845000</v>
      </c>
      <c r="E25" s="330">
        <v>1891100</v>
      </c>
      <c r="F25" s="330">
        <v>1938400</v>
      </c>
      <c r="G25" s="331">
        <v>1986800</v>
      </c>
      <c r="H25" s="395">
        <v>9461300</v>
      </c>
    </row>
    <row r="26" spans="1:8" x14ac:dyDescent="0.25">
      <c r="A26" s="1" t="s">
        <v>205</v>
      </c>
    </row>
    <row r="27" spans="1:8" x14ac:dyDescent="0.25">
      <c r="A27" s="1" t="s">
        <v>262</v>
      </c>
    </row>
    <row r="28" spans="1:8" x14ac:dyDescent="0.25">
      <c r="C28"/>
      <c r="D28"/>
      <c r="E28"/>
      <c r="F28"/>
      <c r="G28"/>
      <c r="H28"/>
    </row>
    <row r="29" spans="1:8" ht="19.5" thickBot="1" x14ac:dyDescent="0.35">
      <c r="A29" s="2" t="s">
        <v>297</v>
      </c>
    </row>
    <row r="30" spans="1:8" ht="31.5" x14ac:dyDescent="0.25">
      <c r="A30" s="339"/>
      <c r="B30" s="340" t="s">
        <v>212</v>
      </c>
      <c r="C30" s="340" t="s">
        <v>213</v>
      </c>
      <c r="D30" s="341" t="s">
        <v>214</v>
      </c>
    </row>
    <row r="31" spans="1:8" x14ac:dyDescent="0.25">
      <c r="A31" s="342" t="s">
        <v>300</v>
      </c>
      <c r="B31" s="337">
        <v>167732</v>
      </c>
      <c r="C31" s="338">
        <f>B46</f>
        <v>100000</v>
      </c>
      <c r="D31" s="343">
        <f>B31-C31</f>
        <v>67732</v>
      </c>
    </row>
    <row r="32" spans="1:8" x14ac:dyDescent="0.25">
      <c r="A32" s="383" t="s">
        <v>229</v>
      </c>
      <c r="B32" s="453">
        <f>ROUND($B$40*C38,0)</f>
        <v>74797</v>
      </c>
      <c r="C32" s="384">
        <f>B43+(0.75*B44)+(0.75*B45)</f>
        <v>45000</v>
      </c>
      <c r="D32" s="343">
        <f>B32-C32</f>
        <v>29797</v>
      </c>
    </row>
    <row r="33" spans="1:6" ht="16.5" thickBot="1" x14ac:dyDescent="0.3">
      <c r="A33" s="344" t="s">
        <v>230</v>
      </c>
      <c r="B33" s="454">
        <f>ROUND($B$40*C39,0)</f>
        <v>13560</v>
      </c>
      <c r="C33" s="345">
        <f>(0.25*B44)+(0.25*B45)</f>
        <v>10000</v>
      </c>
      <c r="D33" s="346">
        <f>B33-C33</f>
        <v>3560</v>
      </c>
    </row>
    <row r="36" spans="1:6" x14ac:dyDescent="0.25">
      <c r="A36" s="457" t="s">
        <v>294</v>
      </c>
      <c r="B36" s="411" t="s">
        <v>271</v>
      </c>
      <c r="C36" s="411" t="s">
        <v>187</v>
      </c>
    </row>
    <row r="37" spans="1:6" x14ac:dyDescent="0.25">
      <c r="A37" s="411" t="s">
        <v>232</v>
      </c>
      <c r="B37" s="412">
        <f>[2]Contracts!$G$36</f>
        <v>889793.68</v>
      </c>
      <c r="C37" s="411"/>
    </row>
    <row r="38" spans="1:6" x14ac:dyDescent="0.25">
      <c r="A38" s="411" t="s">
        <v>158</v>
      </c>
      <c r="B38" s="412">
        <f>'Fuel Funding Splits'!B9-'Fuel Funding Splits'!B17</f>
        <v>753237.6100000001</v>
      </c>
      <c r="C38" s="460">
        <f>B38/$B$37</f>
        <v>0.84653063618073809</v>
      </c>
    </row>
    <row r="39" spans="1:6" x14ac:dyDescent="0.25">
      <c r="A39" s="411" t="s">
        <v>159</v>
      </c>
      <c r="B39" s="412">
        <f>'Fuel Funding Splits'!B8-'Fuel Funding Splits'!B16</f>
        <v>136556.07</v>
      </c>
      <c r="C39" s="460">
        <f>B39/$B$37</f>
        <v>0.15346936381926202</v>
      </c>
    </row>
    <row r="40" spans="1:6" x14ac:dyDescent="0.25">
      <c r="A40" s="411" t="s">
        <v>314</v>
      </c>
      <c r="B40" s="412">
        <f>[2]Contracts!$M$34</f>
        <v>88356.54</v>
      </c>
      <c r="C40" s="411"/>
    </row>
    <row r="42" spans="1:6" x14ac:dyDescent="0.25">
      <c r="A42" s="457" t="s">
        <v>295</v>
      </c>
      <c r="B42" s="458"/>
      <c r="C42" s="411"/>
    </row>
    <row r="43" spans="1:6" x14ac:dyDescent="0.25">
      <c r="A43" s="458" t="s">
        <v>302</v>
      </c>
      <c r="B43" s="459">
        <v>15000</v>
      </c>
      <c r="C43" s="411" t="s">
        <v>289</v>
      </c>
      <c r="E43" s="459"/>
      <c r="F43" s="411"/>
    </row>
    <row r="44" spans="1:6" x14ac:dyDescent="0.25">
      <c r="A44" s="458" t="s">
        <v>290</v>
      </c>
      <c r="B44" s="459">
        <v>25000</v>
      </c>
      <c r="C44" s="411" t="s">
        <v>291</v>
      </c>
      <c r="E44" s="459"/>
      <c r="F44" s="411"/>
    </row>
    <row r="45" spans="1:6" x14ac:dyDescent="0.25">
      <c r="A45" s="458" t="s">
        <v>292</v>
      </c>
      <c r="B45" s="459">
        <v>15000</v>
      </c>
      <c r="C45" s="411" t="s">
        <v>291</v>
      </c>
      <c r="E45" s="459"/>
      <c r="F45" s="411"/>
    </row>
    <row r="46" spans="1:6" x14ac:dyDescent="0.25">
      <c r="A46" s="458" t="s">
        <v>303</v>
      </c>
      <c r="B46" s="459">
        <v>100000</v>
      </c>
      <c r="C46" s="411" t="s">
        <v>293</v>
      </c>
      <c r="E46" s="459"/>
      <c r="F46" s="411"/>
    </row>
    <row r="47" spans="1:6" x14ac:dyDescent="0.25">
      <c r="A47" s="42"/>
      <c r="B47" s="42"/>
    </row>
    <row r="52" spans="1:7" x14ac:dyDescent="0.25">
      <c r="A52" s="398"/>
      <c r="B52" s="398"/>
      <c r="C52" s="398"/>
      <c r="D52" s="398"/>
      <c r="E52" s="398"/>
      <c r="F52" s="398"/>
      <c r="G52" s="398"/>
    </row>
    <row r="53" spans="1:7" x14ac:dyDescent="0.25">
      <c r="A53" s="398"/>
      <c r="B53" s="398"/>
      <c r="C53" s="398"/>
      <c r="D53" s="398"/>
      <c r="E53" s="398"/>
      <c r="F53" s="398"/>
    </row>
  </sheetData>
  <mergeCells count="3">
    <mergeCell ref="A4:A6"/>
    <mergeCell ref="B4:B6"/>
    <mergeCell ref="C4:G4"/>
  </mergeCells>
  <conditionalFormatting sqref="E25:G25">
    <cfRule type="cellIs" dxfId="10" priority="3" operator="equal">
      <formula>E$89</formula>
    </cfRule>
  </conditionalFormatting>
  <conditionalFormatting sqref="C25:D25">
    <cfRule type="cellIs" dxfId="9" priority="6" operator="equal">
      <formula>C$90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E0F7-AE67-4EC6-97B1-7B9E275C6547}">
  <dimension ref="A1:J50"/>
  <sheetViews>
    <sheetView workbookViewId="0">
      <selection activeCell="I1" sqref="I1"/>
    </sheetView>
  </sheetViews>
  <sheetFormatPr defaultRowHeight="12.75" x14ac:dyDescent="0.2"/>
  <cols>
    <col min="1" max="1" width="38.7109375" style="411" bestFit="1" customWidth="1"/>
    <col min="2" max="7" width="14.140625" style="411" customWidth="1"/>
    <col min="8" max="8" width="11.85546875" style="411" customWidth="1"/>
    <col min="9" max="9" width="9.140625" style="411"/>
    <col min="10" max="10" width="9.5703125" style="411" bestFit="1" customWidth="1"/>
    <col min="11" max="16384" width="9.140625" style="411"/>
  </cols>
  <sheetData>
    <row r="1" spans="1:8" ht="18.75" x14ac:dyDescent="0.3">
      <c r="A1" s="2" t="s">
        <v>258</v>
      </c>
    </row>
    <row r="2" spans="1:8" ht="15" x14ac:dyDescent="0.25">
      <c r="A2" s="3" t="str">
        <f>'Table of Contents'!A2</f>
        <v>Propsoed 2021 Work Plan, September 1, 2020</v>
      </c>
    </row>
    <row r="4" spans="1:8" ht="18.75" x14ac:dyDescent="0.3">
      <c r="A4" s="450" t="s">
        <v>257</v>
      </c>
      <c r="B4" s="451"/>
      <c r="C4" s="451"/>
      <c r="D4" s="451"/>
      <c r="E4" s="451"/>
      <c r="F4" s="451"/>
      <c r="G4" s="451"/>
    </row>
    <row r="5" spans="1:8" ht="16.5" thickBot="1" x14ac:dyDescent="0.3">
      <c r="A5" s="405" t="s">
        <v>247</v>
      </c>
      <c r="B5" s="434"/>
      <c r="C5" s="434"/>
      <c r="D5" s="434"/>
      <c r="E5" s="434"/>
      <c r="F5" s="434"/>
      <c r="G5" s="434"/>
    </row>
    <row r="6" spans="1:8" ht="16.5" thickBot="1" x14ac:dyDescent="0.25">
      <c r="A6" s="503" t="s">
        <v>248</v>
      </c>
      <c r="B6" s="505" t="s">
        <v>249</v>
      </c>
      <c r="C6" s="506"/>
      <c r="D6" s="506"/>
      <c r="E6" s="506"/>
      <c r="F6" s="506"/>
      <c r="G6" s="507"/>
    </row>
    <row r="7" spans="1:8" ht="16.5" thickBot="1" x14ac:dyDescent="0.25">
      <c r="A7" s="504"/>
      <c r="B7" s="407">
        <v>2020</v>
      </c>
      <c r="C7" s="333">
        <v>2021</v>
      </c>
      <c r="D7" s="333">
        <v>2022</v>
      </c>
      <c r="E7" s="333">
        <v>2023</v>
      </c>
      <c r="F7" s="333">
        <v>2024</v>
      </c>
      <c r="G7" s="334" t="s">
        <v>151</v>
      </c>
      <c r="H7" s="408" t="s">
        <v>187</v>
      </c>
    </row>
    <row r="8" spans="1:8" ht="15.75" x14ac:dyDescent="0.25">
      <c r="A8" s="424" t="s">
        <v>250</v>
      </c>
      <c r="B8" s="320">
        <v>324000</v>
      </c>
      <c r="C8" s="320">
        <v>332100</v>
      </c>
      <c r="D8" s="320">
        <v>340400</v>
      </c>
      <c r="E8" s="320">
        <v>348900</v>
      </c>
      <c r="F8" s="320">
        <v>357600</v>
      </c>
      <c r="G8" s="324">
        <v>1703000</v>
      </c>
      <c r="H8" s="464">
        <f>G8/$G$11</f>
        <v>0.17686097626428077</v>
      </c>
    </row>
    <row r="9" spans="1:8" ht="15.75" x14ac:dyDescent="0.25">
      <c r="A9" s="425" t="s">
        <v>251</v>
      </c>
      <c r="B9" s="320">
        <v>1476000</v>
      </c>
      <c r="C9" s="320">
        <v>1512900</v>
      </c>
      <c r="D9" s="320">
        <v>1550700</v>
      </c>
      <c r="E9" s="320">
        <v>1589500</v>
      </c>
      <c r="F9" s="320">
        <v>1629200</v>
      </c>
      <c r="G9" s="324">
        <v>7758300</v>
      </c>
      <c r="H9" s="464">
        <f>G9/G11</f>
        <v>0.80571961958377536</v>
      </c>
    </row>
    <row r="10" spans="1:8" ht="16.5" thickBot="1" x14ac:dyDescent="0.3">
      <c r="A10" s="425" t="s">
        <v>298</v>
      </c>
      <c r="B10" s="423" t="s">
        <v>92</v>
      </c>
      <c r="C10" s="423" t="s">
        <v>92</v>
      </c>
      <c r="D10" s="423" t="s">
        <v>92</v>
      </c>
      <c r="E10" s="423" t="s">
        <v>92</v>
      </c>
      <c r="F10" s="423" t="s">
        <v>92</v>
      </c>
      <c r="G10" s="426">
        <v>167732</v>
      </c>
      <c r="H10" s="465">
        <f>G10/G11</f>
        <v>1.7419404151943828E-2</v>
      </c>
    </row>
    <row r="11" spans="1:8" ht="16.5" thickBot="1" x14ac:dyDescent="0.3">
      <c r="A11" s="409" t="s">
        <v>151</v>
      </c>
      <c r="B11" s="329">
        <f>SUM(B8:B10)</f>
        <v>1800000</v>
      </c>
      <c r="C11" s="330">
        <f t="shared" ref="C11:G11" si="0">SUM(C8:C10)</f>
        <v>1845000</v>
      </c>
      <c r="D11" s="427">
        <f t="shared" si="0"/>
        <v>1891100</v>
      </c>
      <c r="E11" s="330">
        <f t="shared" si="0"/>
        <v>1938400</v>
      </c>
      <c r="F11" s="330">
        <f t="shared" si="0"/>
        <v>1986800</v>
      </c>
      <c r="G11" s="395">
        <f t="shared" si="0"/>
        <v>9629032</v>
      </c>
      <c r="H11" s="1"/>
    </row>
    <row r="12" spans="1:8" x14ac:dyDescent="0.2">
      <c r="A12" s="435"/>
    </row>
    <row r="13" spans="1:8" ht="19.5" thickBot="1" x14ac:dyDescent="0.35">
      <c r="A13" s="450" t="s">
        <v>255</v>
      </c>
      <c r="B13" s="451"/>
      <c r="C13" s="451"/>
      <c r="D13" s="451"/>
      <c r="E13" s="451"/>
      <c r="F13" s="451"/>
      <c r="G13" s="451"/>
    </row>
    <row r="14" spans="1:8" ht="16.5" thickBot="1" x14ac:dyDescent="0.25">
      <c r="A14" s="503" t="s">
        <v>248</v>
      </c>
      <c r="B14" s="407">
        <v>2020</v>
      </c>
      <c r="C14" s="333">
        <v>2021</v>
      </c>
      <c r="D14" s="333">
        <v>2022</v>
      </c>
      <c r="E14" s="333">
        <v>2023</v>
      </c>
      <c r="F14" s="333">
        <v>2024</v>
      </c>
      <c r="G14" s="513" t="s">
        <v>151</v>
      </c>
    </row>
    <row r="15" spans="1:8" ht="34.5" customHeight="1" thickBot="1" x14ac:dyDescent="0.25">
      <c r="A15" s="504"/>
      <c r="B15" s="392" t="s">
        <v>283</v>
      </c>
      <c r="C15" s="392" t="s">
        <v>252</v>
      </c>
      <c r="D15" s="496" t="s">
        <v>285</v>
      </c>
      <c r="E15" s="511"/>
      <c r="F15" s="512"/>
      <c r="G15" s="514"/>
    </row>
    <row r="16" spans="1:8" ht="15.75" customHeight="1" x14ac:dyDescent="0.25">
      <c r="A16" s="424" t="s">
        <v>250</v>
      </c>
      <c r="B16" s="402">
        <f>'[2]Long-Term Tracking'!$AD$7</f>
        <v>187443.93</v>
      </c>
      <c r="C16" s="400">
        <f>SUMIF('Category Detail (2021)'!$H$7:$H$74,"G",'Category Detail (2021)'!$E$7:$E$74)+(0.25*(SUMIF('Category Detail (2021)'!$H$7:$H$74,"D",'Category Detail (2021)'!$E$7:$E$74)))</f>
        <v>337575</v>
      </c>
      <c r="D16" s="400">
        <f>D8+(($G8-($C16+$B16)-(SUM($D8:$F8)))*(D8/SUM($D8:$F8)))</f>
        <v>383021.06813258195</v>
      </c>
      <c r="E16" s="401">
        <f>E8+(($G8-($C16+$B16)-(SUM($D8:$F8)))*(E8/SUM($D8:$F8)))</f>
        <v>392585.3427481135</v>
      </c>
      <c r="F16" s="402">
        <f>F8+(($G8-($C16+$B16)-(SUM($D8:$F8)))*(F8/SUM($D8:$F8)))</f>
        <v>402374.65911930462</v>
      </c>
      <c r="G16" s="461">
        <f>SUM(B16:F16)</f>
        <v>1703000</v>
      </c>
    </row>
    <row r="17" spans="1:10" ht="15.75" customHeight="1" x14ac:dyDescent="0.25">
      <c r="A17" s="425" t="s">
        <v>158</v>
      </c>
      <c r="B17" s="399">
        <f>'[2]Long-Term Tracking'!$AD$6</f>
        <v>722762.3899999999</v>
      </c>
      <c r="C17" s="397">
        <f>SUMIF('Category Detail (2021)'!$H$7:$H$74,"E",'Category Detail (2021)'!$E$7:$E$74)+(0.75*(SUMIF('Category Detail (2021)'!$H$7:$H$74,"D",'Category Detail (2021)'!$E$7:$E$74)))-'Funding Shares'!C31</f>
        <v>1562425</v>
      </c>
      <c r="D17" s="397">
        <f>D9+(($G9-($C17+$B17)-(SUM($D9:$F9)))*(D9/SUM($D9:$F9)))</f>
        <v>1779501.7663284692</v>
      </c>
      <c r="E17" s="320">
        <f t="shared" ref="E17:F17" si="1">E9+(($G9-($C17+$B17)-(SUM($D9:$F9)))*(E9/SUM($D9:$F9)))</f>
        <v>1824026.6057774564</v>
      </c>
      <c r="F17" s="399">
        <f t="shared" si="1"/>
        <v>1869584.2378940748</v>
      </c>
      <c r="G17" s="462">
        <f>SUM(B17:F17)</f>
        <v>7758300</v>
      </c>
    </row>
    <row r="18" spans="1:10" ht="15.75" customHeight="1" thickBot="1" x14ac:dyDescent="0.3">
      <c r="A18" s="425" t="s">
        <v>298</v>
      </c>
      <c r="B18" s="399"/>
      <c r="C18" s="397">
        <f>'Funding Shares'!C31</f>
        <v>100000</v>
      </c>
      <c r="D18" s="397">
        <f>($G$10-$C$18)/3</f>
        <v>22577.333333333332</v>
      </c>
      <c r="E18" s="320">
        <f t="shared" ref="E18:F18" si="2">($G$10-$C$18)/3</f>
        <v>22577.333333333332</v>
      </c>
      <c r="F18" s="399">
        <f t="shared" si="2"/>
        <v>22577.333333333332</v>
      </c>
      <c r="G18" s="462">
        <f>SUM(B18:F18)</f>
        <v>167732</v>
      </c>
    </row>
    <row r="19" spans="1:10" ht="15.75" customHeight="1" thickBot="1" x14ac:dyDescent="0.3">
      <c r="A19" s="409" t="s">
        <v>151</v>
      </c>
      <c r="B19" s="410">
        <f>SUM(B16:B18)</f>
        <v>910206.31999999983</v>
      </c>
      <c r="C19" s="329">
        <f t="shared" ref="C19:F19" si="3">SUM(C16:C18)</f>
        <v>2000000</v>
      </c>
      <c r="D19" s="329">
        <f t="shared" si="3"/>
        <v>2185100.1677943845</v>
      </c>
      <c r="E19" s="330">
        <f t="shared" si="3"/>
        <v>2239189.2818589034</v>
      </c>
      <c r="F19" s="331">
        <f t="shared" si="3"/>
        <v>2294536.2303467127</v>
      </c>
      <c r="G19" s="463">
        <f>SUM(G16:G18)</f>
        <v>9629032</v>
      </c>
      <c r="J19" s="456"/>
    </row>
    <row r="20" spans="1:10" ht="15.75" customHeight="1" x14ac:dyDescent="0.25">
      <c r="A20" s="421" t="s">
        <v>299</v>
      </c>
      <c r="B20" s="418"/>
      <c r="C20" s="418"/>
      <c r="D20" s="419"/>
      <c r="E20" s="419"/>
      <c r="F20" s="419"/>
      <c r="G20" s="420"/>
      <c r="J20" s="456"/>
    </row>
    <row r="21" spans="1:10" ht="15.75" customHeight="1" thickBot="1" x14ac:dyDescent="0.3">
      <c r="A21" s="421" t="s">
        <v>284</v>
      </c>
      <c r="B21" s="418"/>
      <c r="C21" s="418"/>
      <c r="D21" s="419"/>
      <c r="E21" s="418"/>
      <c r="F21" s="418"/>
      <c r="G21" s="420"/>
    </row>
    <row r="22" spans="1:10" ht="13.5" thickBot="1" x14ac:dyDescent="0.25">
      <c r="A22" s="413" t="s">
        <v>256</v>
      </c>
      <c r="B22" s="416">
        <f>[2]Contracts!$F$32</f>
        <v>910206.31999999983</v>
      </c>
      <c r="C22" s="414">
        <f>'Category Detail (2021)'!E4</f>
        <v>2000000</v>
      </c>
      <c r="D22" s="415"/>
      <c r="E22" s="415"/>
      <c r="F22" s="415"/>
      <c r="G22" s="417">
        <f>G11</f>
        <v>9629032</v>
      </c>
    </row>
    <row r="24" spans="1:10" ht="19.5" thickBot="1" x14ac:dyDescent="0.35">
      <c r="A24" s="450" t="s">
        <v>263</v>
      </c>
      <c r="B24" s="451"/>
      <c r="C24" s="451"/>
      <c r="D24" s="451"/>
      <c r="E24" s="451"/>
      <c r="F24" s="451"/>
      <c r="G24" s="451"/>
    </row>
    <row r="25" spans="1:10" ht="16.5" thickBot="1" x14ac:dyDescent="0.25">
      <c r="B25" s="467">
        <v>2020</v>
      </c>
      <c r="C25" s="468">
        <v>2021</v>
      </c>
      <c r="D25" s="468">
        <v>2022</v>
      </c>
      <c r="E25" s="468">
        <v>2023</v>
      </c>
      <c r="F25" s="468">
        <v>2024</v>
      </c>
      <c r="G25" s="433" t="s">
        <v>256</v>
      </c>
    </row>
    <row r="26" spans="1:10" ht="15.75" x14ac:dyDescent="0.25">
      <c r="A26" s="319" t="s">
        <v>250</v>
      </c>
      <c r="B26" s="470">
        <f>B16/B$19</f>
        <v>0.20593564984255441</v>
      </c>
      <c r="C26" s="431">
        <f>C16/C$19</f>
        <v>0.16878750000000001</v>
      </c>
      <c r="D26" s="431">
        <f t="shared" ref="D26:F26" si="4">D16/D$19</f>
        <v>0.17528764757690679</v>
      </c>
      <c r="E26" s="431">
        <f t="shared" si="4"/>
        <v>0.17532476862438431</v>
      </c>
      <c r="F26" s="431">
        <f t="shared" si="4"/>
        <v>0.17536208572244003</v>
      </c>
      <c r="G26" s="474">
        <f>G16/$G$19</f>
        <v>0.17686097626428077</v>
      </c>
    </row>
    <row r="27" spans="1:10" ht="15.75" x14ac:dyDescent="0.25">
      <c r="A27" s="322" t="s">
        <v>158</v>
      </c>
      <c r="B27" s="471">
        <f t="shared" ref="B27:F27" si="5">B17/B$19</f>
        <v>0.7940643501574457</v>
      </c>
      <c r="C27" s="469">
        <f t="shared" si="5"/>
        <v>0.78121249999999998</v>
      </c>
      <c r="D27" s="469">
        <f t="shared" si="5"/>
        <v>0.81437995042793765</v>
      </c>
      <c r="E27" s="469">
        <f t="shared" si="5"/>
        <v>0.81459241545815542</v>
      </c>
      <c r="F27" s="469">
        <f t="shared" si="5"/>
        <v>0.81479830789665664</v>
      </c>
      <c r="G27" s="474">
        <f>G17/$G$19</f>
        <v>0.80571961958377536</v>
      </c>
    </row>
    <row r="28" spans="1:10" ht="16.5" thickBot="1" x14ac:dyDescent="0.3">
      <c r="A28" s="326" t="s">
        <v>298</v>
      </c>
      <c r="B28" s="472">
        <f t="shared" ref="B28:F28" si="6">B18/B$19</f>
        <v>0</v>
      </c>
      <c r="C28" s="432">
        <f t="shared" si="6"/>
        <v>0.05</v>
      </c>
      <c r="D28" s="432">
        <f t="shared" si="6"/>
        <v>1.0332401995155506E-2</v>
      </c>
      <c r="E28" s="432">
        <f t="shared" si="6"/>
        <v>1.0082815917460249E-2</v>
      </c>
      <c r="F28" s="432">
        <f t="shared" si="6"/>
        <v>9.8396063809033062E-3</v>
      </c>
      <c r="G28" s="475">
        <f>G18/$G$19</f>
        <v>1.7419404151943828E-2</v>
      </c>
    </row>
    <row r="29" spans="1:10" ht="16.5" thickBot="1" x14ac:dyDescent="0.3">
      <c r="A29" s="466" t="s">
        <v>151</v>
      </c>
      <c r="B29" s="473">
        <f>SUM(B26:B28)</f>
        <v>1</v>
      </c>
      <c r="C29" s="429">
        <f t="shared" ref="C29:F29" si="7">SUM(C26:C28)</f>
        <v>1</v>
      </c>
      <c r="D29" s="429">
        <f t="shared" si="7"/>
        <v>0.99999999999999989</v>
      </c>
      <c r="E29" s="429">
        <f t="shared" si="7"/>
        <v>1</v>
      </c>
      <c r="F29" s="430">
        <f t="shared" si="7"/>
        <v>1</v>
      </c>
      <c r="G29" s="428"/>
    </row>
    <row r="30" spans="1:10" x14ac:dyDescent="0.2">
      <c r="D30" s="412"/>
    </row>
    <row r="31" spans="1:10" x14ac:dyDescent="0.2">
      <c r="D31" s="412"/>
    </row>
    <row r="32" spans="1:10" ht="19.5" thickBot="1" x14ac:dyDescent="0.35">
      <c r="A32" s="452" t="s">
        <v>265</v>
      </c>
      <c r="B32" s="434"/>
      <c r="C32" s="434"/>
      <c r="D32" s="434"/>
      <c r="E32" s="434"/>
      <c r="F32" s="434"/>
    </row>
    <row r="33" spans="1:7" ht="16.5" thickBot="1" x14ac:dyDescent="0.25">
      <c r="A33" s="448"/>
      <c r="B33" s="407">
        <v>2020</v>
      </c>
      <c r="C33" s="333">
        <v>2021</v>
      </c>
      <c r="D33" s="333">
        <v>2022</v>
      </c>
      <c r="E33" s="333">
        <v>2023</v>
      </c>
      <c r="F33" s="333">
        <v>2024</v>
      </c>
    </row>
    <row r="34" spans="1:7" ht="32.25" thickBot="1" x14ac:dyDescent="0.25">
      <c r="A34" s="448"/>
      <c r="B34" s="392" t="s">
        <v>254</v>
      </c>
      <c r="C34" s="392" t="s">
        <v>252</v>
      </c>
      <c r="D34" s="508" t="s">
        <v>253</v>
      </c>
      <c r="E34" s="509"/>
      <c r="F34" s="510"/>
    </row>
    <row r="35" spans="1:7" ht="15.75" x14ac:dyDescent="0.25">
      <c r="A35" s="424" t="s">
        <v>266</v>
      </c>
      <c r="B35" s="437">
        <f>B49/$G$49</f>
        <v>0.24097770291624887</v>
      </c>
      <c r="C35" s="477">
        <f>C49/$G$49</f>
        <v>0.18853741747429087</v>
      </c>
      <c r="D35" s="439">
        <f>D49/$G$49</f>
        <v>0.23304690194813937</v>
      </c>
      <c r="E35" s="440">
        <f>E49/$G$49</f>
        <v>0.18776534693007649</v>
      </c>
      <c r="F35" s="441">
        <f>F49/$G$49</f>
        <v>0.14967263073124432</v>
      </c>
      <c r="G35" s="449"/>
    </row>
    <row r="36" spans="1:7" ht="16.5" thickBot="1" x14ac:dyDescent="0.3">
      <c r="A36" s="425" t="s">
        <v>304</v>
      </c>
      <c r="B36" s="438">
        <f>B16/$G$16</f>
        <v>0.11006689958896065</v>
      </c>
      <c r="C36" s="478">
        <f>C16/$G$16</f>
        <v>0.19822372284204345</v>
      </c>
      <c r="D36" s="442">
        <f>D16/$G$16</f>
        <v>0.22490961135207396</v>
      </c>
      <c r="E36" s="443">
        <f>E16/$G$16</f>
        <v>0.23052574442050117</v>
      </c>
      <c r="F36" s="444">
        <f>F16/$G$16</f>
        <v>0.23627402179642079</v>
      </c>
      <c r="G36" s="449"/>
    </row>
    <row r="37" spans="1:7" ht="16.5" thickBot="1" x14ac:dyDescent="0.3">
      <c r="A37" s="406" t="s">
        <v>267</v>
      </c>
      <c r="B37" s="422">
        <f>(B16-B49)/B16</f>
        <v>-1.1806521022046434</v>
      </c>
      <c r="C37" s="479">
        <f>(C16-C49)/C16</f>
        <v>5.2654965563208173E-2</v>
      </c>
      <c r="D37" s="445">
        <f>(D16-D49)/D16</f>
        <v>-3.2051991754063355E-2</v>
      </c>
      <c r="E37" s="446">
        <f>(E16-E49)/E16</f>
        <v>0.18873588067678707</v>
      </c>
      <c r="F37" s="447">
        <f>(F16-F49)/F16</f>
        <v>0.36905329625026156</v>
      </c>
    </row>
    <row r="39" spans="1:7" ht="19.5" thickBot="1" x14ac:dyDescent="0.35">
      <c r="A39" s="452" t="s">
        <v>270</v>
      </c>
      <c r="B39" s="434"/>
      <c r="C39" s="434"/>
      <c r="D39" s="434"/>
      <c r="E39" s="434"/>
      <c r="F39" s="434"/>
    </row>
    <row r="40" spans="1:7" ht="16.5" thickBot="1" x14ac:dyDescent="0.25">
      <c r="B40" s="407">
        <v>2020</v>
      </c>
      <c r="C40" s="333">
        <v>2021</v>
      </c>
      <c r="D40" s="333">
        <v>2022</v>
      </c>
      <c r="E40" s="333">
        <v>2023</v>
      </c>
      <c r="F40" s="333">
        <v>2024</v>
      </c>
    </row>
    <row r="41" spans="1:7" ht="32.25" thickBot="1" x14ac:dyDescent="0.25">
      <c r="B41" s="392" t="s">
        <v>254</v>
      </c>
      <c r="C41" s="392" t="s">
        <v>252</v>
      </c>
      <c r="D41" s="508" t="s">
        <v>253</v>
      </c>
      <c r="E41" s="509"/>
      <c r="F41" s="510"/>
    </row>
    <row r="42" spans="1:7" ht="15.75" x14ac:dyDescent="0.25">
      <c r="A42" s="424" t="s">
        <v>266</v>
      </c>
      <c r="B42" s="437">
        <f>B48/$G$48</f>
        <v>0.1791652816897619</v>
      </c>
      <c r="C42" s="477">
        <f>C48/$G$48</f>
        <v>0.19641537296188669</v>
      </c>
      <c r="D42" s="439">
        <f t="shared" ref="D42:F42" si="8">D48/$G$48</f>
        <v>0.19263276003753246</v>
      </c>
      <c r="E42" s="440">
        <f t="shared" si="8"/>
        <v>0.20861248464872323</v>
      </c>
      <c r="F42" s="441">
        <f t="shared" si="8"/>
        <v>0.22317410066209573</v>
      </c>
      <c r="G42" s="449"/>
    </row>
    <row r="43" spans="1:7" ht="16.5" thickBot="1" x14ac:dyDescent="0.3">
      <c r="A43" s="425" t="s">
        <v>304</v>
      </c>
      <c r="B43" s="438">
        <f>B17/$G$17</f>
        <v>9.3159891986646551E-2</v>
      </c>
      <c r="C43" s="478">
        <f>C17/$G$17</f>
        <v>0.20138754624080019</v>
      </c>
      <c r="D43" s="442">
        <f t="shared" ref="D43:F43" si="9">D17/$G$17</f>
        <v>0.22936748596064463</v>
      </c>
      <c r="E43" s="443">
        <f t="shared" si="9"/>
        <v>0.235106480256945</v>
      </c>
      <c r="F43" s="444">
        <f t="shared" si="9"/>
        <v>0.24097859555496368</v>
      </c>
      <c r="G43" s="449"/>
    </row>
    <row r="44" spans="1:7" ht="16.5" thickBot="1" x14ac:dyDescent="0.3">
      <c r="A44" s="406" t="s">
        <v>267</v>
      </c>
      <c r="B44" s="422">
        <f>(B17-B48)/B17</f>
        <v>-0.92490646891573891</v>
      </c>
      <c r="C44" s="479">
        <f>(C17-C48)/C17</f>
        <v>2.382514360689313E-2</v>
      </c>
      <c r="D44" s="445">
        <f>(D17-D48)/D17</f>
        <v>0.15941227367464558</v>
      </c>
      <c r="E44" s="446">
        <f>(E17-E48)/E17</f>
        <v>0.11190290891300173</v>
      </c>
      <c r="F44" s="447">
        <f>(F17-F48)/F17</f>
        <v>7.306330297622346E-2</v>
      </c>
    </row>
    <row r="46" spans="1:7" hidden="1" x14ac:dyDescent="0.2">
      <c r="A46" s="411" t="s">
        <v>268</v>
      </c>
    </row>
    <row r="47" spans="1:7" hidden="1" x14ac:dyDescent="0.2">
      <c r="B47" s="411">
        <v>2020</v>
      </c>
      <c r="C47" s="411">
        <v>2021</v>
      </c>
      <c r="D47" s="411">
        <v>2022</v>
      </c>
      <c r="E47" s="411">
        <v>2023</v>
      </c>
      <c r="F47" s="411">
        <v>2024</v>
      </c>
      <c r="G47" s="411" t="s">
        <v>264</v>
      </c>
    </row>
    <row r="48" spans="1:7" hidden="1" x14ac:dyDescent="0.2">
      <c r="A48" s="411" t="s">
        <v>158</v>
      </c>
      <c r="B48" s="436">
        <v>1391250</v>
      </c>
      <c r="C48" s="436">
        <v>1525200</v>
      </c>
      <c r="D48" s="436">
        <v>1495827.34375</v>
      </c>
      <c r="E48" s="436">
        <v>1619912.72265625</v>
      </c>
      <c r="F48" s="436">
        <v>1732986.2382812481</v>
      </c>
      <c r="G48" s="436">
        <v>7765176.3046874981</v>
      </c>
    </row>
    <row r="49" spans="1:7" hidden="1" x14ac:dyDescent="0.2">
      <c r="A49" s="411" t="s">
        <v>269</v>
      </c>
      <c r="B49" s="436">
        <v>408750</v>
      </c>
      <c r="C49" s="436">
        <v>319800</v>
      </c>
      <c r="D49" s="436">
        <v>395297.65625</v>
      </c>
      <c r="E49" s="436">
        <v>318490.40234375</v>
      </c>
      <c r="F49" s="436">
        <v>253876.96484374988</v>
      </c>
      <c r="G49" s="436">
        <v>1696215.0234375</v>
      </c>
    </row>
    <row r="50" spans="1:7" hidden="1" x14ac:dyDescent="0.2">
      <c r="A50" s="411" t="s">
        <v>151</v>
      </c>
      <c r="B50" s="436">
        <v>1800000</v>
      </c>
      <c r="C50" s="436">
        <v>1845000</v>
      </c>
      <c r="D50" s="436">
        <v>1891125</v>
      </c>
      <c r="E50" s="436">
        <v>1938403.125</v>
      </c>
      <c r="F50" s="436">
        <v>1986863.2031249981</v>
      </c>
      <c r="G50" s="436">
        <v>9461391.3281249981</v>
      </c>
    </row>
  </sheetData>
  <mergeCells count="7">
    <mergeCell ref="A6:A7"/>
    <mergeCell ref="B6:G6"/>
    <mergeCell ref="D41:F41"/>
    <mergeCell ref="D15:F15"/>
    <mergeCell ref="A14:A15"/>
    <mergeCell ref="G14:G15"/>
    <mergeCell ref="D34:F34"/>
  </mergeCells>
  <conditionalFormatting sqref="B11:F11">
    <cfRule type="cellIs" dxfId="8" priority="8" operator="equal">
      <formula>#REF!</formula>
    </cfRule>
  </conditionalFormatting>
  <conditionalFormatting sqref="B22">
    <cfRule type="expression" dxfId="7" priority="6">
      <formula>$B$19=$B$22</formula>
    </cfRule>
  </conditionalFormatting>
  <conditionalFormatting sqref="C22">
    <cfRule type="expression" dxfId="6" priority="5">
      <formula>$C$22=$C$19</formula>
    </cfRule>
  </conditionalFormatting>
  <conditionalFormatting sqref="G22">
    <cfRule type="expression" dxfId="5" priority="4">
      <formula>$G$11=$G$19</formula>
    </cfRule>
  </conditionalFormatting>
  <conditionalFormatting sqref="G26">
    <cfRule type="expression" dxfId="4" priority="3">
      <formula>$G$26=$H$8</formula>
    </cfRule>
  </conditionalFormatting>
  <conditionalFormatting sqref="G27">
    <cfRule type="expression" dxfId="3" priority="2">
      <formula>$G$27=$H$9</formula>
    </cfRule>
  </conditionalFormatting>
  <conditionalFormatting sqref="G28">
    <cfRule type="expression" dxfId="2" priority="1">
      <formula>$H$10=$G$28</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C194C-03BB-421D-9ECA-821ADBDEC20E}">
  <dimension ref="A1:F29"/>
  <sheetViews>
    <sheetView workbookViewId="0"/>
  </sheetViews>
  <sheetFormatPr defaultRowHeight="12.75" x14ac:dyDescent="0.2"/>
  <cols>
    <col min="1" max="1" width="21.42578125" customWidth="1"/>
    <col min="2" max="2" width="56.28515625" customWidth="1"/>
    <col min="3" max="5" width="21.140625" customWidth="1"/>
  </cols>
  <sheetData>
    <row r="1" spans="1:6" ht="18.75" x14ac:dyDescent="0.3">
      <c r="A1" s="2" t="s">
        <v>65</v>
      </c>
      <c r="B1" s="57"/>
      <c r="C1" s="78" t="s">
        <v>33</v>
      </c>
      <c r="E1" s="57"/>
      <c r="F1" s="57"/>
    </row>
    <row r="2" spans="1:6" ht="15.75" x14ac:dyDescent="0.25">
      <c r="A2" s="3" t="str">
        <f>'Table of Contents'!A2</f>
        <v>Propsoed 2021 Work Plan, September 1, 2020</v>
      </c>
      <c r="B2" s="57"/>
      <c r="C2" s="77">
        <f>E26</f>
        <v>170500</v>
      </c>
      <c r="E2" s="58"/>
      <c r="F2" s="57"/>
    </row>
    <row r="3" spans="1:6" ht="15.75" x14ac:dyDescent="0.25">
      <c r="A3" s="42"/>
      <c r="B3" s="57"/>
      <c r="C3" s="57"/>
      <c r="E3" s="57"/>
      <c r="F3" s="57"/>
    </row>
    <row r="4" spans="1:6" ht="15.75" x14ac:dyDescent="0.25">
      <c r="A4" s="59" t="s">
        <v>66</v>
      </c>
      <c r="B4" s="60"/>
      <c r="C4" s="79">
        <f>E21</f>
        <v>2.6500000000000004</v>
      </c>
      <c r="D4" s="80" t="s">
        <v>34</v>
      </c>
    </row>
    <row r="5" spans="1:6" ht="15.75" x14ac:dyDescent="0.25">
      <c r="A5" s="57"/>
      <c r="B5" s="57"/>
      <c r="C5" s="57"/>
      <c r="D5" s="57"/>
      <c r="E5" s="57"/>
    </row>
    <row r="6" spans="1:6" ht="47.25" x14ac:dyDescent="0.25">
      <c r="A6" s="61" t="s">
        <v>35</v>
      </c>
      <c r="B6" s="61" t="s">
        <v>36</v>
      </c>
      <c r="C6" s="61" t="s">
        <v>37</v>
      </c>
      <c r="D6" s="61" t="s">
        <v>38</v>
      </c>
      <c r="E6" s="61" t="s">
        <v>39</v>
      </c>
    </row>
    <row r="7" spans="1:6" ht="15.75" x14ac:dyDescent="0.25">
      <c r="A7" s="62" t="s">
        <v>40</v>
      </c>
      <c r="B7" s="62" t="s">
        <v>41</v>
      </c>
      <c r="C7" s="63">
        <v>0.02</v>
      </c>
      <c r="D7" s="63">
        <v>0.01</v>
      </c>
      <c r="E7" s="64">
        <f t="shared" ref="E7:E9" si="0">SUM(C7:D7)</f>
        <v>0.03</v>
      </c>
    </row>
    <row r="8" spans="1:6" ht="15.75" x14ac:dyDescent="0.25">
      <c r="A8" s="62" t="s">
        <v>42</v>
      </c>
      <c r="B8" s="62" t="s">
        <v>43</v>
      </c>
      <c r="C8" s="63">
        <v>0.02</v>
      </c>
      <c r="D8" s="63">
        <v>0.05</v>
      </c>
      <c r="E8" s="64">
        <f t="shared" si="0"/>
        <v>7.0000000000000007E-2</v>
      </c>
    </row>
    <row r="9" spans="1:6" ht="15.75" x14ac:dyDescent="0.25">
      <c r="A9" s="65" t="s">
        <v>44</v>
      </c>
      <c r="B9" s="65" t="s">
        <v>45</v>
      </c>
      <c r="C9" s="66">
        <v>0</v>
      </c>
      <c r="D9" s="63">
        <v>0.03</v>
      </c>
      <c r="E9" s="67">
        <f t="shared" si="0"/>
        <v>0.03</v>
      </c>
    </row>
    <row r="10" spans="1:6" ht="15.75" x14ac:dyDescent="0.25">
      <c r="A10" s="65" t="s">
        <v>46</v>
      </c>
      <c r="B10" s="62" t="s">
        <v>47</v>
      </c>
      <c r="C10" s="66">
        <v>0</v>
      </c>
      <c r="D10" s="63">
        <v>0.08</v>
      </c>
      <c r="E10" s="67">
        <f>SUM(C10:D10)</f>
        <v>0.08</v>
      </c>
    </row>
    <row r="11" spans="1:6" ht="15.75" x14ac:dyDescent="0.25">
      <c r="A11" s="65" t="s">
        <v>48</v>
      </c>
      <c r="B11" s="62" t="s">
        <v>49</v>
      </c>
      <c r="C11" s="66">
        <v>0</v>
      </c>
      <c r="D11" s="63">
        <v>0.08</v>
      </c>
      <c r="E11" s="67">
        <f>SUM(C11:D11)</f>
        <v>0.08</v>
      </c>
    </row>
    <row r="12" spans="1:6" ht="15.75" x14ac:dyDescent="0.25">
      <c r="A12" s="65" t="s">
        <v>67</v>
      </c>
      <c r="B12" s="62" t="s">
        <v>68</v>
      </c>
      <c r="C12" s="66">
        <v>1</v>
      </c>
      <c r="D12" s="63">
        <v>0</v>
      </c>
      <c r="E12" s="67">
        <f t="shared" ref="E12:E19" si="1">SUM(C12:D12)</f>
        <v>1</v>
      </c>
    </row>
    <row r="13" spans="1:6" ht="15.75" x14ac:dyDescent="0.25">
      <c r="A13" s="65" t="s">
        <v>69</v>
      </c>
      <c r="B13" s="62" t="s">
        <v>68</v>
      </c>
      <c r="C13" s="66">
        <v>0.02</v>
      </c>
      <c r="D13" s="63">
        <v>0</v>
      </c>
      <c r="E13" s="67">
        <f t="shared" si="1"/>
        <v>0.02</v>
      </c>
    </row>
    <row r="14" spans="1:6" ht="15.75" x14ac:dyDescent="0.25">
      <c r="A14" s="65" t="s">
        <v>50</v>
      </c>
      <c r="B14" s="62" t="s">
        <v>51</v>
      </c>
      <c r="C14" s="66">
        <v>0.1</v>
      </c>
      <c r="D14" s="63">
        <v>0</v>
      </c>
      <c r="E14" s="67">
        <f t="shared" si="1"/>
        <v>0.1</v>
      </c>
    </row>
    <row r="15" spans="1:6" ht="15.75" x14ac:dyDescent="0.25">
      <c r="A15" s="62" t="s">
        <v>52</v>
      </c>
      <c r="B15" s="62" t="s">
        <v>53</v>
      </c>
      <c r="C15" s="63">
        <v>0.1</v>
      </c>
      <c r="D15" s="63">
        <v>0</v>
      </c>
      <c r="E15" s="64">
        <f t="shared" si="1"/>
        <v>0.1</v>
      </c>
    </row>
    <row r="16" spans="1:6" ht="15.75" x14ac:dyDescent="0.25">
      <c r="A16" s="62" t="s">
        <v>70</v>
      </c>
      <c r="B16" s="62" t="s">
        <v>54</v>
      </c>
      <c r="C16" s="63">
        <v>0.1</v>
      </c>
      <c r="D16" s="63">
        <v>0</v>
      </c>
      <c r="E16" s="68">
        <f t="shared" si="1"/>
        <v>0.1</v>
      </c>
    </row>
    <row r="17" spans="1:5" ht="15.75" x14ac:dyDescent="0.25">
      <c r="A17" s="62" t="s">
        <v>55</v>
      </c>
      <c r="B17" s="62" t="s">
        <v>56</v>
      </c>
      <c r="C17" s="63">
        <v>0.02</v>
      </c>
      <c r="D17" s="63">
        <v>0</v>
      </c>
      <c r="E17" s="68">
        <f t="shared" si="1"/>
        <v>0.02</v>
      </c>
    </row>
    <row r="18" spans="1:5" ht="15.75" x14ac:dyDescent="0.25">
      <c r="A18" s="62" t="s">
        <v>57</v>
      </c>
      <c r="B18" s="62" t="s">
        <v>58</v>
      </c>
      <c r="C18" s="63">
        <v>0.01</v>
      </c>
      <c r="D18" s="63">
        <v>0</v>
      </c>
      <c r="E18" s="68">
        <f t="shared" si="1"/>
        <v>0.01</v>
      </c>
    </row>
    <row r="19" spans="1:5" ht="15.75" x14ac:dyDescent="0.25">
      <c r="A19" s="62" t="s">
        <v>59</v>
      </c>
      <c r="B19" s="62" t="s">
        <v>60</v>
      </c>
      <c r="C19" s="63">
        <v>0.01</v>
      </c>
      <c r="D19" s="63">
        <v>0</v>
      </c>
      <c r="E19" s="68">
        <f t="shared" si="1"/>
        <v>0.01</v>
      </c>
    </row>
    <row r="20" spans="1:5" ht="15.75" x14ac:dyDescent="0.25">
      <c r="A20" s="72" t="s">
        <v>61</v>
      </c>
      <c r="B20" s="72" t="s">
        <v>62</v>
      </c>
      <c r="C20" s="73">
        <v>0.9</v>
      </c>
      <c r="D20" s="73">
        <v>0.1</v>
      </c>
      <c r="E20" s="73">
        <f>SUM(C20:D20)</f>
        <v>1</v>
      </c>
    </row>
    <row r="21" spans="1:5" ht="15.75" x14ac:dyDescent="0.25">
      <c r="A21" s="57"/>
      <c r="B21" s="74" t="s">
        <v>34</v>
      </c>
      <c r="C21" s="75">
        <f>SUM(C7:C20)</f>
        <v>2.3000000000000003</v>
      </c>
      <c r="D21" s="75">
        <f>SUM(D7:D20)</f>
        <v>0.35</v>
      </c>
      <c r="E21" s="75">
        <f>SUM(E7:E20)</f>
        <v>2.6500000000000004</v>
      </c>
    </row>
    <row r="22" spans="1:5" ht="15.75" x14ac:dyDescent="0.25">
      <c r="A22" s="57"/>
      <c r="B22" s="57"/>
      <c r="C22" s="69"/>
      <c r="D22" s="69"/>
      <c r="E22" s="77">
        <v>350000</v>
      </c>
    </row>
    <row r="23" spans="1:5" ht="15.75" x14ac:dyDescent="0.25">
      <c r="A23" s="57"/>
      <c r="B23" s="57"/>
      <c r="C23" s="60"/>
      <c r="D23" s="60"/>
      <c r="E23" s="60"/>
    </row>
    <row r="24" spans="1:5" ht="15.75" x14ac:dyDescent="0.25">
      <c r="A24" s="57"/>
      <c r="B24" s="70" t="s">
        <v>63</v>
      </c>
      <c r="C24" s="57"/>
      <c r="D24" s="57"/>
      <c r="E24" s="57"/>
    </row>
    <row r="25" spans="1:5" ht="15.75" x14ac:dyDescent="0.25">
      <c r="A25" s="57"/>
      <c r="B25" s="76" t="s">
        <v>34</v>
      </c>
      <c r="C25" s="75">
        <f>SUM(C7:C19)</f>
        <v>1.4000000000000004</v>
      </c>
      <c r="D25" s="75">
        <f>SUM(D7:D19)</f>
        <v>0.25</v>
      </c>
      <c r="E25" s="75">
        <f>SUM(E7:E19)</f>
        <v>1.6500000000000004</v>
      </c>
    </row>
    <row r="26" spans="1:5" ht="15.75" x14ac:dyDescent="0.25">
      <c r="A26" s="57"/>
      <c r="B26" s="57"/>
      <c r="C26" s="69"/>
      <c r="D26" s="69"/>
      <c r="E26" s="77">
        <f>E22-'Category Detail (2021)'!D73</f>
        <v>170500</v>
      </c>
    </row>
    <row r="27" spans="1:5" ht="15.75" x14ac:dyDescent="0.25">
      <c r="A27" s="57"/>
      <c r="B27" s="57"/>
      <c r="C27" s="57"/>
      <c r="D27" s="57"/>
      <c r="E27" s="57"/>
    </row>
    <row r="28" spans="1:5" ht="15.75" x14ac:dyDescent="0.25">
      <c r="A28" s="57"/>
      <c r="B28" s="57"/>
      <c r="C28" s="57"/>
      <c r="D28" s="71"/>
      <c r="E28" s="57"/>
    </row>
    <row r="29" spans="1:5" ht="15.75" x14ac:dyDescent="0.25">
      <c r="A29" s="57"/>
      <c r="B29" s="57"/>
      <c r="C29" s="57"/>
      <c r="D29" s="57"/>
      <c r="E29" s="5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ADEB8-4813-457F-AC36-15A5C0DD3FF2}">
  <sheetPr>
    <tabColor theme="1" tint="0.499984740745262"/>
  </sheetPr>
  <dimension ref="A1:U63"/>
  <sheetViews>
    <sheetView workbookViewId="0">
      <selection activeCell="B1" sqref="B1"/>
    </sheetView>
  </sheetViews>
  <sheetFormatPr defaultColWidth="8.85546875" defaultRowHeight="15.75" x14ac:dyDescent="0.25"/>
  <cols>
    <col min="1" max="1" width="55" style="1" customWidth="1"/>
    <col min="2" max="2" width="13.7109375" style="1" customWidth="1"/>
    <col min="3" max="3" width="9.140625" style="1" bestFit="1" customWidth="1"/>
    <col min="4" max="4" width="9.42578125" style="1" bestFit="1" customWidth="1"/>
    <col min="5" max="5" width="12.7109375" style="1" bestFit="1" customWidth="1"/>
    <col min="6" max="7" width="8.85546875" style="1"/>
    <col min="8" max="8" width="11" style="1" customWidth="1"/>
    <col min="9" max="9" width="11.28515625" style="1" bestFit="1" customWidth="1"/>
    <col min="10" max="10" width="12.42578125" style="1" bestFit="1" customWidth="1"/>
    <col min="11" max="11" width="9.140625" style="1" bestFit="1" customWidth="1"/>
    <col min="12" max="12" width="12.42578125" style="1" bestFit="1" customWidth="1"/>
    <col min="13" max="13" width="13.28515625" style="1" bestFit="1" customWidth="1"/>
    <col min="14" max="15" width="15" style="1" customWidth="1"/>
    <col min="16" max="16" width="12.7109375" style="1" bestFit="1" customWidth="1"/>
    <col min="17" max="17" width="14" style="1" bestFit="1" customWidth="1"/>
    <col min="18" max="18" width="12.7109375" style="1" bestFit="1" customWidth="1"/>
    <col min="19" max="16384" width="8.85546875" style="1"/>
  </cols>
  <sheetData>
    <row r="1" spans="1:18" ht="18.75" x14ac:dyDescent="0.3">
      <c r="A1" s="2" t="s">
        <v>0</v>
      </c>
    </row>
    <row r="2" spans="1:18" x14ac:dyDescent="0.25">
      <c r="A2" s="3" t="str">
        <f>'Table of Contents'!A2</f>
        <v>Propsoed 2021 Work Plan, September 1, 2020</v>
      </c>
    </row>
    <row r="3" spans="1:18" x14ac:dyDescent="0.25">
      <c r="N3"/>
      <c r="O3"/>
      <c r="P3"/>
      <c r="Q3"/>
      <c r="R3"/>
    </row>
    <row r="4" spans="1:18" x14ac:dyDescent="0.25">
      <c r="A4" s="4" t="s">
        <v>1</v>
      </c>
      <c r="B4" s="4" t="s">
        <v>2</v>
      </c>
      <c r="C4" s="4" t="s">
        <v>3</v>
      </c>
      <c r="D4" s="4" t="s">
        <v>4</v>
      </c>
      <c r="E4" s="4" t="s">
        <v>5</v>
      </c>
      <c r="F4" s="4" t="s">
        <v>6</v>
      </c>
      <c r="G4" s="5"/>
      <c r="H4" s="4" t="s">
        <v>7</v>
      </c>
      <c r="I4" s="4" t="s">
        <v>8</v>
      </c>
      <c r="J4" s="5"/>
      <c r="K4" s="4" t="s">
        <v>9</v>
      </c>
      <c r="L4" s="4" t="s">
        <v>10</v>
      </c>
      <c r="M4" s="4" t="s">
        <v>11</v>
      </c>
    </row>
    <row r="5" spans="1:18" x14ac:dyDescent="0.25">
      <c r="B5" s="6">
        <f>C5*12</f>
        <v>124800</v>
      </c>
      <c r="C5" s="6">
        <f>D5*(52/12)</f>
        <v>10400</v>
      </c>
      <c r="D5" s="6">
        <f>E5*5</f>
        <v>2400</v>
      </c>
      <c r="E5" s="6">
        <f>F5*8</f>
        <v>480</v>
      </c>
      <c r="F5" s="7">
        <v>60</v>
      </c>
      <c r="H5" s="6">
        <f>E5*52</f>
        <v>24960</v>
      </c>
      <c r="I5" s="6">
        <f>H5*2</f>
        <v>49920</v>
      </c>
      <c r="K5" s="6">
        <f>E5*12</f>
        <v>5760</v>
      </c>
      <c r="L5" s="6">
        <f>K5*2</f>
        <v>11520</v>
      </c>
      <c r="M5" s="6">
        <f>K5*3</f>
        <v>17280</v>
      </c>
    </row>
    <row r="6" spans="1:18" x14ac:dyDescent="0.25">
      <c r="B6" s="6">
        <f>C6*12</f>
        <v>166400</v>
      </c>
      <c r="C6" s="6">
        <f>D6*(52/12)</f>
        <v>13866.666666666666</v>
      </c>
      <c r="D6" s="6">
        <f>E6*5</f>
        <v>3200</v>
      </c>
      <c r="E6" s="6">
        <f>F6*8</f>
        <v>640</v>
      </c>
      <c r="F6" s="7">
        <v>80</v>
      </c>
      <c r="H6" s="6">
        <f t="shared" ref="H6:H10" si="0">E6*52</f>
        <v>33280</v>
      </c>
      <c r="I6" s="6">
        <f t="shared" ref="I6:I12" si="1">H6*2</f>
        <v>66560</v>
      </c>
      <c r="K6" s="6">
        <f t="shared" ref="K6:K11" si="2">E6*12</f>
        <v>7680</v>
      </c>
      <c r="L6" s="6">
        <f t="shared" ref="L6:L12" si="3">K6*2</f>
        <v>15360</v>
      </c>
      <c r="M6" s="6">
        <f t="shared" ref="M6:M11" si="4">K6*3</f>
        <v>23040</v>
      </c>
    </row>
    <row r="7" spans="1:18" x14ac:dyDescent="0.25">
      <c r="B7" s="6">
        <f t="shared" ref="B7:B10" si="5">C7*12</f>
        <v>208000</v>
      </c>
      <c r="C7" s="6">
        <f t="shared" ref="C7:C10" si="6">D7*(52/12)</f>
        <v>17333.333333333332</v>
      </c>
      <c r="D7" s="6">
        <f t="shared" ref="D7:D12" si="7">E7*5</f>
        <v>4000</v>
      </c>
      <c r="E7" s="6">
        <f t="shared" ref="E7:E11" si="8">F7*8</f>
        <v>800</v>
      </c>
      <c r="F7" s="7">
        <v>100</v>
      </c>
      <c r="H7" s="6">
        <f t="shared" si="0"/>
        <v>41600</v>
      </c>
      <c r="I7" s="6">
        <f t="shared" si="1"/>
        <v>83200</v>
      </c>
      <c r="K7" s="6">
        <f t="shared" si="2"/>
        <v>9600</v>
      </c>
      <c r="L7" s="6">
        <f t="shared" si="3"/>
        <v>19200</v>
      </c>
      <c r="M7" s="6">
        <f t="shared" si="4"/>
        <v>28800</v>
      </c>
    </row>
    <row r="8" spans="1:18" x14ac:dyDescent="0.25">
      <c r="A8" s="8"/>
      <c r="B8" s="6">
        <f t="shared" si="5"/>
        <v>249600</v>
      </c>
      <c r="C8" s="6">
        <f t="shared" si="6"/>
        <v>20800</v>
      </c>
      <c r="D8" s="6">
        <f t="shared" si="7"/>
        <v>4800</v>
      </c>
      <c r="E8" s="6">
        <f t="shared" si="8"/>
        <v>960</v>
      </c>
      <c r="F8" s="7">
        <v>120</v>
      </c>
      <c r="H8" s="6">
        <f t="shared" si="0"/>
        <v>49920</v>
      </c>
      <c r="I8" s="6">
        <f t="shared" si="1"/>
        <v>99840</v>
      </c>
      <c r="K8" s="6">
        <f t="shared" si="2"/>
        <v>11520</v>
      </c>
      <c r="L8" s="6">
        <f t="shared" si="3"/>
        <v>23040</v>
      </c>
      <c r="M8" s="6">
        <f t="shared" si="4"/>
        <v>34560</v>
      </c>
    </row>
    <row r="9" spans="1:18" x14ac:dyDescent="0.25">
      <c r="B9" s="6">
        <f t="shared" si="5"/>
        <v>312000</v>
      </c>
      <c r="C9" s="6">
        <f t="shared" si="6"/>
        <v>26000</v>
      </c>
      <c r="D9" s="6">
        <f t="shared" si="7"/>
        <v>6000</v>
      </c>
      <c r="E9" s="6">
        <f t="shared" si="8"/>
        <v>1200</v>
      </c>
      <c r="F9" s="7">
        <v>150</v>
      </c>
      <c r="H9" s="6">
        <f t="shared" si="0"/>
        <v>62400</v>
      </c>
      <c r="I9" s="6">
        <f t="shared" si="1"/>
        <v>124800</v>
      </c>
      <c r="K9" s="6">
        <f t="shared" si="2"/>
        <v>14400</v>
      </c>
      <c r="L9" s="6">
        <f t="shared" si="3"/>
        <v>28800</v>
      </c>
      <c r="M9" s="6">
        <f t="shared" si="4"/>
        <v>43200</v>
      </c>
    </row>
    <row r="10" spans="1:18" x14ac:dyDescent="0.25">
      <c r="B10" s="6">
        <f t="shared" si="5"/>
        <v>416000</v>
      </c>
      <c r="C10" s="6">
        <f t="shared" si="6"/>
        <v>34666.666666666664</v>
      </c>
      <c r="D10" s="6">
        <f t="shared" si="7"/>
        <v>8000</v>
      </c>
      <c r="E10" s="6">
        <f t="shared" si="8"/>
        <v>1600</v>
      </c>
      <c r="F10" s="7">
        <v>200</v>
      </c>
      <c r="H10" s="6">
        <f t="shared" si="0"/>
        <v>83200</v>
      </c>
      <c r="I10" s="6">
        <f t="shared" si="1"/>
        <v>166400</v>
      </c>
      <c r="K10" s="6">
        <f t="shared" si="2"/>
        <v>19200</v>
      </c>
      <c r="L10" s="6">
        <f t="shared" si="3"/>
        <v>38400</v>
      </c>
      <c r="M10" s="6">
        <f t="shared" si="4"/>
        <v>57600</v>
      </c>
    </row>
    <row r="11" spans="1:18" x14ac:dyDescent="0.25">
      <c r="B11" s="6">
        <f>C11*12</f>
        <v>519999.99999999994</v>
      </c>
      <c r="C11" s="6">
        <f>D11*(52/12)</f>
        <v>43333.333333333328</v>
      </c>
      <c r="D11" s="6">
        <f t="shared" si="7"/>
        <v>10000</v>
      </c>
      <c r="E11" s="6">
        <f t="shared" si="8"/>
        <v>2000</v>
      </c>
      <c r="F11" s="7">
        <v>250</v>
      </c>
      <c r="H11" s="6">
        <f>E11*52</f>
        <v>104000</v>
      </c>
      <c r="I11" s="6">
        <f t="shared" si="1"/>
        <v>208000</v>
      </c>
      <c r="K11" s="6">
        <f t="shared" si="2"/>
        <v>24000</v>
      </c>
      <c r="L11" s="6">
        <f t="shared" si="3"/>
        <v>48000</v>
      </c>
      <c r="M11" s="6">
        <f t="shared" si="4"/>
        <v>72000</v>
      </c>
    </row>
    <row r="12" spans="1:18" x14ac:dyDescent="0.25">
      <c r="A12" s="9" t="s">
        <v>12</v>
      </c>
      <c r="B12" s="6">
        <f>C12*12</f>
        <v>280800</v>
      </c>
      <c r="C12" s="6">
        <f>D12*(52/12)</f>
        <v>23400</v>
      </c>
      <c r="D12" s="6">
        <f t="shared" si="7"/>
        <v>5400</v>
      </c>
      <c r="E12" s="6">
        <f>F12*8</f>
        <v>1080</v>
      </c>
      <c r="F12" s="7">
        <v>135</v>
      </c>
      <c r="H12" s="6">
        <f>E12*52</f>
        <v>56160</v>
      </c>
      <c r="I12" s="6">
        <f t="shared" si="1"/>
        <v>112320</v>
      </c>
      <c r="K12" s="6">
        <f>E12*12</f>
        <v>12960</v>
      </c>
      <c r="L12" s="6">
        <f t="shared" si="3"/>
        <v>25920</v>
      </c>
      <c r="M12" s="6">
        <f>K12*3</f>
        <v>38880</v>
      </c>
      <c r="O12" s="476"/>
    </row>
    <row r="14" spans="1:18" x14ac:dyDescent="0.25">
      <c r="A14" s="4" t="s">
        <v>13</v>
      </c>
      <c r="B14" s="4" t="s">
        <v>14</v>
      </c>
      <c r="C14" s="4" t="s">
        <v>15</v>
      </c>
      <c r="D14" s="4" t="s">
        <v>16</v>
      </c>
      <c r="E14" s="4" t="s">
        <v>17</v>
      </c>
      <c r="F14" s="4"/>
      <c r="G14" s="4" t="s">
        <v>18</v>
      </c>
      <c r="H14" s="4" t="s">
        <v>19</v>
      </c>
      <c r="I14" s="4" t="s">
        <v>20</v>
      </c>
      <c r="J14" s="4"/>
      <c r="K14" s="4"/>
      <c r="L14" s="4"/>
      <c r="M14" s="5"/>
    </row>
    <row r="15" spans="1:18" x14ac:dyDescent="0.25">
      <c r="B15" s="7">
        <v>100</v>
      </c>
      <c r="C15" s="6">
        <f>$B15*8</f>
        <v>800</v>
      </c>
      <c r="D15" s="6">
        <f>$B15*16</f>
        <v>1600</v>
      </c>
      <c r="E15" s="6">
        <f>$B15*24</f>
        <v>2400</v>
      </c>
      <c r="G15" s="6">
        <f>$B15*40</f>
        <v>4000</v>
      </c>
      <c r="H15" s="6">
        <f>$B15*80</f>
        <v>8000</v>
      </c>
      <c r="I15" s="6">
        <f>$B15*120</f>
        <v>12000</v>
      </c>
      <c r="K15" s="6"/>
    </row>
    <row r="16" spans="1:18" x14ac:dyDescent="0.25">
      <c r="B16" s="7">
        <v>120</v>
      </c>
      <c r="C16" s="6">
        <f t="shared" ref="C16:C18" si="9">$B16*8</f>
        <v>960</v>
      </c>
      <c r="D16" s="6">
        <f t="shared" ref="D16:D18" si="10">$B16*16</f>
        <v>1920</v>
      </c>
      <c r="E16" s="6">
        <f t="shared" ref="E16:E18" si="11">$B16*24</f>
        <v>2880</v>
      </c>
      <c r="G16" s="6">
        <f t="shared" ref="G16:G18" si="12">$B16*40</f>
        <v>4800</v>
      </c>
      <c r="H16" s="6">
        <f t="shared" ref="H16:H18" si="13">$B16*80</f>
        <v>9600</v>
      </c>
      <c r="I16" s="6">
        <f t="shared" ref="I16:I18" si="14">$B16*120</f>
        <v>14400</v>
      </c>
    </row>
    <row r="17" spans="1:21" x14ac:dyDescent="0.25">
      <c r="B17" s="7">
        <v>150</v>
      </c>
      <c r="C17" s="6">
        <f t="shared" si="9"/>
        <v>1200</v>
      </c>
      <c r="D17" s="6">
        <f t="shared" si="10"/>
        <v>2400</v>
      </c>
      <c r="E17" s="6">
        <f t="shared" si="11"/>
        <v>3600</v>
      </c>
      <c r="G17" s="6">
        <f t="shared" si="12"/>
        <v>6000</v>
      </c>
      <c r="H17" s="6">
        <f t="shared" si="13"/>
        <v>12000</v>
      </c>
      <c r="I17" s="6">
        <f t="shared" si="14"/>
        <v>18000</v>
      </c>
    </row>
    <row r="18" spans="1:21" x14ac:dyDescent="0.25">
      <c r="B18" s="7">
        <v>200</v>
      </c>
      <c r="C18" s="6">
        <f t="shared" si="9"/>
        <v>1600</v>
      </c>
      <c r="D18" s="6">
        <f t="shared" si="10"/>
        <v>3200</v>
      </c>
      <c r="E18" s="6">
        <f t="shared" si="11"/>
        <v>4800</v>
      </c>
      <c r="G18" s="6">
        <f t="shared" si="12"/>
        <v>8000</v>
      </c>
      <c r="H18" s="6">
        <f t="shared" si="13"/>
        <v>16000</v>
      </c>
      <c r="I18" s="6">
        <f t="shared" si="14"/>
        <v>24000</v>
      </c>
    </row>
    <row r="21" spans="1:21" ht="47.25" x14ac:dyDescent="0.25">
      <c r="A21" s="4" t="s">
        <v>21</v>
      </c>
      <c r="B21" s="10" t="s">
        <v>22</v>
      </c>
      <c r="C21" s="11" t="s">
        <v>23</v>
      </c>
      <c r="D21" s="11" t="s">
        <v>24</v>
      </c>
      <c r="E21" s="11" t="s">
        <v>25</v>
      </c>
      <c r="F21" s="12" t="s">
        <v>26</v>
      </c>
      <c r="G21" s="5"/>
      <c r="H21" s="5"/>
      <c r="I21" s="5"/>
      <c r="J21" s="5"/>
      <c r="K21" s="5"/>
      <c r="L21" s="5"/>
    </row>
    <row r="22" spans="1:21" x14ac:dyDescent="0.25">
      <c r="B22" s="13">
        <v>1</v>
      </c>
      <c r="C22" s="14">
        <f>E22*52</f>
        <v>2080</v>
      </c>
      <c r="D22" s="15">
        <f>C22/12</f>
        <v>173.33333333333334</v>
      </c>
      <c r="E22" s="14">
        <f>40</f>
        <v>40</v>
      </c>
      <c r="F22" s="16">
        <f>D22/8</f>
        <v>21.666666666666668</v>
      </c>
      <c r="I22" s="21"/>
      <c r="J22" s="21"/>
      <c r="K22" s="21"/>
      <c r="L22" s="21"/>
      <c r="M22" s="21"/>
      <c r="N22" s="21"/>
      <c r="O22" s="21"/>
      <c r="P22" s="21"/>
      <c r="Q22" s="21"/>
      <c r="R22" s="21"/>
      <c r="S22" s="21"/>
      <c r="T22" s="21"/>
      <c r="U22" s="21"/>
    </row>
    <row r="23" spans="1:21" x14ac:dyDescent="0.25">
      <c r="B23" s="13">
        <v>0.75</v>
      </c>
      <c r="C23" s="14">
        <f t="shared" ref="C23:C31" si="15">E23*52</f>
        <v>1560</v>
      </c>
      <c r="D23" s="15">
        <f t="shared" ref="D23:D31" si="16">C23/12</f>
        <v>130</v>
      </c>
      <c r="E23" s="14">
        <f>B23*$E$22</f>
        <v>30</v>
      </c>
      <c r="F23" s="16">
        <f t="shared" ref="F23:F31" si="17">D23/8</f>
        <v>16.25</v>
      </c>
      <c r="I23" s="21"/>
      <c r="J23" s="21"/>
      <c r="K23" s="21"/>
      <c r="L23" s="21"/>
      <c r="M23" s="21"/>
      <c r="N23" s="21"/>
      <c r="O23" s="21"/>
      <c r="P23" s="21"/>
      <c r="Q23" s="348"/>
      <c r="R23" s="21"/>
      <c r="S23" s="21"/>
      <c r="T23" s="21"/>
      <c r="U23" s="21"/>
    </row>
    <row r="24" spans="1:21" x14ac:dyDescent="0.25">
      <c r="B24" s="13">
        <v>0.5</v>
      </c>
      <c r="C24" s="14">
        <f t="shared" si="15"/>
        <v>1040</v>
      </c>
      <c r="D24" s="15">
        <f t="shared" si="16"/>
        <v>86.666666666666671</v>
      </c>
      <c r="E24" s="14">
        <f t="shared" ref="E24:E31" si="18">B24*$E$22</f>
        <v>20</v>
      </c>
      <c r="F24" s="16">
        <f t="shared" si="17"/>
        <v>10.833333333333334</v>
      </c>
      <c r="H24"/>
      <c r="I24" s="349"/>
      <c r="J24" s="349"/>
      <c r="K24" s="349"/>
      <c r="L24" s="349"/>
      <c r="M24" s="349"/>
      <c r="N24" s="349"/>
      <c r="O24" s="349"/>
      <c r="P24" s="21"/>
      <c r="Q24" s="55"/>
      <c r="R24" s="21"/>
      <c r="S24" s="21"/>
      <c r="T24" s="21"/>
      <c r="U24" s="21"/>
    </row>
    <row r="25" spans="1:21" x14ac:dyDescent="0.25">
      <c r="B25" s="13">
        <v>0.35</v>
      </c>
      <c r="C25" s="14">
        <f t="shared" si="15"/>
        <v>728</v>
      </c>
      <c r="D25" s="15">
        <f t="shared" si="16"/>
        <v>60.666666666666664</v>
      </c>
      <c r="E25" s="14">
        <f t="shared" si="18"/>
        <v>14</v>
      </c>
      <c r="F25" s="16">
        <f t="shared" si="17"/>
        <v>7.583333333333333</v>
      </c>
      <c r="H25"/>
      <c r="I25" s="349"/>
      <c r="J25" s="17"/>
      <c r="K25" s="18"/>
      <c r="L25" s="30"/>
      <c r="M25" s="30"/>
      <c r="N25" s="30"/>
      <c r="O25" s="30"/>
      <c r="P25" s="19"/>
      <c r="Q25" s="20"/>
      <c r="R25" s="19"/>
      <c r="S25" s="21"/>
      <c r="T25" s="21"/>
      <c r="U25" s="21"/>
    </row>
    <row r="26" spans="1:21" x14ac:dyDescent="0.25">
      <c r="B26" s="13">
        <v>0.2</v>
      </c>
      <c r="C26" s="14">
        <f t="shared" si="15"/>
        <v>416</v>
      </c>
      <c r="D26" s="15">
        <f t="shared" si="16"/>
        <v>34.666666666666664</v>
      </c>
      <c r="E26" s="14">
        <f t="shared" si="18"/>
        <v>8</v>
      </c>
      <c r="F26" s="16">
        <f t="shared" si="17"/>
        <v>4.333333333333333</v>
      </c>
      <c r="H26"/>
      <c r="I26" s="349"/>
      <c r="J26" s="18"/>
      <c r="K26" s="18"/>
      <c r="L26" s="30"/>
      <c r="M26" s="30"/>
      <c r="N26" s="30"/>
      <c r="O26" s="30"/>
      <c r="P26" s="19"/>
      <c r="Q26" s="19"/>
      <c r="R26" s="19"/>
      <c r="S26" s="21"/>
      <c r="T26" s="21"/>
      <c r="U26" s="21"/>
    </row>
    <row r="27" spans="1:21" x14ac:dyDescent="0.25">
      <c r="B27" s="13">
        <v>0.15</v>
      </c>
      <c r="C27" s="14">
        <f t="shared" si="15"/>
        <v>312</v>
      </c>
      <c r="D27" s="15">
        <f t="shared" si="16"/>
        <v>26</v>
      </c>
      <c r="E27" s="14">
        <f t="shared" si="18"/>
        <v>6</v>
      </c>
      <c r="F27" s="16">
        <f t="shared" si="17"/>
        <v>3.25</v>
      </c>
      <c r="H27"/>
      <c r="I27" s="22"/>
      <c r="J27" s="19"/>
      <c r="K27" s="18"/>
      <c r="L27" s="30"/>
      <c r="M27" s="30"/>
      <c r="N27" s="30"/>
      <c r="O27" s="30"/>
      <c r="P27" s="20"/>
      <c r="Q27" s="19"/>
      <c r="R27" s="23"/>
      <c r="S27" s="21"/>
      <c r="T27" s="21"/>
      <c r="U27" s="21"/>
    </row>
    <row r="28" spans="1:21" x14ac:dyDescent="0.25">
      <c r="B28" s="13">
        <v>0.1</v>
      </c>
      <c r="C28" s="14">
        <f t="shared" si="15"/>
        <v>208</v>
      </c>
      <c r="D28" s="15">
        <f t="shared" si="16"/>
        <v>17.333333333333332</v>
      </c>
      <c r="E28" s="14">
        <f t="shared" si="18"/>
        <v>4</v>
      </c>
      <c r="F28" s="16">
        <f t="shared" si="17"/>
        <v>2.1666666666666665</v>
      </c>
      <c r="H28"/>
      <c r="I28" s="24"/>
      <c r="J28" s="19"/>
      <c r="K28" s="18"/>
      <c r="L28" s="30"/>
      <c r="M28" s="30"/>
      <c r="N28" s="30"/>
      <c r="O28" s="30"/>
      <c r="P28" s="23"/>
      <c r="Q28" s="23"/>
      <c r="R28" s="19"/>
      <c r="S28" s="21"/>
      <c r="T28" s="21"/>
      <c r="U28" s="21"/>
    </row>
    <row r="29" spans="1:21" x14ac:dyDescent="0.25">
      <c r="B29" s="13">
        <v>0.05</v>
      </c>
      <c r="C29" s="14">
        <f t="shared" si="15"/>
        <v>104</v>
      </c>
      <c r="D29" s="15">
        <f t="shared" si="16"/>
        <v>8.6666666666666661</v>
      </c>
      <c r="E29" s="14">
        <f t="shared" si="18"/>
        <v>2</v>
      </c>
      <c r="F29" s="25">
        <f t="shared" si="17"/>
        <v>1.0833333333333333</v>
      </c>
      <c r="H29"/>
      <c r="I29" s="24"/>
      <c r="J29" s="19"/>
      <c r="K29" s="18"/>
      <c r="L29" s="30"/>
      <c r="M29" s="30"/>
      <c r="N29" s="30"/>
      <c r="O29" s="30"/>
      <c r="P29" s="19"/>
      <c r="Q29" s="23"/>
      <c r="R29" s="19"/>
      <c r="S29" s="21"/>
      <c r="T29" s="21"/>
      <c r="U29" s="21"/>
    </row>
    <row r="30" spans="1:21" x14ac:dyDescent="0.25">
      <c r="B30" s="13">
        <v>0.02</v>
      </c>
      <c r="C30" s="15">
        <f t="shared" si="15"/>
        <v>41.6</v>
      </c>
      <c r="D30" s="15">
        <f t="shared" si="16"/>
        <v>3.4666666666666668</v>
      </c>
      <c r="E30" s="14">
        <f t="shared" si="18"/>
        <v>0.8</v>
      </c>
      <c r="F30" s="25">
        <f t="shared" si="17"/>
        <v>0.43333333333333335</v>
      </c>
      <c r="H30"/>
      <c r="I30" s="24"/>
      <c r="J30" s="19"/>
      <c r="K30" s="18"/>
      <c r="L30" s="30"/>
      <c r="M30" s="30"/>
      <c r="N30" s="30"/>
      <c r="O30" s="30"/>
      <c r="P30" s="19"/>
      <c r="Q30" s="23"/>
      <c r="R30" s="19"/>
      <c r="S30" s="21"/>
      <c r="T30" s="21"/>
      <c r="U30" s="21"/>
    </row>
    <row r="31" spans="1:21" x14ac:dyDescent="0.25">
      <c r="B31" s="26">
        <v>0.01</v>
      </c>
      <c r="C31" s="27">
        <f t="shared" si="15"/>
        <v>20.8</v>
      </c>
      <c r="D31" s="27">
        <f t="shared" si="16"/>
        <v>1.7333333333333334</v>
      </c>
      <c r="E31" s="28">
        <f t="shared" si="18"/>
        <v>0.4</v>
      </c>
      <c r="F31" s="29">
        <f t="shared" si="17"/>
        <v>0.21666666666666667</v>
      </c>
      <c r="H31"/>
      <c r="I31" s="24"/>
      <c r="J31" s="30"/>
      <c r="K31" s="30"/>
      <c r="L31" s="30"/>
      <c r="M31" s="18"/>
      <c r="N31" s="43"/>
      <c r="O31" s="43"/>
      <c r="P31" s="19"/>
      <c r="Q31" s="23"/>
      <c r="R31" s="19"/>
      <c r="S31" s="21"/>
      <c r="T31" s="21"/>
      <c r="U31" s="21"/>
    </row>
    <row r="32" spans="1:21" x14ac:dyDescent="0.25">
      <c r="H32"/>
      <c r="I32" s="24"/>
      <c r="J32" s="30"/>
      <c r="K32" s="30"/>
      <c r="L32" s="30"/>
      <c r="M32" s="18"/>
      <c r="N32" s="43"/>
      <c r="O32" s="350"/>
      <c r="P32" s="19"/>
      <c r="Q32" s="23"/>
      <c r="R32" s="23"/>
      <c r="S32" s="21"/>
      <c r="T32" s="21"/>
      <c r="U32" s="21"/>
    </row>
    <row r="33" spans="2:21" x14ac:dyDescent="0.25">
      <c r="B33" s="515" t="s">
        <v>27</v>
      </c>
      <c r="C33" s="516"/>
      <c r="D33" s="517"/>
      <c r="E33" s="31" t="s">
        <v>28</v>
      </c>
      <c r="H33"/>
      <c r="I33" s="24"/>
      <c r="J33" s="32"/>
      <c r="K33" s="30"/>
      <c r="L33" s="30"/>
      <c r="M33" s="18"/>
      <c r="N33" s="43"/>
      <c r="O33" s="350"/>
      <c r="P33" s="19"/>
      <c r="Q33" s="23"/>
      <c r="R33" s="19"/>
      <c r="S33" s="21"/>
      <c r="T33" s="21"/>
      <c r="U33" s="21"/>
    </row>
    <row r="34" spans="2:21" x14ac:dyDescent="0.25">
      <c r="B34" s="33" t="s">
        <v>29</v>
      </c>
      <c r="C34" s="33" t="s">
        <v>30</v>
      </c>
      <c r="D34" s="33" t="s">
        <v>31</v>
      </c>
      <c r="E34" s="33" t="s">
        <v>32</v>
      </c>
      <c r="H34"/>
      <c r="I34" s="24"/>
      <c r="J34" s="18"/>
      <c r="K34" s="351"/>
      <c r="L34" s="30"/>
      <c r="M34" s="18"/>
      <c r="N34" s="43"/>
      <c r="O34" s="350"/>
      <c r="P34" s="19"/>
      <c r="Q34" s="23"/>
      <c r="R34" s="19"/>
      <c r="S34" s="21"/>
      <c r="T34" s="21"/>
      <c r="U34" s="21"/>
    </row>
    <row r="35" spans="2:21" x14ac:dyDescent="0.25">
      <c r="B35" s="34">
        <v>8</v>
      </c>
      <c r="C35" s="35"/>
      <c r="D35" s="35"/>
      <c r="E35" s="36">
        <f>B35/C22</f>
        <v>3.8461538461538464E-3</v>
      </c>
      <c r="I35" s="21"/>
      <c r="J35" s="19"/>
      <c r="K35" s="30"/>
      <c r="L35" s="30"/>
      <c r="M35" s="18"/>
      <c r="N35" s="43"/>
      <c r="O35" s="43"/>
      <c r="P35" s="19"/>
      <c r="Q35" s="19"/>
      <c r="R35" s="19"/>
      <c r="S35" s="21"/>
      <c r="T35" s="21"/>
      <c r="U35" s="21"/>
    </row>
    <row r="36" spans="2:21" x14ac:dyDescent="0.25">
      <c r="B36" s="35"/>
      <c r="C36" s="34">
        <v>14</v>
      </c>
      <c r="D36" s="35"/>
      <c r="E36" s="36">
        <f>C36/D22</f>
        <v>8.076923076923076E-2</v>
      </c>
      <c r="I36" s="21"/>
      <c r="J36" s="19"/>
      <c r="K36" s="18"/>
      <c r="L36" s="351"/>
      <c r="M36" s="352"/>
      <c r="N36" s="353"/>
      <c r="O36" s="354"/>
      <c r="P36" s="19"/>
      <c r="Q36" s="23"/>
      <c r="R36" s="19"/>
      <c r="S36" s="21"/>
      <c r="T36" s="21"/>
      <c r="U36" s="21"/>
    </row>
    <row r="37" spans="2:21" x14ac:dyDescent="0.25">
      <c r="B37" s="35"/>
      <c r="C37" s="35"/>
      <c r="D37" s="34">
        <v>8</v>
      </c>
      <c r="E37" s="36">
        <f>D37/E22</f>
        <v>0.2</v>
      </c>
      <c r="I37" s="37"/>
      <c r="J37" s="19"/>
      <c r="K37" s="19"/>
      <c r="L37" s="351"/>
      <c r="M37" s="404"/>
      <c r="N37" s="43"/>
      <c r="O37" s="43"/>
      <c r="P37" s="19"/>
      <c r="Q37" s="19"/>
      <c r="R37" s="19"/>
      <c r="S37" s="21"/>
      <c r="T37" s="21"/>
      <c r="U37" s="21"/>
    </row>
    <row r="38" spans="2:21" x14ac:dyDescent="0.25">
      <c r="I38" s="38"/>
      <c r="J38" s="19"/>
      <c r="K38" s="19"/>
      <c r="L38" s="355"/>
      <c r="M38" s="18"/>
      <c r="N38" s="18"/>
      <c r="O38" s="354"/>
      <c r="P38" s="19"/>
      <c r="Q38" s="19"/>
      <c r="R38" s="19"/>
      <c r="S38" s="21"/>
      <c r="T38" s="21"/>
      <c r="U38" s="21"/>
    </row>
    <row r="39" spans="2:21" x14ac:dyDescent="0.25">
      <c r="I39" s="37"/>
      <c r="J39" s="39"/>
      <c r="K39" s="19"/>
      <c r="L39" s="19"/>
      <c r="M39" s="19"/>
      <c r="N39" s="356"/>
      <c r="O39" s="23"/>
      <c r="P39" s="19"/>
      <c r="Q39" s="23"/>
      <c r="R39" s="23"/>
      <c r="S39" s="21"/>
      <c r="T39" s="21"/>
      <c r="U39" s="21"/>
    </row>
    <row r="40" spans="2:21" x14ac:dyDescent="0.25">
      <c r="G40" s="40"/>
      <c r="I40" s="21"/>
      <c r="J40" s="39"/>
      <c r="K40" s="19"/>
      <c r="L40" s="357"/>
      <c r="M40" s="19"/>
      <c r="N40" s="23"/>
      <c r="O40" s="19"/>
      <c r="P40" s="19"/>
      <c r="Q40" s="19"/>
      <c r="R40" s="19"/>
      <c r="S40" s="21"/>
      <c r="T40" s="21"/>
      <c r="U40" s="21"/>
    </row>
    <row r="41" spans="2:21" x14ac:dyDescent="0.25">
      <c r="E41" s="41"/>
      <c r="I41" s="21"/>
      <c r="J41" s="39"/>
      <c r="K41" s="19"/>
      <c r="L41" s="19"/>
      <c r="M41" s="19"/>
      <c r="N41" s="19"/>
      <c r="O41" s="19"/>
      <c r="P41" s="19"/>
      <c r="Q41" s="19"/>
      <c r="R41" s="19"/>
      <c r="S41" s="21"/>
      <c r="T41" s="21"/>
      <c r="U41" s="21"/>
    </row>
    <row r="42" spans="2:21" x14ac:dyDescent="0.25">
      <c r="E42" s="41"/>
      <c r="I42" s="21"/>
      <c r="J42" s="39"/>
      <c r="K42" s="19"/>
      <c r="L42" s="19"/>
      <c r="M42" s="19"/>
      <c r="N42" s="19"/>
      <c r="O42" s="23"/>
      <c r="P42" s="19"/>
      <c r="Q42" s="19"/>
      <c r="R42" s="19"/>
      <c r="S42" s="21"/>
      <c r="T42" s="21"/>
      <c r="U42" s="21"/>
    </row>
    <row r="43" spans="2:21" x14ac:dyDescent="0.25">
      <c r="B43" s="42"/>
      <c r="C43" s="42"/>
      <c r="D43" s="42"/>
      <c r="E43" s="41"/>
      <c r="F43" s="42"/>
      <c r="I43" s="21"/>
      <c r="J43" s="39"/>
      <c r="K43" s="19"/>
      <c r="L43" s="39"/>
      <c r="M43" s="43"/>
      <c r="N43" s="19"/>
      <c r="O43" s="23"/>
      <c r="P43" s="44"/>
      <c r="Q43" s="19"/>
      <c r="R43" s="19"/>
      <c r="S43" s="21"/>
      <c r="T43" s="21"/>
      <c r="U43" s="21"/>
    </row>
    <row r="44" spans="2:21" x14ac:dyDescent="0.25">
      <c r="B44" s="42"/>
      <c r="C44" s="42"/>
      <c r="D44" s="42"/>
      <c r="E44" s="41"/>
      <c r="F44" s="42"/>
      <c r="I44" s="21"/>
      <c r="J44" s="39"/>
      <c r="K44" s="19"/>
      <c r="L44" s="39"/>
      <c r="M44" s="43"/>
      <c r="N44" s="19"/>
      <c r="O44" s="23"/>
      <c r="P44" s="19"/>
      <c r="Q44" s="19"/>
      <c r="R44" s="23"/>
      <c r="S44" s="21"/>
      <c r="T44" s="21"/>
      <c r="U44" s="21"/>
    </row>
    <row r="45" spans="2:21" x14ac:dyDescent="0.25">
      <c r="B45" s="42"/>
      <c r="C45" s="42"/>
      <c r="D45" s="42"/>
      <c r="E45" s="41"/>
      <c r="F45" s="42"/>
      <c r="I45" s="45"/>
      <c r="J45" s="46"/>
      <c r="K45" s="19"/>
      <c r="L45" s="39"/>
      <c r="M45" s="19"/>
      <c r="N45" s="20"/>
      <c r="O45" s="19"/>
      <c r="P45" s="44"/>
      <c r="Q45" s="19"/>
      <c r="R45" s="19"/>
      <c r="S45" s="21"/>
      <c r="T45" s="21"/>
      <c r="U45" s="21"/>
    </row>
    <row r="46" spans="2:21" x14ac:dyDescent="0.25">
      <c r="B46" s="42"/>
      <c r="C46" s="42"/>
      <c r="D46" s="42"/>
      <c r="E46" s="47"/>
      <c r="F46" s="42"/>
      <c r="I46" s="21"/>
      <c r="J46" s="19"/>
      <c r="K46" s="19"/>
      <c r="L46" s="39"/>
      <c r="M46" s="19"/>
      <c r="N46" s="19"/>
      <c r="O46" s="23"/>
      <c r="P46" s="19"/>
      <c r="Q46" s="19"/>
      <c r="R46" s="19"/>
      <c r="S46" s="21"/>
      <c r="T46" s="21"/>
      <c r="U46" s="21"/>
    </row>
    <row r="47" spans="2:21" x14ac:dyDescent="0.25">
      <c r="B47" s="42"/>
      <c r="C47" s="42"/>
      <c r="D47" s="42"/>
      <c r="E47" s="47"/>
      <c r="F47" s="42"/>
      <c r="I47" s="21"/>
      <c r="J47" s="19"/>
      <c r="K47" s="48"/>
      <c r="L47" s="39"/>
      <c r="M47" s="19"/>
      <c r="N47" s="39"/>
      <c r="O47" s="19"/>
      <c r="P47" s="19"/>
      <c r="Q47" s="19"/>
      <c r="R47" s="19"/>
      <c r="S47" s="21"/>
      <c r="T47" s="49"/>
      <c r="U47" s="21"/>
    </row>
    <row r="48" spans="2:21" x14ac:dyDescent="0.25">
      <c r="B48" s="42"/>
      <c r="C48" s="42"/>
      <c r="D48" s="42"/>
      <c r="E48" s="47"/>
      <c r="F48" s="42"/>
      <c r="I48" s="21"/>
      <c r="J48" s="21"/>
      <c r="K48" s="21"/>
      <c r="L48" s="50"/>
      <c r="M48" s="19"/>
      <c r="N48" s="20"/>
      <c r="O48" s="19"/>
      <c r="P48" s="51"/>
      <c r="Q48" s="21"/>
      <c r="R48" s="21"/>
      <c r="S48" s="21"/>
      <c r="T48" s="21"/>
      <c r="U48" s="21"/>
    </row>
    <row r="49" spans="2:21" x14ac:dyDescent="0.25">
      <c r="B49" s="42"/>
      <c r="C49" s="42"/>
      <c r="D49" s="42"/>
      <c r="E49" s="47"/>
      <c r="F49" s="42"/>
      <c r="I49" s="21"/>
      <c r="J49" s="52"/>
      <c r="K49" s="21"/>
      <c r="L49" s="46"/>
      <c r="M49" s="19"/>
      <c r="N49" s="19"/>
      <c r="O49" s="19"/>
      <c r="P49" s="21"/>
      <c r="Q49" s="21"/>
      <c r="R49" s="21"/>
      <c r="S49" s="21"/>
      <c r="T49" s="21"/>
      <c r="U49" s="21"/>
    </row>
    <row r="50" spans="2:21" x14ac:dyDescent="0.25">
      <c r="B50" s="42"/>
      <c r="C50" s="42"/>
      <c r="D50" s="42"/>
      <c r="E50" s="47"/>
      <c r="F50" s="42"/>
      <c r="I50" s="37"/>
      <c r="J50" s="21"/>
      <c r="K50" s="21"/>
      <c r="L50" s="21"/>
      <c r="M50" s="21"/>
      <c r="N50" s="21"/>
      <c r="O50" s="21"/>
      <c r="P50" s="21"/>
      <c r="Q50" s="21"/>
      <c r="R50" s="21"/>
      <c r="S50" s="21"/>
      <c r="T50" s="21"/>
      <c r="U50" s="21"/>
    </row>
    <row r="51" spans="2:21" x14ac:dyDescent="0.25">
      <c r="B51" s="42"/>
      <c r="C51" s="42"/>
      <c r="D51" s="42"/>
      <c r="E51" s="42"/>
      <c r="F51" s="42"/>
      <c r="I51" s="21"/>
      <c r="J51" s="21"/>
      <c r="K51" s="21"/>
      <c r="L51" s="21"/>
      <c r="M51" s="21"/>
      <c r="N51" s="51"/>
      <c r="O51" s="21"/>
      <c r="P51" s="21"/>
      <c r="Q51" s="21"/>
      <c r="R51" s="21"/>
      <c r="S51" s="21"/>
      <c r="T51" s="21"/>
      <c r="U51" s="21"/>
    </row>
    <row r="52" spans="2:21" x14ac:dyDescent="0.25">
      <c r="B52" s="42"/>
      <c r="C52" s="42"/>
      <c r="D52" s="42"/>
      <c r="E52" s="42"/>
      <c r="F52" s="42"/>
      <c r="I52" s="21"/>
      <c r="J52" s="21"/>
      <c r="K52" s="21"/>
      <c r="L52" s="21"/>
      <c r="M52" s="21"/>
      <c r="N52" s="21"/>
      <c r="O52" s="21"/>
      <c r="P52" s="21"/>
      <c r="Q52" s="21"/>
      <c r="R52" s="21"/>
      <c r="S52" s="21"/>
      <c r="T52" s="21"/>
      <c r="U52" s="21"/>
    </row>
    <row r="53" spans="2:21" x14ac:dyDescent="0.25">
      <c r="B53" s="42"/>
      <c r="C53" s="54"/>
      <c r="D53" s="42"/>
      <c r="E53" s="47"/>
      <c r="F53" s="42"/>
      <c r="I53" s="21"/>
      <c r="J53" s="21"/>
      <c r="K53" s="21"/>
      <c r="L53" s="21"/>
      <c r="M53" s="21"/>
      <c r="N53" s="21"/>
      <c r="O53" s="21"/>
      <c r="P53" s="21"/>
      <c r="Q53" s="21"/>
      <c r="R53" s="21"/>
      <c r="S53" s="21"/>
      <c r="T53" s="21"/>
      <c r="U53" s="21"/>
    </row>
    <row r="54" spans="2:21" x14ac:dyDescent="0.25">
      <c r="B54" s="42"/>
      <c r="C54" s="42"/>
      <c r="D54" s="42"/>
      <c r="E54" s="42"/>
      <c r="F54" s="42"/>
      <c r="I54" s="21"/>
      <c r="J54" s="37"/>
      <c r="K54" s="49"/>
      <c r="L54" s="21"/>
      <c r="M54" s="21"/>
      <c r="N54" s="21"/>
      <c r="O54" s="21"/>
      <c r="P54" s="21"/>
      <c r="Q54" s="21"/>
      <c r="R54" s="21"/>
      <c r="S54" s="21"/>
      <c r="T54" s="21"/>
      <c r="U54" s="21"/>
    </row>
    <row r="55" spans="2:21" x14ac:dyDescent="0.25">
      <c r="B55" s="42"/>
      <c r="C55" s="42"/>
      <c r="D55" s="42"/>
      <c r="E55" s="42"/>
      <c r="F55" s="42"/>
      <c r="H55" s="53"/>
      <c r="I55" s="21"/>
      <c r="J55" s="21"/>
      <c r="K55" s="21"/>
      <c r="L55" s="21"/>
      <c r="M55" s="21"/>
      <c r="N55" s="52"/>
      <c r="O55" s="21"/>
      <c r="P55" s="21"/>
      <c r="Q55" s="21"/>
      <c r="R55" s="21"/>
      <c r="S55" s="21"/>
      <c r="T55" s="21"/>
      <c r="U55" s="21"/>
    </row>
    <row r="56" spans="2:21" x14ac:dyDescent="0.25">
      <c r="B56" s="42"/>
      <c r="C56" s="42"/>
      <c r="D56" s="42"/>
      <c r="E56" s="42"/>
      <c r="F56" s="42"/>
      <c r="I56" s="21"/>
      <c r="J56" s="21"/>
      <c r="K56" s="21"/>
      <c r="L56" s="21"/>
      <c r="M56" s="21"/>
      <c r="N56" s="37"/>
      <c r="O56" s="21"/>
      <c r="P56" s="21"/>
      <c r="Q56" s="21"/>
      <c r="R56" s="21"/>
      <c r="S56" s="21"/>
      <c r="T56" s="21"/>
      <c r="U56" s="21"/>
    </row>
    <row r="57" spans="2:21" x14ac:dyDescent="0.25">
      <c r="I57" s="21"/>
      <c r="J57" s="21"/>
      <c r="K57" s="21"/>
      <c r="L57" s="55"/>
      <c r="M57" s="21"/>
      <c r="N57" s="21"/>
      <c r="O57" s="21"/>
      <c r="P57" s="21"/>
      <c r="Q57" s="21"/>
      <c r="R57" s="21"/>
      <c r="S57" s="21"/>
      <c r="T57" s="21"/>
      <c r="U57" s="21"/>
    </row>
    <row r="58" spans="2:21" x14ac:dyDescent="0.25">
      <c r="I58" s="21"/>
      <c r="J58" s="21"/>
      <c r="K58" s="21"/>
      <c r="L58" s="21"/>
      <c r="M58" s="21"/>
      <c r="N58" s="21"/>
      <c r="O58" s="21"/>
      <c r="P58" s="21"/>
      <c r="Q58" s="21"/>
      <c r="R58" s="21"/>
      <c r="S58" s="21"/>
      <c r="T58" s="21"/>
      <c r="U58" s="21"/>
    </row>
    <row r="59" spans="2:21" x14ac:dyDescent="0.25">
      <c r="L59" s="21"/>
      <c r="M59" s="21"/>
      <c r="N59" s="21"/>
      <c r="O59" s="21"/>
    </row>
    <row r="63" spans="2:21" x14ac:dyDescent="0.25">
      <c r="K63" s="40"/>
    </row>
  </sheetData>
  <mergeCells count="1">
    <mergeCell ref="B33:D3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D502-67CB-45F5-81EC-E13E46CD8568}">
  <sheetPr>
    <tabColor theme="1" tint="0.499984740745262"/>
  </sheetPr>
  <dimension ref="A1:Z90"/>
  <sheetViews>
    <sheetView zoomScale="90" zoomScaleNormal="90" workbookViewId="0">
      <selection activeCell="B1" sqref="B1"/>
    </sheetView>
  </sheetViews>
  <sheetFormatPr defaultColWidth="8.85546875" defaultRowHeight="15.75" x14ac:dyDescent="0.25"/>
  <cols>
    <col min="1" max="1" width="79.85546875" style="1" bestFit="1" customWidth="1"/>
    <col min="2" max="2" width="15.28515625" style="1" bestFit="1" customWidth="1"/>
    <col min="3" max="3" width="13.42578125" style="1" bestFit="1" customWidth="1"/>
    <col min="4" max="4" width="13.42578125" style="1" customWidth="1"/>
    <col min="5" max="5" width="15.28515625" style="1" bestFit="1" customWidth="1"/>
    <col min="6" max="6" width="15.42578125" style="1" bestFit="1" customWidth="1"/>
    <col min="7" max="7" width="13.42578125" style="1" customWidth="1"/>
    <col min="8" max="8" width="10.140625" style="365" customWidth="1"/>
    <col min="9" max="9" width="7.28515625" style="1" bestFit="1" customWidth="1"/>
    <col min="10" max="11" width="12.7109375" style="1" customWidth="1"/>
    <col min="12" max="12" width="12" style="1" customWidth="1"/>
    <col min="13" max="13" width="10.28515625" style="1" customWidth="1"/>
    <col min="14" max="14" width="213" style="1" customWidth="1"/>
    <col min="15" max="15" width="8.85546875" style="125"/>
    <col min="16" max="16384" width="8.85546875" style="1"/>
  </cols>
  <sheetData>
    <row r="1" spans="1:15" ht="18.75" x14ac:dyDescent="0.3">
      <c r="A1" s="2" t="s">
        <v>278</v>
      </c>
      <c r="C1" s="8"/>
      <c r="D1" s="6"/>
      <c r="E1"/>
      <c r="F1"/>
      <c r="G1"/>
      <c r="H1" s="394"/>
      <c r="I1"/>
    </row>
    <row r="2" spans="1:15" x14ac:dyDescent="0.25">
      <c r="A2" s="56" t="str">
        <f>'Table of Contents'!A2</f>
        <v>Propsoed 2021 Work Plan, September 1, 2020</v>
      </c>
      <c r="C2" s="8"/>
      <c r="D2" s="6"/>
      <c r="G2" s="126"/>
      <c r="H2" s="367"/>
      <c r="I2" s="127"/>
      <c r="J2"/>
      <c r="L2"/>
      <c r="M2" s="126"/>
      <c r="N2" s="56"/>
    </row>
    <row r="3" spans="1:15" ht="16.5" thickBot="1" x14ac:dyDescent="0.3">
      <c r="A3" s="56" t="s">
        <v>313</v>
      </c>
      <c r="C3" s="8" t="s">
        <v>231</v>
      </c>
      <c r="D3" s="6">
        <f>'Funding Shares'!D25</f>
        <v>1845000</v>
      </c>
      <c r="G3" s="126"/>
      <c r="H3" s="367"/>
      <c r="I3" s="127"/>
      <c r="J3"/>
      <c r="L3"/>
      <c r="M3" s="126"/>
      <c r="N3" s="56"/>
    </row>
    <row r="4" spans="1:15" ht="21.75" customHeight="1" thickBot="1" x14ac:dyDescent="0.3">
      <c r="C4" s="389" t="s">
        <v>151</v>
      </c>
      <c r="D4" s="347">
        <f>SUM(D1:D3)</f>
        <v>1845000</v>
      </c>
      <c r="E4" s="391">
        <f>E75</f>
        <v>1845000</v>
      </c>
      <c r="F4" s="143">
        <f>D4-E4</f>
        <v>0</v>
      </c>
      <c r="G4" s="143"/>
      <c r="H4" s="143"/>
      <c r="I4" s="491" t="s">
        <v>71</v>
      </c>
      <c r="J4" s="491"/>
      <c r="K4" s="491"/>
      <c r="L4" s="491"/>
      <c r="M4" s="491"/>
      <c r="O4" s="1"/>
    </row>
    <row r="5" spans="1:15" s="128" customFormat="1" ht="63" x14ac:dyDescent="0.25">
      <c r="A5" s="81" t="s">
        <v>72</v>
      </c>
      <c r="B5" s="82" t="s">
        <v>73</v>
      </c>
      <c r="C5" s="83" t="s">
        <v>74</v>
      </c>
      <c r="D5" s="83" t="s">
        <v>75</v>
      </c>
      <c r="E5" s="390" t="s">
        <v>76</v>
      </c>
      <c r="F5" s="82" t="s">
        <v>168</v>
      </c>
      <c r="G5" s="82" t="s">
        <v>77</v>
      </c>
      <c r="H5" s="82" t="s">
        <v>225</v>
      </c>
      <c r="I5" s="142" t="s">
        <v>78</v>
      </c>
      <c r="J5" s="142" t="s">
        <v>79</v>
      </c>
      <c r="K5" s="142" t="s">
        <v>80</v>
      </c>
      <c r="L5" s="142" t="s">
        <v>81</v>
      </c>
      <c r="M5" s="142" t="s">
        <v>82</v>
      </c>
      <c r="N5" s="364" t="s">
        <v>83</v>
      </c>
    </row>
    <row r="6" spans="1:15" s="129" customFormat="1" x14ac:dyDescent="0.25">
      <c r="A6" s="84" t="s">
        <v>173</v>
      </c>
      <c r="B6" s="85"/>
      <c r="C6" s="85"/>
      <c r="D6" s="85"/>
      <c r="E6" s="85"/>
      <c r="F6" s="85"/>
      <c r="G6" s="86"/>
      <c r="H6" s="368"/>
      <c r="I6" s="86"/>
      <c r="J6" s="87"/>
      <c r="K6" s="86"/>
      <c r="L6" s="86"/>
      <c r="M6" s="86"/>
      <c r="N6" s="86"/>
    </row>
    <row r="7" spans="1:15" s="129" customFormat="1" x14ac:dyDescent="0.25">
      <c r="A7" s="88" t="s">
        <v>237</v>
      </c>
      <c r="B7" s="89">
        <f>($I7*J7)</f>
        <v>81000</v>
      </c>
      <c r="C7" s="89">
        <f>$I7*K7</f>
        <v>277200</v>
      </c>
      <c r="D7" s="89">
        <f>$I7*L7</f>
        <v>0</v>
      </c>
      <c r="E7" s="89">
        <f>SUM(B7:D7)</f>
        <v>358200</v>
      </c>
      <c r="F7" s="89">
        <f>I7*M7</f>
        <v>12960</v>
      </c>
      <c r="G7" s="90"/>
      <c r="H7" s="369" t="s">
        <v>226</v>
      </c>
      <c r="I7" s="91">
        <v>18</v>
      </c>
      <c r="J7" s="87">
        <v>4500</v>
      </c>
      <c r="K7" s="92">
        <v>15400</v>
      </c>
      <c r="L7" s="92">
        <v>0</v>
      </c>
      <c r="M7" s="92">
        <v>720</v>
      </c>
      <c r="N7" s="93" t="s">
        <v>242</v>
      </c>
    </row>
    <row r="8" spans="1:15" s="129" customFormat="1" x14ac:dyDescent="0.25">
      <c r="A8" s="88" t="s">
        <v>286</v>
      </c>
      <c r="B8" s="89">
        <f t="shared" ref="B8:D9" si="0">$I8*J8</f>
        <v>45000</v>
      </c>
      <c r="C8" s="89">
        <f t="shared" si="0"/>
        <v>154000</v>
      </c>
      <c r="D8" s="89">
        <f t="shared" si="0"/>
        <v>0</v>
      </c>
      <c r="E8" s="89">
        <f t="shared" ref="E8:E9" si="1">SUM(B8:D8)</f>
        <v>199000</v>
      </c>
      <c r="F8" s="89">
        <f t="shared" ref="F8:F9" si="2">I8*M8</f>
        <v>1050</v>
      </c>
      <c r="G8" s="90"/>
      <c r="H8" s="369" t="s">
        <v>227</v>
      </c>
      <c r="I8" s="91">
        <v>10</v>
      </c>
      <c r="J8" s="87">
        <v>4500</v>
      </c>
      <c r="K8" s="92">
        <v>15400</v>
      </c>
      <c r="L8" s="92">
        <v>0</v>
      </c>
      <c r="M8" s="92">
        <v>105</v>
      </c>
      <c r="N8" s="93" t="s">
        <v>306</v>
      </c>
    </row>
    <row r="9" spans="1:15" s="129" customFormat="1" x14ac:dyDescent="0.25">
      <c r="A9" s="88" t="s">
        <v>287</v>
      </c>
      <c r="B9" s="89">
        <f t="shared" si="0"/>
        <v>0</v>
      </c>
      <c r="C9" s="89">
        <f t="shared" si="0"/>
        <v>0</v>
      </c>
      <c r="D9" s="89">
        <f t="shared" si="0"/>
        <v>0</v>
      </c>
      <c r="E9" s="89">
        <f t="shared" si="1"/>
        <v>0</v>
      </c>
      <c r="F9" s="89">
        <f t="shared" si="2"/>
        <v>0</v>
      </c>
      <c r="G9" s="90"/>
      <c r="H9" s="369" t="s">
        <v>228</v>
      </c>
      <c r="I9" s="91">
        <v>0</v>
      </c>
      <c r="J9" s="87">
        <v>4500</v>
      </c>
      <c r="K9" s="92">
        <v>15400</v>
      </c>
      <c r="L9" s="92">
        <v>0</v>
      </c>
      <c r="M9" s="92">
        <v>510</v>
      </c>
      <c r="N9" s="93" t="s">
        <v>238</v>
      </c>
    </row>
    <row r="10" spans="1:15" s="129" customFormat="1" x14ac:dyDescent="0.25">
      <c r="A10" s="84" t="str">
        <f>CONCATENATE("Subtotal ",A6)</f>
        <v>Subtotal Existing Measure Maintenance</v>
      </c>
      <c r="B10" s="94">
        <f>SUM(B7:B9)</f>
        <v>126000</v>
      </c>
      <c r="C10" s="94">
        <f>SUM(C7:C9)</f>
        <v>431200</v>
      </c>
      <c r="D10" s="94">
        <f>SUM(D7:D9)</f>
        <v>0</v>
      </c>
      <c r="E10" s="94">
        <f>SUM(E7:E9)</f>
        <v>557200</v>
      </c>
      <c r="F10" s="94">
        <f>SUM(F7:F9)</f>
        <v>14010</v>
      </c>
      <c r="G10" s="95">
        <f>E10/$E$75</f>
        <v>0.30200542005420056</v>
      </c>
      <c r="H10" s="369"/>
      <c r="I10" s="91"/>
      <c r="J10" s="87"/>
      <c r="K10" s="96"/>
      <c r="L10" s="96"/>
      <c r="M10" s="92"/>
      <c r="N10" s="86"/>
    </row>
    <row r="11" spans="1:15" s="129" customFormat="1" x14ac:dyDescent="0.25">
      <c r="A11" s="86"/>
      <c r="B11" s="89"/>
      <c r="C11" s="89"/>
      <c r="D11" s="89"/>
      <c r="E11" s="89"/>
      <c r="F11" s="97"/>
      <c r="G11" s="95"/>
      <c r="H11" s="371"/>
      <c r="I11" s="91"/>
      <c r="J11" s="91"/>
      <c r="K11" s="98"/>
      <c r="L11" s="98"/>
      <c r="M11" s="92"/>
      <c r="N11" s="86"/>
    </row>
    <row r="12" spans="1:15" s="129" customFormat="1" x14ac:dyDescent="0.25">
      <c r="A12" s="86"/>
      <c r="B12" s="89"/>
      <c r="C12" s="89"/>
      <c r="D12" s="89"/>
      <c r="E12" s="89"/>
      <c r="F12" s="97"/>
      <c r="G12" s="95"/>
      <c r="H12" s="371"/>
      <c r="I12" s="91"/>
      <c r="J12" s="91" t="s">
        <v>84</v>
      </c>
      <c r="K12" s="92"/>
      <c r="L12" s="92"/>
      <c r="M12" s="92"/>
      <c r="N12" s="86"/>
    </row>
    <row r="13" spans="1:15" s="129" customFormat="1" x14ac:dyDescent="0.25">
      <c r="A13" s="84" t="s">
        <v>174</v>
      </c>
      <c r="B13" s="89"/>
      <c r="C13" s="89"/>
      <c r="D13" s="89"/>
      <c r="E13" s="89"/>
      <c r="F13" s="89"/>
      <c r="G13" s="95"/>
      <c r="H13" s="371"/>
      <c r="I13" s="91"/>
      <c r="J13" s="87"/>
      <c r="K13" s="92"/>
      <c r="L13" s="92"/>
      <c r="M13" s="92"/>
      <c r="N13" s="86"/>
    </row>
    <row r="14" spans="1:15" s="129" customFormat="1" x14ac:dyDescent="0.25">
      <c r="A14" s="93" t="s">
        <v>85</v>
      </c>
      <c r="B14" s="89">
        <f>$I14*J14</f>
        <v>20600</v>
      </c>
      <c r="C14" s="89">
        <f t="shared" ref="C14:D18" si="3">$I14*K14</f>
        <v>20600</v>
      </c>
      <c r="D14" s="89">
        <f t="shared" si="3"/>
        <v>0</v>
      </c>
      <c r="E14" s="89">
        <f>SUM(B14:D14)</f>
        <v>41200</v>
      </c>
      <c r="F14" s="89">
        <f>M14*I14</f>
        <v>0</v>
      </c>
      <c r="G14" s="95"/>
      <c r="H14" s="369" t="s">
        <v>226</v>
      </c>
      <c r="I14" s="99">
        <v>2</v>
      </c>
      <c r="J14" s="87">
        <v>10300</v>
      </c>
      <c r="K14" s="92">
        <v>10300</v>
      </c>
      <c r="L14" s="92">
        <v>0</v>
      </c>
      <c r="M14" s="92">
        <v>0</v>
      </c>
      <c r="N14" s="93" t="s">
        <v>86</v>
      </c>
    </row>
    <row r="15" spans="1:15" s="129" customFormat="1" x14ac:dyDescent="0.25">
      <c r="A15" s="93" t="s">
        <v>261</v>
      </c>
      <c r="B15" s="89">
        <f t="shared" ref="B15:B17" si="4">$I15*J15</f>
        <v>22500</v>
      </c>
      <c r="C15" s="89">
        <f t="shared" si="3"/>
        <v>128000</v>
      </c>
      <c r="D15" s="89">
        <f t="shared" si="3"/>
        <v>0</v>
      </c>
      <c r="E15" s="89">
        <f t="shared" ref="E15:E18" si="5">SUM(B15:D15)</f>
        <v>150500</v>
      </c>
      <c r="F15" s="89">
        <f t="shared" ref="F15:F18" si="6">M15*I15</f>
        <v>3600</v>
      </c>
      <c r="G15" s="95"/>
      <c r="H15" s="369" t="s">
        <v>226</v>
      </c>
      <c r="I15" s="99">
        <v>5</v>
      </c>
      <c r="J15" s="87">
        <v>4500</v>
      </c>
      <c r="K15" s="92">
        <v>25600</v>
      </c>
      <c r="L15" s="92">
        <v>0</v>
      </c>
      <c r="M15" s="92">
        <v>720</v>
      </c>
      <c r="N15" s="93" t="s">
        <v>239</v>
      </c>
    </row>
    <row r="16" spans="1:15" s="129" customFormat="1" x14ac:dyDescent="0.25">
      <c r="A16" s="93" t="s">
        <v>87</v>
      </c>
      <c r="B16" s="89">
        <f t="shared" si="4"/>
        <v>9000</v>
      </c>
      <c r="C16" s="89">
        <f t="shared" si="3"/>
        <v>51200</v>
      </c>
      <c r="D16" s="89">
        <f t="shared" si="3"/>
        <v>0</v>
      </c>
      <c r="E16" s="89">
        <f t="shared" si="5"/>
        <v>60200</v>
      </c>
      <c r="F16" s="89">
        <f t="shared" si="6"/>
        <v>1440</v>
      </c>
      <c r="G16" s="95"/>
      <c r="H16" s="369" t="s">
        <v>227</v>
      </c>
      <c r="I16" s="99">
        <v>2</v>
      </c>
      <c r="J16" s="87">
        <v>4500</v>
      </c>
      <c r="K16" s="92">
        <v>25600</v>
      </c>
      <c r="L16" s="92">
        <v>0</v>
      </c>
      <c r="M16" s="92">
        <v>720</v>
      </c>
      <c r="N16" s="93" t="s">
        <v>240</v>
      </c>
    </row>
    <row r="17" spans="1:14" s="129" customFormat="1" x14ac:dyDescent="0.25">
      <c r="A17" s="93" t="s">
        <v>88</v>
      </c>
      <c r="B17" s="89">
        <f t="shared" si="4"/>
        <v>9000</v>
      </c>
      <c r="C17" s="89">
        <f t="shared" si="3"/>
        <v>51200</v>
      </c>
      <c r="D17" s="89">
        <f t="shared" si="3"/>
        <v>0</v>
      </c>
      <c r="E17" s="89">
        <f t="shared" si="5"/>
        <v>60200</v>
      </c>
      <c r="F17" s="89">
        <f t="shared" si="6"/>
        <v>1440</v>
      </c>
      <c r="G17" s="95"/>
      <c r="H17" s="369" t="s">
        <v>228</v>
      </c>
      <c r="I17" s="99">
        <v>2</v>
      </c>
      <c r="J17" s="87">
        <v>4500</v>
      </c>
      <c r="K17" s="92">
        <v>25600</v>
      </c>
      <c r="L17" s="92">
        <v>0</v>
      </c>
      <c r="M17" s="92">
        <v>720</v>
      </c>
      <c r="N17" s="93" t="s">
        <v>241</v>
      </c>
    </row>
    <row r="18" spans="1:14" s="129" customFormat="1" x14ac:dyDescent="0.25">
      <c r="A18" s="93" t="s">
        <v>89</v>
      </c>
      <c r="B18" s="89">
        <v>0</v>
      </c>
      <c r="C18" s="89">
        <f t="shared" si="3"/>
        <v>25600</v>
      </c>
      <c r="D18" s="89">
        <f t="shared" si="3"/>
        <v>0</v>
      </c>
      <c r="E18" s="89">
        <f t="shared" si="5"/>
        <v>25600</v>
      </c>
      <c r="F18" s="89">
        <f t="shared" si="6"/>
        <v>105</v>
      </c>
      <c r="G18" s="95"/>
      <c r="H18" s="369" t="s">
        <v>227</v>
      </c>
      <c r="I18" s="99">
        <v>1</v>
      </c>
      <c r="J18" s="87">
        <v>0</v>
      </c>
      <c r="K18" s="92">
        <v>25600</v>
      </c>
      <c r="L18" s="92">
        <v>0</v>
      </c>
      <c r="M18" s="92">
        <v>105</v>
      </c>
      <c r="N18" s="86" t="s">
        <v>307</v>
      </c>
    </row>
    <row r="19" spans="1:14" s="129" customFormat="1" x14ac:dyDescent="0.25">
      <c r="A19" s="84" t="str">
        <f>CONCATENATE("Subtotal ",A13)</f>
        <v>Subtotal New Measure Development</v>
      </c>
      <c r="B19" s="94">
        <f>SUM(B14:B18)</f>
        <v>61100</v>
      </c>
      <c r="C19" s="94">
        <f>SUM(C14:C18)</f>
        <v>276600</v>
      </c>
      <c r="D19" s="94">
        <f>SUM(D14:D18)</f>
        <v>0</v>
      </c>
      <c r="E19" s="94">
        <f>SUM(E14:E18)</f>
        <v>337700</v>
      </c>
      <c r="F19" s="94">
        <f>SUM(F14:F18)</f>
        <v>6585</v>
      </c>
      <c r="G19" s="95">
        <f t="shared" ref="G19:G26" si="7">E19/$E$75</f>
        <v>0.18303523035230351</v>
      </c>
      <c r="H19" s="369"/>
      <c r="I19" s="91"/>
      <c r="J19" s="91"/>
      <c r="K19" s="86"/>
      <c r="L19" s="86"/>
      <c r="M19" s="86"/>
      <c r="N19" s="93"/>
    </row>
    <row r="20" spans="1:14" s="129" customFormat="1" x14ac:dyDescent="0.25">
      <c r="A20" s="84"/>
      <c r="B20" s="89"/>
      <c r="C20" s="89"/>
      <c r="D20" s="89"/>
      <c r="E20" s="89"/>
      <c r="F20" s="100"/>
      <c r="G20" s="95"/>
      <c r="H20" s="371"/>
      <c r="I20" s="91"/>
      <c r="J20" s="91"/>
      <c r="K20" s="86"/>
      <c r="L20" s="86"/>
      <c r="M20" s="86"/>
      <c r="N20" s="93"/>
    </row>
    <row r="21" spans="1:14" s="129" customFormat="1" x14ac:dyDescent="0.25">
      <c r="A21" s="86"/>
      <c r="B21" s="89"/>
      <c r="C21" s="89"/>
      <c r="D21" s="89"/>
      <c r="E21" s="89"/>
      <c r="F21" s="100"/>
      <c r="G21" s="95"/>
      <c r="H21" s="371"/>
      <c r="I21" s="91"/>
      <c r="J21" s="91"/>
      <c r="K21" s="101"/>
      <c r="L21" s="101"/>
      <c r="M21" s="101"/>
      <c r="N21" s="93"/>
    </row>
    <row r="22" spans="1:14" s="42" customFormat="1" x14ac:dyDescent="0.25">
      <c r="A22" s="84" t="s">
        <v>90</v>
      </c>
      <c r="B22" s="102"/>
      <c r="C22" s="102"/>
      <c r="D22" s="102"/>
      <c r="E22" s="102"/>
      <c r="F22" s="102"/>
      <c r="G22" s="95"/>
      <c r="H22" s="372"/>
      <c r="I22" s="102"/>
      <c r="J22" s="102"/>
      <c r="K22" s="101"/>
      <c r="L22" s="101"/>
      <c r="M22" s="101"/>
      <c r="N22" s="93"/>
    </row>
    <row r="23" spans="1:14" s="42" customFormat="1" x14ac:dyDescent="0.25">
      <c r="A23" s="93" t="s">
        <v>91</v>
      </c>
      <c r="B23" s="89">
        <v>0</v>
      </c>
      <c r="C23" s="89">
        <v>0</v>
      </c>
      <c r="D23" s="89">
        <v>0</v>
      </c>
      <c r="E23" s="89">
        <f>SUM(B23:D23)</f>
        <v>0</v>
      </c>
      <c r="F23" s="89">
        <v>0</v>
      </c>
      <c r="G23" s="95"/>
      <c r="H23" s="372" t="s">
        <v>227</v>
      </c>
      <c r="I23" s="99" t="s">
        <v>92</v>
      </c>
      <c r="J23" s="87"/>
      <c r="K23" s="92"/>
      <c r="L23" s="92"/>
      <c r="M23" s="92"/>
      <c r="N23" s="93" t="s">
        <v>243</v>
      </c>
    </row>
    <row r="24" spans="1:14" s="42" customFormat="1" x14ac:dyDescent="0.25">
      <c r="A24" s="93" t="s">
        <v>93</v>
      </c>
      <c r="B24" s="89">
        <v>0</v>
      </c>
      <c r="C24" s="89">
        <v>0</v>
      </c>
      <c r="D24" s="89">
        <v>0</v>
      </c>
      <c r="E24" s="89">
        <f>SUM(B24:D24)</f>
        <v>0</v>
      </c>
      <c r="F24" s="89">
        <v>0</v>
      </c>
      <c r="G24" s="95"/>
      <c r="H24" s="372" t="s">
        <v>227</v>
      </c>
      <c r="I24" s="99" t="s">
        <v>92</v>
      </c>
      <c r="J24" s="87"/>
      <c r="K24" s="92"/>
      <c r="L24" s="92"/>
      <c r="M24" s="92"/>
      <c r="N24" s="93" t="s">
        <v>244</v>
      </c>
    </row>
    <row r="25" spans="1:14" s="42" customFormat="1" x14ac:dyDescent="0.25">
      <c r="A25" s="93" t="s">
        <v>94</v>
      </c>
      <c r="B25" s="89">
        <v>0</v>
      </c>
      <c r="C25" s="89">
        <v>185000</v>
      </c>
      <c r="D25" s="89">
        <v>0</v>
      </c>
      <c r="E25" s="89">
        <f t="shared" ref="E25" si="8">SUM(B25:D25)</f>
        <v>185000</v>
      </c>
      <c r="F25" s="89">
        <v>0</v>
      </c>
      <c r="G25" s="95"/>
      <c r="H25" s="369" t="s">
        <v>227</v>
      </c>
      <c r="I25" s="99" t="s">
        <v>92</v>
      </c>
      <c r="J25" s="87"/>
      <c r="K25" s="92"/>
      <c r="L25" s="92"/>
      <c r="M25" s="92"/>
      <c r="N25" s="93" t="s">
        <v>95</v>
      </c>
    </row>
    <row r="26" spans="1:14" s="42" customFormat="1" x14ac:dyDescent="0.25">
      <c r="A26" s="84" t="str">
        <f>CONCATENATE("Subtotal ",A22)</f>
        <v>Subtotal Standardization of Technical Analysis</v>
      </c>
      <c r="B26" s="94">
        <f>SUM(B23:B25)</f>
        <v>0</v>
      </c>
      <c r="C26" s="94">
        <f>SUM(C23:C25)</f>
        <v>185000</v>
      </c>
      <c r="D26" s="94">
        <f>SUM(D23:D25)</f>
        <v>0</v>
      </c>
      <c r="E26" s="94">
        <f>SUM(E23:E25)</f>
        <v>185000</v>
      </c>
      <c r="F26" s="94">
        <f>SUM(F23:F25)</f>
        <v>0</v>
      </c>
      <c r="G26" s="95">
        <f t="shared" si="7"/>
        <v>0.1002710027100271</v>
      </c>
      <c r="H26" s="370"/>
      <c r="I26" s="102"/>
      <c r="J26" s="102"/>
      <c r="K26" s="101"/>
      <c r="L26" s="101"/>
      <c r="M26" s="101"/>
      <c r="N26" s="93"/>
    </row>
    <row r="27" spans="1:14" s="42" customFormat="1" x14ac:dyDescent="0.25">
      <c r="A27" s="84"/>
      <c r="B27" s="94"/>
      <c r="C27" s="94"/>
      <c r="D27" s="94"/>
      <c r="E27" s="94"/>
      <c r="F27" s="94"/>
      <c r="G27" s="95"/>
      <c r="H27" s="370"/>
      <c r="I27" s="102"/>
      <c r="J27" s="102"/>
      <c r="K27" s="101"/>
      <c r="L27" s="101"/>
      <c r="M27" s="101"/>
      <c r="N27" s="93"/>
    </row>
    <row r="28" spans="1:14" s="42" customFormat="1" x14ac:dyDescent="0.25">
      <c r="B28" s="103"/>
      <c r="C28" s="104"/>
      <c r="D28" s="103"/>
      <c r="E28" s="103"/>
      <c r="F28" s="20"/>
      <c r="G28" s="19"/>
      <c r="H28" s="373"/>
      <c r="I28" s="19"/>
      <c r="J28" s="19"/>
      <c r="N28" s="105"/>
    </row>
    <row r="29" spans="1:14" s="42" customFormat="1" x14ac:dyDescent="0.25">
      <c r="A29" s="130" t="s">
        <v>96</v>
      </c>
      <c r="B29" s="131"/>
      <c r="C29" s="131"/>
      <c r="D29" s="131"/>
      <c r="E29" s="131"/>
      <c r="F29" s="132"/>
      <c r="G29" s="132"/>
      <c r="H29" s="374"/>
      <c r="I29" s="132"/>
      <c r="J29" s="132"/>
      <c r="K29" s="133"/>
      <c r="L29" s="133"/>
      <c r="M29" s="134"/>
      <c r="N29" s="135"/>
    </row>
    <row r="30" spans="1:14" s="42" customFormat="1" x14ac:dyDescent="0.25">
      <c r="A30" s="135" t="s">
        <v>97</v>
      </c>
      <c r="B30" s="131">
        <v>0</v>
      </c>
      <c r="C30" s="131">
        <v>60200</v>
      </c>
      <c r="D30" s="131">
        <v>0</v>
      </c>
      <c r="E30" s="131">
        <f>SUM(B30:D30)</f>
        <v>60200</v>
      </c>
      <c r="F30" s="131">
        <v>5000</v>
      </c>
      <c r="G30" s="136"/>
      <c r="H30" s="385" t="s">
        <v>227</v>
      </c>
      <c r="I30" s="132"/>
      <c r="J30" s="137"/>
      <c r="K30" s="134"/>
      <c r="L30" s="134"/>
      <c r="M30" s="134"/>
      <c r="N30" s="135" t="s">
        <v>246</v>
      </c>
    </row>
    <row r="31" spans="1:14" s="42" customFormat="1" x14ac:dyDescent="0.25">
      <c r="A31" s="135" t="s">
        <v>98</v>
      </c>
      <c r="B31" s="131">
        <v>20000</v>
      </c>
      <c r="C31" s="131">
        <v>20000</v>
      </c>
      <c r="D31" s="131">
        <v>0</v>
      </c>
      <c r="E31" s="131">
        <f>SUM(B31:D31)</f>
        <v>40000</v>
      </c>
      <c r="F31" s="131">
        <v>500</v>
      </c>
      <c r="G31" s="136"/>
      <c r="H31" s="385" t="s">
        <v>227</v>
      </c>
      <c r="I31" s="132"/>
      <c r="J31" s="137"/>
      <c r="K31" s="134"/>
      <c r="L31" s="134"/>
      <c r="M31" s="134"/>
      <c r="N31" s="135" t="s">
        <v>310</v>
      </c>
    </row>
    <row r="32" spans="1:14" s="42" customFormat="1" x14ac:dyDescent="0.25">
      <c r="A32" s="135" t="s">
        <v>99</v>
      </c>
      <c r="B32" s="131">
        <v>0</v>
      </c>
      <c r="C32" s="131">
        <v>0</v>
      </c>
      <c r="D32" s="131">
        <v>0</v>
      </c>
      <c r="E32" s="131">
        <f>SUM(B32:D32)</f>
        <v>0</v>
      </c>
      <c r="F32" s="131">
        <v>0</v>
      </c>
      <c r="G32" s="136"/>
      <c r="H32" s="385" t="s">
        <v>227</v>
      </c>
      <c r="I32" s="132"/>
      <c r="J32" s="137"/>
      <c r="K32" s="134"/>
      <c r="L32" s="134"/>
      <c r="M32" s="134"/>
      <c r="N32" s="135" t="s">
        <v>275</v>
      </c>
    </row>
    <row r="33" spans="1:14" s="42" customFormat="1" x14ac:dyDescent="0.25">
      <c r="A33" s="135" t="s">
        <v>100</v>
      </c>
      <c r="B33" s="131">
        <v>0</v>
      </c>
      <c r="C33" s="131">
        <v>10000</v>
      </c>
      <c r="D33" s="131">
        <v>0</v>
      </c>
      <c r="E33" s="131">
        <f>SUM(B33:D33)</f>
        <v>10000</v>
      </c>
      <c r="F33" s="131">
        <v>5000</v>
      </c>
      <c r="G33" s="136"/>
      <c r="H33" s="385" t="s">
        <v>227</v>
      </c>
      <c r="I33" s="132"/>
      <c r="J33" s="137"/>
      <c r="K33" s="134"/>
      <c r="L33" s="134"/>
      <c r="M33" s="133"/>
      <c r="N33" s="135" t="s">
        <v>276</v>
      </c>
    </row>
    <row r="34" spans="1:14" s="42" customFormat="1" x14ac:dyDescent="0.25">
      <c r="A34" s="130" t="str">
        <f>CONCATENATE("Subtotal ",A29)</f>
        <v>Subtotal Tool Development</v>
      </c>
      <c r="B34" s="138">
        <f>SUM(B30:B33)</f>
        <v>20000</v>
      </c>
      <c r="C34" s="138">
        <f>SUM(C30:C33)</f>
        <v>90200</v>
      </c>
      <c r="D34" s="138">
        <f>SUM(D30:D33)</f>
        <v>0</v>
      </c>
      <c r="E34" s="138">
        <f>SUM(E30:E33)</f>
        <v>110200</v>
      </c>
      <c r="F34" s="138">
        <f>SUM(F30:F33)</f>
        <v>10500</v>
      </c>
      <c r="G34" s="136">
        <f t="shared" ref="G34" si="9">E34/$E$75</f>
        <v>5.9728997289972899E-2</v>
      </c>
      <c r="H34" s="385"/>
      <c r="I34" s="132"/>
      <c r="J34" s="132"/>
      <c r="K34" s="133"/>
      <c r="L34" s="133"/>
      <c r="M34" s="133"/>
      <c r="N34" s="135"/>
    </row>
    <row r="35" spans="1:14" s="42" customFormat="1" x14ac:dyDescent="0.25">
      <c r="A35" s="135"/>
      <c r="B35" s="131"/>
      <c r="C35" s="131"/>
      <c r="D35" s="131"/>
      <c r="E35" s="131"/>
      <c r="F35" s="132"/>
      <c r="G35" s="132"/>
      <c r="H35" s="374"/>
      <c r="I35" s="132"/>
      <c r="J35" s="132"/>
      <c r="K35" s="133"/>
      <c r="L35" s="133"/>
      <c r="M35" s="133"/>
      <c r="N35" s="135"/>
    </row>
    <row r="36" spans="1:14" s="42" customFormat="1" x14ac:dyDescent="0.25">
      <c r="A36" s="135"/>
      <c r="B36" s="131"/>
      <c r="C36" s="131"/>
      <c r="D36" s="131"/>
      <c r="E36" s="131"/>
      <c r="F36" s="132"/>
      <c r="G36" s="132"/>
      <c r="H36" s="374"/>
      <c r="I36" s="132"/>
      <c r="J36" s="140"/>
      <c r="K36" s="139"/>
      <c r="L36" s="133"/>
      <c r="M36" s="133"/>
      <c r="N36" s="135"/>
    </row>
    <row r="37" spans="1:14" s="42" customFormat="1" x14ac:dyDescent="0.25">
      <c r="A37" s="130" t="s">
        <v>101</v>
      </c>
      <c r="B37" s="131"/>
      <c r="C37" s="131"/>
      <c r="D37" s="131"/>
      <c r="E37" s="131"/>
      <c r="F37" s="141"/>
      <c r="G37" s="132"/>
      <c r="H37" s="374"/>
      <c r="I37" s="132"/>
      <c r="J37" s="132"/>
      <c r="K37" s="133"/>
      <c r="L37" s="133"/>
      <c r="M37" s="133"/>
      <c r="N37" s="135"/>
    </row>
    <row r="38" spans="1:14" s="42" customFormat="1" x14ac:dyDescent="0.25">
      <c r="A38" s="135" t="s">
        <v>102</v>
      </c>
      <c r="B38" s="131">
        <v>0</v>
      </c>
      <c r="C38" s="131">
        <v>60000</v>
      </c>
      <c r="D38" s="131">
        <v>0</v>
      </c>
      <c r="E38" s="131">
        <f>SUM(B38:D38)</f>
        <v>60000</v>
      </c>
      <c r="F38" s="141">
        <v>1000</v>
      </c>
      <c r="G38" s="136"/>
      <c r="H38" s="385" t="s">
        <v>227</v>
      </c>
      <c r="I38" s="132"/>
      <c r="J38" s="132"/>
      <c r="K38" s="133"/>
      <c r="L38" s="133"/>
      <c r="M38" s="133"/>
      <c r="N38" s="135" t="s">
        <v>308</v>
      </c>
    </row>
    <row r="39" spans="1:14" s="42" customFormat="1" x14ac:dyDescent="0.25">
      <c r="A39" s="135" t="s">
        <v>103</v>
      </c>
      <c r="B39" s="131">
        <v>0</v>
      </c>
      <c r="C39" s="131">
        <v>10000</v>
      </c>
      <c r="D39" s="131">
        <v>0</v>
      </c>
      <c r="E39" s="131">
        <f t="shared" ref="E39:E43" si="10">SUM(B39:D39)</f>
        <v>10000</v>
      </c>
      <c r="F39" s="141">
        <v>0</v>
      </c>
      <c r="G39" s="136"/>
      <c r="H39" s="385" t="s">
        <v>226</v>
      </c>
      <c r="I39" s="132"/>
      <c r="J39" s="132"/>
      <c r="K39" s="133"/>
      <c r="L39" s="133"/>
      <c r="M39" s="133"/>
      <c r="N39" s="135" t="s">
        <v>272</v>
      </c>
    </row>
    <row r="40" spans="1:14" s="42" customFormat="1" x14ac:dyDescent="0.25">
      <c r="A40" s="135" t="s">
        <v>104</v>
      </c>
      <c r="B40" s="131">
        <v>0</v>
      </c>
      <c r="C40" s="131">
        <v>18000</v>
      </c>
      <c r="D40" s="131">
        <v>0</v>
      </c>
      <c r="E40" s="131">
        <f t="shared" si="10"/>
        <v>18000</v>
      </c>
      <c r="F40" s="141">
        <v>5000</v>
      </c>
      <c r="G40" s="136"/>
      <c r="H40" s="385" t="s">
        <v>226</v>
      </c>
      <c r="I40" s="132"/>
      <c r="J40" s="132"/>
      <c r="K40" s="133"/>
      <c r="L40" s="133"/>
      <c r="M40" s="133"/>
      <c r="N40" s="135" t="s">
        <v>311</v>
      </c>
    </row>
    <row r="41" spans="1:14" s="42" customFormat="1" x14ac:dyDescent="0.25">
      <c r="A41" s="135" t="s">
        <v>105</v>
      </c>
      <c r="B41" s="131">
        <v>0</v>
      </c>
      <c r="C41" s="131">
        <v>10000</v>
      </c>
      <c r="D41" s="131">
        <v>0</v>
      </c>
      <c r="E41" s="131">
        <f t="shared" si="10"/>
        <v>10000</v>
      </c>
      <c r="F41" s="141">
        <v>1000</v>
      </c>
      <c r="G41" s="136"/>
      <c r="H41" s="385" t="s">
        <v>226</v>
      </c>
      <c r="I41" s="132"/>
      <c r="J41" s="132"/>
      <c r="K41" s="133"/>
      <c r="L41" s="133"/>
      <c r="M41" s="133"/>
      <c r="N41" s="135" t="s">
        <v>277</v>
      </c>
    </row>
    <row r="42" spans="1:14" s="42" customFormat="1" x14ac:dyDescent="0.25">
      <c r="A42" s="135" t="s">
        <v>106</v>
      </c>
      <c r="B42" s="131">
        <v>0</v>
      </c>
      <c r="C42" s="131">
        <v>20000</v>
      </c>
      <c r="D42" s="131">
        <v>0</v>
      </c>
      <c r="E42" s="131">
        <f t="shared" si="10"/>
        <v>20000</v>
      </c>
      <c r="F42" s="141">
        <v>5000</v>
      </c>
      <c r="G42" s="136"/>
      <c r="H42" s="385" t="s">
        <v>226</v>
      </c>
      <c r="I42" s="132"/>
      <c r="J42" s="132"/>
      <c r="K42" s="133"/>
      <c r="L42" s="133"/>
      <c r="M42" s="133"/>
      <c r="N42" s="135" t="s">
        <v>279</v>
      </c>
    </row>
    <row r="43" spans="1:14" s="42" customFormat="1" x14ac:dyDescent="0.25">
      <c r="A43" s="135" t="s">
        <v>273</v>
      </c>
      <c r="B43" s="131">
        <v>0</v>
      </c>
      <c r="C43" s="131">
        <v>20000</v>
      </c>
      <c r="D43" s="131">
        <v>0</v>
      </c>
      <c r="E43" s="131">
        <f t="shared" si="10"/>
        <v>20000</v>
      </c>
      <c r="F43" s="141">
        <v>5000</v>
      </c>
      <c r="G43" s="136"/>
      <c r="H43" s="385" t="s">
        <v>227</v>
      </c>
      <c r="I43" s="132"/>
      <c r="J43" s="132"/>
      <c r="K43" s="133"/>
      <c r="L43" s="133"/>
      <c r="M43" s="133"/>
      <c r="N43" s="135" t="s">
        <v>274</v>
      </c>
    </row>
    <row r="44" spans="1:14" s="42" customFormat="1" x14ac:dyDescent="0.25">
      <c r="A44" s="130" t="str">
        <f>CONCATENATE("Subtotal ",A37)</f>
        <v>Subtotal Regional Coordination on Energy Efficiency</v>
      </c>
      <c r="B44" s="138">
        <f>SUM(B38:B43)</f>
        <v>0</v>
      </c>
      <c r="C44" s="138">
        <f>SUM(C38:C43)</f>
        <v>138000</v>
      </c>
      <c r="D44" s="138">
        <f>SUM(D38:D43)</f>
        <v>0</v>
      </c>
      <c r="E44" s="138">
        <f>SUM(E38:E43)</f>
        <v>138000</v>
      </c>
      <c r="F44" s="138">
        <f>SUM(F38:F43)</f>
        <v>17000</v>
      </c>
      <c r="G44" s="136">
        <f>E44/$E$75</f>
        <v>7.4796747967479676E-2</v>
      </c>
      <c r="H44" s="385"/>
      <c r="I44" s="132"/>
      <c r="J44" s="132"/>
      <c r="K44" s="133"/>
      <c r="L44" s="133"/>
      <c r="M44" s="133"/>
      <c r="N44" s="135"/>
    </row>
    <row r="45" spans="1:14" s="42" customFormat="1" x14ac:dyDescent="0.25">
      <c r="A45" s="130"/>
      <c r="B45" s="138"/>
      <c r="C45" s="138"/>
      <c r="D45" s="138"/>
      <c r="E45" s="138"/>
      <c r="F45" s="138"/>
      <c r="G45" s="136"/>
      <c r="H45" s="385"/>
      <c r="I45" s="132"/>
      <c r="J45" s="132"/>
      <c r="K45" s="133"/>
      <c r="L45" s="133"/>
      <c r="M45" s="133"/>
      <c r="N45" s="135"/>
    </row>
    <row r="46" spans="1:14" s="42" customFormat="1" x14ac:dyDescent="0.25">
      <c r="A46" s="106"/>
      <c r="B46" s="107"/>
      <c r="C46" s="107"/>
      <c r="D46" s="107"/>
      <c r="E46" s="107"/>
      <c r="F46" s="107"/>
      <c r="G46" s="108"/>
      <c r="H46" s="386"/>
      <c r="I46" s="19"/>
      <c r="J46" s="19"/>
      <c r="N46" s="105"/>
    </row>
    <row r="47" spans="1:14" s="42" customFormat="1" x14ac:dyDescent="0.25">
      <c r="A47" s="221" t="s">
        <v>107</v>
      </c>
      <c r="B47" s="222"/>
      <c r="C47" s="222"/>
      <c r="D47" s="222"/>
      <c r="E47" s="222"/>
      <c r="F47" s="223"/>
      <c r="G47" s="223"/>
      <c r="H47" s="375"/>
      <c r="I47" s="223"/>
      <c r="J47" s="223"/>
      <c r="K47" s="224"/>
      <c r="L47" s="224"/>
      <c r="M47" s="224"/>
      <c r="N47" s="225"/>
    </row>
    <row r="48" spans="1:14" s="42" customFormat="1" x14ac:dyDescent="0.25">
      <c r="A48" s="225" t="s">
        <v>108</v>
      </c>
      <c r="B48" s="222">
        <v>25700</v>
      </c>
      <c r="C48" s="222">
        <v>25700</v>
      </c>
      <c r="D48" s="222">
        <v>0</v>
      </c>
      <c r="E48" s="222">
        <f>SUM(B48:D48)</f>
        <v>51400</v>
      </c>
      <c r="F48" s="455">
        <v>10000</v>
      </c>
      <c r="G48" s="223"/>
      <c r="H48" s="375" t="s">
        <v>226</v>
      </c>
      <c r="I48" s="226"/>
      <c r="J48" s="227"/>
      <c r="K48" s="228"/>
      <c r="L48" s="228"/>
      <c r="M48" s="228"/>
      <c r="N48" s="225" t="s">
        <v>223</v>
      </c>
    </row>
    <row r="49" spans="1:15" s="42" customFormat="1" x14ac:dyDescent="0.25">
      <c r="A49" s="221" t="str">
        <f>CONCATENATE("Subtotal ",A47)</f>
        <v>Subtotal Demand Response Products</v>
      </c>
      <c r="B49" s="229">
        <f>SUM(B48:B48)</f>
        <v>25700</v>
      </c>
      <c r="C49" s="229">
        <f>SUM(C48:C48)</f>
        <v>25700</v>
      </c>
      <c r="D49" s="229">
        <f>SUM(D48:D48)</f>
        <v>0</v>
      </c>
      <c r="E49" s="229">
        <f>SUM(E48:E48)</f>
        <v>51400</v>
      </c>
      <c r="F49" s="229">
        <f>SUM(F48:F48)</f>
        <v>10000</v>
      </c>
      <c r="G49" s="230">
        <f>E49/$E$75</f>
        <v>2.7859078590785909E-2</v>
      </c>
      <c r="H49" s="387"/>
      <c r="I49" s="223"/>
      <c r="J49" s="223"/>
      <c r="K49" s="231"/>
      <c r="L49" s="224"/>
      <c r="M49" s="224"/>
      <c r="N49" s="225"/>
    </row>
    <row r="50" spans="1:15" s="42" customFormat="1" x14ac:dyDescent="0.25">
      <c r="A50" s="224"/>
      <c r="B50" s="222"/>
      <c r="C50" s="222"/>
      <c r="D50" s="222"/>
      <c r="E50" s="222"/>
      <c r="F50" s="229"/>
      <c r="G50" s="223"/>
      <c r="H50" s="375"/>
      <c r="I50" s="223"/>
      <c r="J50" s="223"/>
      <c r="K50" s="224"/>
      <c r="L50" s="224"/>
      <c r="M50" s="224"/>
      <c r="N50" s="225"/>
    </row>
    <row r="51" spans="1:15" x14ac:dyDescent="0.25">
      <c r="A51" s="109"/>
      <c r="B51" s="110"/>
      <c r="C51" s="110"/>
      <c r="D51" s="110"/>
      <c r="E51" s="110"/>
      <c r="F51" s="107"/>
      <c r="G51" s="21"/>
      <c r="H51" s="376"/>
      <c r="I51" s="21"/>
      <c r="J51" s="21"/>
      <c r="M51" s="42"/>
      <c r="N51" s="109"/>
      <c r="O51" s="1"/>
    </row>
    <row r="52" spans="1:15" s="42" customFormat="1" x14ac:dyDescent="0.25">
      <c r="A52" s="232" t="s">
        <v>184</v>
      </c>
      <c r="B52" s="233"/>
      <c r="C52" s="233"/>
      <c r="D52" s="233"/>
      <c r="E52" s="233"/>
      <c r="F52" s="234"/>
      <c r="G52" s="235"/>
      <c r="H52" s="377"/>
      <c r="I52" s="235"/>
      <c r="J52" s="235"/>
      <c r="K52" s="236"/>
      <c r="L52" s="236"/>
      <c r="M52" s="236"/>
      <c r="N52" s="237"/>
    </row>
    <row r="53" spans="1:15" s="42" customFormat="1" x14ac:dyDescent="0.25">
      <c r="A53" s="237" t="s">
        <v>109</v>
      </c>
      <c r="B53" s="233">
        <v>0</v>
      </c>
      <c r="C53" s="233">
        <v>0</v>
      </c>
      <c r="D53" s="233">
        <v>0</v>
      </c>
      <c r="E53" s="233">
        <f>SUM(B53:D53)</f>
        <v>0</v>
      </c>
      <c r="F53" s="233">
        <v>30000</v>
      </c>
      <c r="G53" s="235"/>
      <c r="H53" s="377" t="s">
        <v>226</v>
      </c>
      <c r="I53" s="235"/>
      <c r="J53" s="235"/>
      <c r="K53" s="236"/>
      <c r="L53" s="236"/>
      <c r="M53" s="236"/>
      <c r="N53" s="237" t="s">
        <v>169</v>
      </c>
    </row>
    <row r="54" spans="1:15" s="42" customFormat="1" x14ac:dyDescent="0.25">
      <c r="A54" s="237" t="s">
        <v>110</v>
      </c>
      <c r="B54" s="233">
        <v>56000</v>
      </c>
      <c r="C54" s="233">
        <v>0</v>
      </c>
      <c r="D54" s="233">
        <v>0</v>
      </c>
      <c r="E54" s="233">
        <f>SUM(B54:D54)</f>
        <v>56000</v>
      </c>
      <c r="F54" s="233">
        <v>15000</v>
      </c>
      <c r="G54" s="235" t="s">
        <v>84</v>
      </c>
      <c r="H54" s="377" t="s">
        <v>226</v>
      </c>
      <c r="I54" s="235"/>
      <c r="J54" s="235"/>
      <c r="K54" s="236"/>
      <c r="L54" s="236"/>
      <c r="M54" s="236"/>
      <c r="N54" s="237" t="s">
        <v>222</v>
      </c>
    </row>
    <row r="55" spans="1:15" s="42" customFormat="1" x14ac:dyDescent="0.25">
      <c r="A55" s="232" t="str">
        <f>CONCATENATE("Subtotal ",A52)</f>
        <v>Subtotal Website and Conservation Tracking</v>
      </c>
      <c r="B55" s="234">
        <f>SUM(B53:B54)</f>
        <v>56000</v>
      </c>
      <c r="C55" s="234">
        <f>SUM(C53:C54)</f>
        <v>0</v>
      </c>
      <c r="D55" s="234">
        <f>SUM(D53:D54)</f>
        <v>0</v>
      </c>
      <c r="E55" s="234">
        <f>SUM(E53:E54)</f>
        <v>56000</v>
      </c>
      <c r="F55" s="234">
        <f>SUM(F53:F54)</f>
        <v>45000</v>
      </c>
      <c r="G55" s="238">
        <f>E55/$E$75</f>
        <v>3.035230352303523E-2</v>
      </c>
      <c r="H55" s="388"/>
      <c r="I55" s="235"/>
      <c r="J55" s="235"/>
      <c r="K55" s="236"/>
      <c r="L55" s="236"/>
      <c r="M55" s="236"/>
      <c r="N55" s="237"/>
    </row>
    <row r="56" spans="1:15" s="42" customFormat="1" x14ac:dyDescent="0.25">
      <c r="A56" s="232"/>
      <c r="B56" s="233"/>
      <c r="C56" s="233"/>
      <c r="D56" s="233"/>
      <c r="E56" s="233"/>
      <c r="F56" s="233"/>
      <c r="G56" s="238"/>
      <c r="H56" s="377"/>
      <c r="I56" s="235"/>
      <c r="J56" s="235"/>
      <c r="K56" s="236"/>
      <c r="L56" s="236"/>
      <c r="M56" s="236"/>
      <c r="N56" s="237"/>
    </row>
    <row r="57" spans="1:15" s="42" customFormat="1" x14ac:dyDescent="0.25">
      <c r="A57" s="237"/>
      <c r="B57" s="233"/>
      <c r="C57" s="233"/>
      <c r="D57" s="233"/>
      <c r="E57" s="233"/>
      <c r="F57" s="233"/>
      <c r="G57" s="238"/>
      <c r="H57" s="377"/>
      <c r="I57" s="235"/>
      <c r="J57" s="235"/>
      <c r="K57" s="236"/>
      <c r="L57" s="236"/>
      <c r="M57" s="236"/>
      <c r="N57" s="237"/>
    </row>
    <row r="58" spans="1:15" s="42" customFormat="1" x14ac:dyDescent="0.25">
      <c r="A58" s="232" t="s">
        <v>111</v>
      </c>
      <c r="B58" s="233"/>
      <c r="C58" s="233"/>
      <c r="D58" s="233"/>
      <c r="E58" s="233"/>
      <c r="F58" s="234"/>
      <c r="G58" s="238"/>
      <c r="H58" s="377"/>
      <c r="I58" s="235"/>
      <c r="J58" s="235"/>
      <c r="K58" s="236"/>
      <c r="L58" s="236"/>
      <c r="M58" s="236"/>
      <c r="N58" s="237"/>
    </row>
    <row r="59" spans="1:15" s="42" customFormat="1" x14ac:dyDescent="0.25">
      <c r="A59" s="237" t="s">
        <v>112</v>
      </c>
      <c r="B59" s="233">
        <v>33000</v>
      </c>
      <c r="C59" s="233">
        <v>0</v>
      </c>
      <c r="D59" s="233">
        <v>0</v>
      </c>
      <c r="E59" s="233">
        <f>SUM(B59:D59)</f>
        <v>33000</v>
      </c>
      <c r="F59" s="233">
        <v>10000</v>
      </c>
      <c r="G59" s="238"/>
      <c r="H59" s="379" t="s">
        <v>227</v>
      </c>
      <c r="I59" s="239"/>
      <c r="J59" s="235"/>
      <c r="K59" s="236"/>
      <c r="L59" s="236"/>
      <c r="M59" s="236"/>
      <c r="N59" s="236" t="s">
        <v>245</v>
      </c>
    </row>
    <row r="60" spans="1:15" s="42" customFormat="1" x14ac:dyDescent="0.25">
      <c r="A60" s="237" t="s">
        <v>113</v>
      </c>
      <c r="B60" s="233">
        <v>115000</v>
      </c>
      <c r="C60" s="233">
        <v>78000</v>
      </c>
      <c r="D60" s="233">
        <v>0</v>
      </c>
      <c r="E60" s="233">
        <f>SUM(B60:D60)</f>
        <v>193000</v>
      </c>
      <c r="F60" s="233">
        <v>0</v>
      </c>
      <c r="G60" s="238"/>
      <c r="H60" s="388" t="s">
        <v>227</v>
      </c>
      <c r="I60" s="235"/>
      <c r="J60" s="235"/>
      <c r="K60" s="236"/>
      <c r="L60" s="236"/>
      <c r="M60" s="236"/>
      <c r="N60" s="237" t="s">
        <v>309</v>
      </c>
    </row>
    <row r="61" spans="1:15" s="42" customFormat="1" x14ac:dyDescent="0.25">
      <c r="A61" s="232" t="str">
        <f>CONCATENATE("Subtotal ",A58)</f>
        <v>Subtotal RTF Meetings and Member Support</v>
      </c>
      <c r="B61" s="234">
        <f>SUM(B59:B60)</f>
        <v>148000</v>
      </c>
      <c r="C61" s="234">
        <f>SUM(C59:C60)</f>
        <v>78000</v>
      </c>
      <c r="D61" s="234">
        <f>SUM(D59:D60)</f>
        <v>0</v>
      </c>
      <c r="E61" s="234">
        <f>SUM(E59:E60)</f>
        <v>226000</v>
      </c>
      <c r="F61" s="234">
        <f>SUM(F59:F60)</f>
        <v>10000</v>
      </c>
      <c r="G61" s="238">
        <f t="shared" ref="G61" si="11">E61/$E$75</f>
        <v>0.12249322493224932</v>
      </c>
      <c r="H61" s="378"/>
      <c r="I61" s="235"/>
      <c r="J61" s="235"/>
      <c r="K61" s="236"/>
      <c r="L61" s="236"/>
      <c r="M61" s="236"/>
      <c r="N61" s="236"/>
    </row>
    <row r="62" spans="1:15" s="42" customFormat="1" x14ac:dyDescent="0.25">
      <c r="A62" s="236"/>
      <c r="B62" s="233"/>
      <c r="C62" s="233"/>
      <c r="D62" s="233"/>
      <c r="E62" s="233"/>
      <c r="F62" s="233"/>
      <c r="G62" s="238"/>
      <c r="H62" s="377"/>
      <c r="I62" s="235"/>
      <c r="J62" s="235"/>
      <c r="K62" s="236"/>
      <c r="L62" s="236"/>
      <c r="M62" s="236"/>
      <c r="N62" s="236"/>
    </row>
    <row r="63" spans="1:15" s="42" customFormat="1" x14ac:dyDescent="0.25">
      <c r="A63" s="236"/>
      <c r="B63" s="233"/>
      <c r="C63" s="233"/>
      <c r="D63" s="233"/>
      <c r="E63" s="233"/>
      <c r="F63" s="233"/>
      <c r="G63" s="238"/>
      <c r="H63" s="377"/>
      <c r="I63" s="235"/>
      <c r="J63" s="235"/>
      <c r="K63" s="236"/>
      <c r="L63" s="236"/>
      <c r="M63" s="236"/>
      <c r="N63" s="236"/>
    </row>
    <row r="64" spans="1:15" s="42" customFormat="1" x14ac:dyDescent="0.25">
      <c r="A64" s="232" t="s">
        <v>114</v>
      </c>
      <c r="B64" s="233"/>
      <c r="C64" s="233"/>
      <c r="D64" s="233"/>
      <c r="E64" s="233"/>
      <c r="F64" s="233"/>
      <c r="G64" s="238"/>
      <c r="H64" s="377"/>
      <c r="I64" s="240"/>
      <c r="J64" s="240"/>
      <c r="K64" s="240"/>
      <c r="L64" s="240"/>
      <c r="M64" s="236"/>
      <c r="N64" s="236"/>
    </row>
    <row r="65" spans="1:26" s="42" customFormat="1" x14ac:dyDescent="0.25">
      <c r="A65" s="237" t="s">
        <v>115</v>
      </c>
      <c r="B65" s="233">
        <v>0</v>
      </c>
      <c r="C65" s="233">
        <v>0</v>
      </c>
      <c r="D65" s="233">
        <f>177000*L65</f>
        <v>26550</v>
      </c>
      <c r="E65" s="233">
        <f>SUM(B65:D65)</f>
        <v>26550</v>
      </c>
      <c r="F65" s="233">
        <v>5000</v>
      </c>
      <c r="G65" s="235"/>
      <c r="H65" s="379" t="s">
        <v>227</v>
      </c>
      <c r="I65" s="235"/>
      <c r="J65" s="236"/>
      <c r="K65" s="236"/>
      <c r="L65" s="241">
        <v>0.15</v>
      </c>
      <c r="M65" s="236"/>
      <c r="N65" s="236" t="s">
        <v>116</v>
      </c>
    </row>
    <row r="66" spans="1:26" s="42" customFormat="1" x14ac:dyDescent="0.25">
      <c r="A66" s="237" t="s">
        <v>218</v>
      </c>
      <c r="B66" s="233">
        <v>0</v>
      </c>
      <c r="C66" s="233">
        <v>0</v>
      </c>
      <c r="D66" s="233">
        <f t="shared" ref="D66:D70" si="12">177000*L66</f>
        <v>44250</v>
      </c>
      <c r="E66" s="233">
        <f>SUM(B66:D66)</f>
        <v>44250</v>
      </c>
      <c r="F66" s="233">
        <v>0</v>
      </c>
      <c r="G66" s="242"/>
      <c r="H66" s="379" t="s">
        <v>227</v>
      </c>
      <c r="I66" s="239"/>
      <c r="J66" s="236"/>
      <c r="K66" s="236"/>
      <c r="L66" s="241">
        <v>0.25</v>
      </c>
      <c r="M66" s="236"/>
      <c r="N66" s="236" t="s">
        <v>117</v>
      </c>
    </row>
    <row r="67" spans="1:26" s="42" customFormat="1" x14ac:dyDescent="0.25">
      <c r="A67" s="237" t="s">
        <v>118</v>
      </c>
      <c r="B67" s="233">
        <v>4000</v>
      </c>
      <c r="C67" s="233">
        <v>0</v>
      </c>
      <c r="D67" s="233">
        <f t="shared" si="12"/>
        <v>26550</v>
      </c>
      <c r="E67" s="233">
        <f t="shared" ref="E67:E70" si="13">SUM(B67:D67)</f>
        <v>30550</v>
      </c>
      <c r="F67" s="233">
        <v>50000</v>
      </c>
      <c r="G67" s="242"/>
      <c r="H67" s="379" t="s">
        <v>227</v>
      </c>
      <c r="I67" s="242"/>
      <c r="J67" s="236"/>
      <c r="K67" s="243"/>
      <c r="L67" s="241">
        <v>0.15</v>
      </c>
      <c r="M67" s="236"/>
      <c r="N67" s="236" t="s">
        <v>217</v>
      </c>
    </row>
    <row r="68" spans="1:26" s="42" customFormat="1" x14ac:dyDescent="0.25">
      <c r="A68" s="237" t="s">
        <v>119</v>
      </c>
      <c r="B68" s="233">
        <v>0</v>
      </c>
      <c r="C68" s="233">
        <v>0</v>
      </c>
      <c r="D68" s="233">
        <f t="shared" si="12"/>
        <v>35400</v>
      </c>
      <c r="E68" s="233">
        <f t="shared" si="13"/>
        <v>35400</v>
      </c>
      <c r="F68" s="233">
        <v>1000</v>
      </c>
      <c r="G68" s="235"/>
      <c r="H68" s="379" t="s">
        <v>227</v>
      </c>
      <c r="I68" s="235"/>
      <c r="J68" s="236"/>
      <c r="K68" s="236"/>
      <c r="L68" s="241">
        <v>0.2</v>
      </c>
      <c r="M68" s="236"/>
      <c r="N68" s="236" t="s">
        <v>120</v>
      </c>
    </row>
    <row r="69" spans="1:26" s="42" customFormat="1" x14ac:dyDescent="0.25">
      <c r="A69" s="237" t="s">
        <v>121</v>
      </c>
      <c r="B69" s="233">
        <v>0</v>
      </c>
      <c r="C69" s="233">
        <v>0</v>
      </c>
      <c r="D69" s="233">
        <f t="shared" si="12"/>
        <v>8850</v>
      </c>
      <c r="E69" s="233">
        <f t="shared" si="13"/>
        <v>8850</v>
      </c>
      <c r="F69" s="233">
        <v>500</v>
      </c>
      <c r="G69" s="242"/>
      <c r="H69" s="379" t="s">
        <v>227</v>
      </c>
      <c r="I69" s="239"/>
      <c r="J69" s="236"/>
      <c r="K69" s="236"/>
      <c r="L69" s="241">
        <v>0.05</v>
      </c>
      <c r="M69" s="236"/>
      <c r="N69" s="236" t="s">
        <v>122</v>
      </c>
    </row>
    <row r="70" spans="1:26" s="42" customFormat="1" x14ac:dyDescent="0.25">
      <c r="A70" s="237" t="s">
        <v>123</v>
      </c>
      <c r="B70" s="233">
        <v>0</v>
      </c>
      <c r="C70" s="233">
        <v>0</v>
      </c>
      <c r="D70" s="233">
        <f t="shared" si="12"/>
        <v>35400</v>
      </c>
      <c r="E70" s="233">
        <f t="shared" si="13"/>
        <v>35400</v>
      </c>
      <c r="F70" s="233">
        <v>10000</v>
      </c>
      <c r="G70" s="242"/>
      <c r="H70" s="379" t="s">
        <v>227</v>
      </c>
      <c r="I70" s="239"/>
      <c r="J70" s="236"/>
      <c r="K70" s="236"/>
      <c r="L70" s="241">
        <v>0.2</v>
      </c>
      <c r="M70" s="236"/>
      <c r="N70" s="236" t="s">
        <v>124</v>
      </c>
    </row>
    <row r="71" spans="1:26" s="42" customFormat="1" x14ac:dyDescent="0.25">
      <c r="A71" s="237" t="s">
        <v>51</v>
      </c>
      <c r="B71" s="233">
        <v>0</v>
      </c>
      <c r="C71" s="233">
        <v>0</v>
      </c>
      <c r="D71" s="233">
        <v>2500</v>
      </c>
      <c r="E71" s="233">
        <f>SUM(B71:D71)</f>
        <v>2500</v>
      </c>
      <c r="F71" s="233">
        <v>0</v>
      </c>
      <c r="G71" s="242"/>
      <c r="H71" s="379" t="s">
        <v>227</v>
      </c>
      <c r="I71" s="239"/>
      <c r="J71" s="236"/>
      <c r="K71" s="236"/>
      <c r="L71" s="241"/>
      <c r="M71" s="236"/>
      <c r="N71" s="236" t="s">
        <v>216</v>
      </c>
    </row>
    <row r="72" spans="1:26" s="42" customFormat="1" x14ac:dyDescent="0.25">
      <c r="A72" s="232" t="str">
        <f>CONCATENATE("Subtotal ",A64)</f>
        <v>Subtotal RTF Management</v>
      </c>
      <c r="B72" s="234">
        <f>SUM(B65:B71)</f>
        <v>4000</v>
      </c>
      <c r="C72" s="234">
        <f>SUM(C65:C71)</f>
        <v>0</v>
      </c>
      <c r="D72" s="234">
        <f>SUM(D65:D71)</f>
        <v>179500</v>
      </c>
      <c r="E72" s="234">
        <f>SUM(E65:E71)</f>
        <v>183500</v>
      </c>
      <c r="F72" s="234">
        <f>SUM(F65:F71)</f>
        <v>66500</v>
      </c>
      <c r="G72" s="238">
        <f>E72/$E$75</f>
        <v>9.9457994579945794E-2</v>
      </c>
      <c r="H72" s="378"/>
      <c r="I72" s="235"/>
      <c r="J72" s="236"/>
      <c r="K72" s="236"/>
      <c r="L72" s="244">
        <f>SUM(L65:L70)</f>
        <v>1</v>
      </c>
      <c r="M72" s="236"/>
      <c r="N72" s="236"/>
    </row>
    <row r="73" spans="1:26" s="42" customFormat="1" x14ac:dyDescent="0.25">
      <c r="A73" s="236"/>
      <c r="B73" s="236"/>
      <c r="C73" s="236"/>
      <c r="D73" s="236"/>
      <c r="E73" s="236"/>
      <c r="F73" s="236"/>
      <c r="G73" s="236"/>
      <c r="H73" s="380"/>
      <c r="I73" s="236"/>
      <c r="J73" s="236"/>
      <c r="K73" s="236"/>
      <c r="L73" s="236"/>
      <c r="M73" s="236"/>
      <c r="N73" s="236"/>
    </row>
    <row r="74" spans="1:26" x14ac:dyDescent="0.25">
      <c r="O74" s="1"/>
    </row>
    <row r="75" spans="1:26" x14ac:dyDescent="0.25">
      <c r="A75" s="111" t="s">
        <v>125</v>
      </c>
      <c r="B75" s="112">
        <f>SUM(B10,B19,B26,B34,B49,B44,B55,B61,B72)</f>
        <v>440800</v>
      </c>
      <c r="C75" s="112">
        <f>SUM(C10,C19,C26,C34,C49,C44,C55,C61,C72)</f>
        <v>1224700</v>
      </c>
      <c r="D75" s="112">
        <f>SUM(D10,D19,D26,D34,D49,D44,D55,D61,D72)</f>
        <v>179500</v>
      </c>
      <c r="E75" s="112">
        <f>SUM(E10,E19,E26,E34,E49,E44,E55,E61,E72)</f>
        <v>1845000</v>
      </c>
      <c r="F75" s="112">
        <f>SUM(F10,F19,F26,F34,F49,F44,F55,F61,F72)</f>
        <v>179595</v>
      </c>
      <c r="G75" s="113">
        <f>SUM(G6:G74)</f>
        <v>1.0000000000000002</v>
      </c>
      <c r="H75" s="381"/>
      <c r="I75" s="114"/>
      <c r="J75" s="114"/>
      <c r="K75" s="114"/>
      <c r="L75" s="114"/>
      <c r="M75" s="114"/>
      <c r="N75" s="114"/>
      <c r="O75" s="114"/>
      <c r="P75" s="114"/>
      <c r="Q75" s="114"/>
      <c r="R75" s="114"/>
      <c r="S75" s="114"/>
      <c r="T75" s="114"/>
      <c r="U75" s="114"/>
      <c r="V75" s="114"/>
      <c r="W75" s="114"/>
      <c r="X75" s="114"/>
      <c r="Y75" s="114"/>
      <c r="Z75" s="114"/>
    </row>
    <row r="76" spans="1:26" ht="16.5" thickBot="1" x14ac:dyDescent="0.3">
      <c r="C76" s="115">
        <f>'Typical Rates'!O34</f>
        <v>0</v>
      </c>
      <c r="F76" s="115"/>
      <c r="G76" s="116"/>
      <c r="H76" s="382"/>
    </row>
    <row r="77" spans="1:26" x14ac:dyDescent="0.25">
      <c r="A77" s="144" t="s">
        <v>126</v>
      </c>
      <c r="B77" s="145"/>
      <c r="D77"/>
      <c r="E77" s="358" t="s">
        <v>219</v>
      </c>
      <c r="F77" s="359"/>
      <c r="G77"/>
      <c r="H77" s="403"/>
      <c r="I77"/>
      <c r="O77" s="1"/>
    </row>
    <row r="78" spans="1:26" x14ac:dyDescent="0.25">
      <c r="A78" s="118" t="s">
        <v>127</v>
      </c>
      <c r="B78" s="119">
        <f>B75/$E$75</f>
        <v>0.2389159891598916</v>
      </c>
      <c r="C78" s="116"/>
      <c r="D78"/>
      <c r="E78" s="360" t="s">
        <v>220</v>
      </c>
      <c r="F78" s="361" t="s">
        <v>221</v>
      </c>
      <c r="G78"/>
      <c r="H78" s="394"/>
      <c r="I78"/>
      <c r="O78" s="1"/>
    </row>
    <row r="79" spans="1:26" ht="16.5" thickBot="1" x14ac:dyDescent="0.3">
      <c r="A79" s="120" t="s">
        <v>128</v>
      </c>
      <c r="B79" s="121">
        <f>C75/$E$75</f>
        <v>0.66379403794037939</v>
      </c>
      <c r="C79" s="393"/>
      <c r="D79"/>
      <c r="E79" s="362">
        <v>88</v>
      </c>
      <c r="F79" s="363">
        <f>E79+(E79*0.025)</f>
        <v>90.2</v>
      </c>
      <c r="G79"/>
      <c r="H79" s="394"/>
      <c r="I79"/>
      <c r="J79" s="6"/>
    </row>
    <row r="80" spans="1:26" x14ac:dyDescent="0.25">
      <c r="A80" s="120" t="s">
        <v>129</v>
      </c>
      <c r="B80" s="121">
        <f>D75/E75</f>
        <v>9.7289972899729002E-2</v>
      </c>
      <c r="C80" s="393"/>
      <c r="D80"/>
      <c r="E80"/>
      <c r="F80"/>
      <c r="G80"/>
      <c r="H80" s="394"/>
      <c r="I80"/>
      <c r="J80" s="6"/>
      <c r="O80" s="1"/>
    </row>
    <row r="81" spans="1:15" x14ac:dyDescent="0.25">
      <c r="A81" s="120" t="s">
        <v>130</v>
      </c>
      <c r="B81" s="122">
        <f>B10+B19</f>
        <v>187100</v>
      </c>
      <c r="C81" s="116"/>
      <c r="D81"/>
      <c r="E81"/>
      <c r="F81"/>
      <c r="G81"/>
      <c r="H81" s="394"/>
      <c r="I81"/>
      <c r="K81" s="41"/>
      <c r="O81" s="1"/>
    </row>
    <row r="82" spans="1:15" x14ac:dyDescent="0.25">
      <c r="A82" s="146" t="s">
        <v>131</v>
      </c>
      <c r="B82" s="147">
        <f>C75/200000</f>
        <v>6.1234999999999999</v>
      </c>
      <c r="D82"/>
      <c r="E82"/>
      <c r="F82"/>
      <c r="G82"/>
      <c r="H82" s="394"/>
      <c r="I82" s="42"/>
      <c r="O82" s="1"/>
    </row>
    <row r="83" spans="1:15" x14ac:dyDescent="0.25">
      <c r="A83" s="123" t="s">
        <v>132</v>
      </c>
      <c r="B83" s="124">
        <f>F75/'NPCC Contribution'!C2</f>
        <v>1.0533431085043987</v>
      </c>
      <c r="D83"/>
      <c r="E83"/>
      <c r="F83"/>
      <c r="G83"/>
      <c r="H83" s="394"/>
      <c r="I83" s="42"/>
    </row>
    <row r="84" spans="1:15" x14ac:dyDescent="0.25">
      <c r="D84"/>
      <c r="E84" s="42"/>
      <c r="F84" s="42"/>
      <c r="G84"/>
      <c r="H84" s="394"/>
      <c r="I84" s="42"/>
    </row>
    <row r="85" spans="1:15" ht="18.75" x14ac:dyDescent="0.3">
      <c r="A85" s="2" t="s">
        <v>312</v>
      </c>
      <c r="D85"/>
      <c r="E85" s="42"/>
      <c r="F85" s="42"/>
      <c r="G85"/>
      <c r="H85" s="394"/>
      <c r="I85" s="42"/>
    </row>
    <row r="86" spans="1:15" x14ac:dyDescent="0.25">
      <c r="D86" s="42"/>
      <c r="E86" s="42"/>
      <c r="F86" s="42"/>
      <c r="G86" s="42"/>
      <c r="H86" s="366"/>
      <c r="I86" s="42"/>
    </row>
    <row r="87" spans="1:15" x14ac:dyDescent="0.25">
      <c r="D87" s="42"/>
      <c r="E87" s="42"/>
      <c r="F87" s="42"/>
      <c r="G87" s="42"/>
      <c r="H87" s="366"/>
      <c r="I87" s="42"/>
    </row>
    <row r="88" spans="1:15" x14ac:dyDescent="0.25">
      <c r="D88" s="42"/>
      <c r="F88" s="42"/>
      <c r="G88" s="42"/>
      <c r="H88" s="366"/>
      <c r="I88" s="42"/>
    </row>
    <row r="89" spans="1:15" x14ac:dyDescent="0.25">
      <c r="D89" s="42"/>
      <c r="F89" s="42"/>
      <c r="G89" s="42"/>
      <c r="H89" s="366"/>
      <c r="I89" s="42"/>
      <c r="N89" s="41"/>
    </row>
    <row r="90" spans="1:15" x14ac:dyDescent="0.25">
      <c r="F90" s="42"/>
    </row>
  </sheetData>
  <mergeCells count="1">
    <mergeCell ref="I4:M4"/>
  </mergeCells>
  <conditionalFormatting sqref="D4">
    <cfRule type="expression" dxfId="1" priority="1">
      <formula>$D$4&lt;&gt;$E$4</formula>
    </cfRule>
    <cfRule type="expression" dxfId="0" priority="2">
      <formula>$D$4=$E$4</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of Contents</vt:lpstr>
      <vt:lpstr>Category (2021)</vt:lpstr>
      <vt:lpstr>Category Detail (2021)</vt:lpstr>
      <vt:lpstr>Strategic Plan (2020-2024)</vt:lpstr>
      <vt:lpstr>Funding Shares</vt:lpstr>
      <vt:lpstr>Fuel Funding Splits</vt:lpstr>
      <vt:lpstr>NPCC Contribution</vt:lpstr>
      <vt:lpstr>Typical Rates</vt:lpstr>
      <vt:lpstr>WP Based on SP Amounts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Light</dc:creator>
  <cp:lastModifiedBy>Jennifer Light</cp:lastModifiedBy>
  <dcterms:created xsi:type="dcterms:W3CDTF">2019-06-06T15:04:15Z</dcterms:created>
  <dcterms:modified xsi:type="dcterms:W3CDTF">2020-08-28T00:18:44Z</dcterms:modified>
</cp:coreProperties>
</file>