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525" windowHeight="11640" activeTab="0"/>
  </bookViews>
  <sheets>
    <sheet name="DLC~WH" sheetId="1" r:id="rId1"/>
    <sheet name="SmartThermostat~Heat" sheetId="2" r:id="rId2"/>
    <sheet name="SmartThermostat~AC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pacappers</author>
  </authors>
  <commentList>
    <comment ref="A56" authorId="0">
      <text>
        <r>
          <rPr>
            <b/>
            <sz val="8"/>
            <rFont val="Tahoma"/>
            <family val="0"/>
          </rPr>
          <t>pacappers:</t>
        </r>
        <r>
          <rPr>
            <sz val="8"/>
            <rFont val="Tahoma"/>
            <family val="0"/>
          </rPr>
          <t xml:space="preserve">
Includes T&amp;D losses in capacity cost savings calculations.</t>
        </r>
      </text>
    </comment>
    <comment ref="A55" authorId="0">
      <text>
        <r>
          <rPr>
            <b/>
            <sz val="8"/>
            <rFont val="Tahoma"/>
            <family val="0"/>
          </rPr>
          <t>pacappers:</t>
        </r>
        <r>
          <rPr>
            <sz val="8"/>
            <rFont val="Tahoma"/>
            <family val="0"/>
          </rPr>
          <t xml:space="preserve">
Line losses are included in energy cost savings.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Drawn from evaluations of pilot and full-scale DR program offered in the Pacific Northwest. </t>
        </r>
      </text>
    </comment>
  </commentList>
</comments>
</file>

<file path=xl/comments2.xml><?xml version="1.0" encoding="utf-8"?>
<comments xmlns="http://schemas.openxmlformats.org/spreadsheetml/2006/main">
  <authors>
    <author>pacappers</author>
  </authors>
  <commentList>
    <comment ref="A20" authorId="0">
      <text>
        <r>
          <rPr>
            <b/>
            <sz val="8"/>
            <rFont val="Tahoma"/>
            <family val="0"/>
          </rPr>
          <t>pacappers:</t>
        </r>
        <r>
          <rPr>
            <sz val="8"/>
            <rFont val="Tahoma"/>
            <family val="0"/>
          </rPr>
          <t xml:space="preserve">
This value does not back out energy revenues from the levelized carrying cost of CT.</t>
        </r>
      </text>
    </comment>
    <comment ref="A56" authorId="0">
      <text>
        <r>
          <rPr>
            <b/>
            <sz val="8"/>
            <rFont val="Tahoma"/>
            <family val="0"/>
          </rPr>
          <t>pacappers:</t>
        </r>
        <r>
          <rPr>
            <sz val="8"/>
            <rFont val="Tahoma"/>
            <family val="0"/>
          </rPr>
          <t xml:space="preserve">
Includes T&amp;D losses in capacity cost savings calculations.</t>
        </r>
      </text>
    </comment>
    <comment ref="A55" authorId="0">
      <text>
        <r>
          <rPr>
            <b/>
            <sz val="8"/>
            <rFont val="Tahoma"/>
            <family val="0"/>
          </rPr>
          <t>pacappers:</t>
        </r>
        <r>
          <rPr>
            <sz val="8"/>
            <rFont val="Tahoma"/>
            <family val="0"/>
          </rPr>
          <t xml:space="preserve">
Line losses are included in energy cost savings.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Drawn from evaluations of pilot and full-scale DR program offered in the Pacific Northwest. </t>
        </r>
      </text>
    </comment>
  </commentList>
</comments>
</file>

<file path=xl/comments3.xml><?xml version="1.0" encoding="utf-8"?>
<comments xmlns="http://schemas.openxmlformats.org/spreadsheetml/2006/main">
  <authors>
    <author>pacappers</author>
  </authors>
  <commentList>
    <comment ref="A20" authorId="0">
      <text>
        <r>
          <rPr>
            <b/>
            <sz val="8"/>
            <rFont val="Tahoma"/>
            <family val="0"/>
          </rPr>
          <t>pacappers:</t>
        </r>
        <r>
          <rPr>
            <sz val="8"/>
            <rFont val="Tahoma"/>
            <family val="0"/>
          </rPr>
          <t xml:space="preserve">
This value does not back out energy revenues from the levelized carrying cost of CT.</t>
        </r>
      </text>
    </comment>
    <comment ref="A56" authorId="0">
      <text>
        <r>
          <rPr>
            <b/>
            <sz val="8"/>
            <rFont val="Tahoma"/>
            <family val="0"/>
          </rPr>
          <t>pacappers:</t>
        </r>
        <r>
          <rPr>
            <sz val="8"/>
            <rFont val="Tahoma"/>
            <family val="0"/>
          </rPr>
          <t xml:space="preserve">
Includes T&amp;D losses in capacity cost savings calculations.</t>
        </r>
      </text>
    </comment>
    <comment ref="A55" authorId="0">
      <text>
        <r>
          <rPr>
            <b/>
            <sz val="8"/>
            <rFont val="Tahoma"/>
            <family val="0"/>
          </rPr>
          <t>pacappers:</t>
        </r>
        <r>
          <rPr>
            <sz val="8"/>
            <rFont val="Tahoma"/>
            <family val="0"/>
          </rPr>
          <t xml:space="preserve">
Line losses are included in energy cost savings.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Drawn from evaluations of pilot and full-scale DR program offered in the Pacific Northwest. </t>
        </r>
      </text>
    </comment>
  </commentList>
</comments>
</file>

<file path=xl/sharedStrings.xml><?xml version="1.0" encoding="utf-8"?>
<sst xmlns="http://schemas.openxmlformats.org/spreadsheetml/2006/main" count="269" uniqueCount="80">
  <si>
    <t>Annual Maintenance Costs ($/Cust-Yr)</t>
  </si>
  <si>
    <t>Annual Communications Costs ($/Cust-Yr)</t>
  </si>
  <si>
    <t>Annual Participant Incentive Costs ($/Cust-Yr)</t>
  </si>
  <si>
    <t>Back-Office Costs ($/Cust-Yr)</t>
  </si>
  <si>
    <t>Number of New Participants (Units)</t>
  </si>
  <si>
    <t>Annual Program Variable costs ($MM)</t>
  </si>
  <si>
    <t>Annual Program Administration Costs ($MM)</t>
  </si>
  <si>
    <t>Smart Thermostat ~ Electric Heating</t>
  </si>
  <si>
    <t>Benefit Cost Ratio</t>
  </si>
  <si>
    <t>Levelized Cost ($/kW-Year)</t>
  </si>
  <si>
    <t>Number of Total Participants (Units)</t>
  </si>
  <si>
    <t>Program Development Costs ($MM)</t>
  </si>
  <si>
    <t>Expected Peak Energy Reduction (kWh/Unit)</t>
  </si>
  <si>
    <t>Expected Off-Peak Energy Increase (kWh/Unit)</t>
  </si>
  <si>
    <t>Avoided Peak Energy Cost Savings ($/kWh)</t>
  </si>
  <si>
    <t>Peak Period Energy Reduction (MWh)</t>
  </si>
  <si>
    <t>Off-Peak Period Energy Increase (MWh)</t>
  </si>
  <si>
    <t>Avoided Off-Peak Energy Cost Savings ($/kWh)</t>
  </si>
  <si>
    <t>Output Table</t>
  </si>
  <si>
    <t>Number of Returning Participants (Units)</t>
  </si>
  <si>
    <t xml:space="preserve">Change in LOLP </t>
  </si>
  <si>
    <t>Net Benefits ($MM)</t>
  </si>
  <si>
    <t>Environmental Benefits ($/kWh</t>
  </si>
  <si>
    <t>Smart Thermostat ~ Air Conditioning</t>
  </si>
  <si>
    <t>Expected Event Participation</t>
  </si>
  <si>
    <t>Number of Reliability Event Hours per Year</t>
  </si>
  <si>
    <t>Utility System Characteristics</t>
  </si>
  <si>
    <t>DR Program Characteristics</t>
  </si>
  <si>
    <t>Benefits - Present Value ($MM)</t>
  </si>
  <si>
    <t>Costs - Present Value ($MM)</t>
  </si>
  <si>
    <t>Forecasted Retail Sales (GWh)</t>
  </si>
  <si>
    <t>Residential Retail Sales (GWh)</t>
  </si>
  <si>
    <t>System Annual Retail Sales (GWh)</t>
  </si>
  <si>
    <t>Reference Values</t>
  </si>
  <si>
    <t>Min</t>
  </si>
  <si>
    <t>Avg</t>
  </si>
  <si>
    <t>Median</t>
  </si>
  <si>
    <t>Max</t>
  </si>
  <si>
    <t>Value of Lost Load ($/kWh)</t>
  </si>
  <si>
    <t>Load @ Risk (%)</t>
  </si>
  <si>
    <t>System Peak Demand (MW)</t>
  </si>
  <si>
    <t>Year</t>
  </si>
  <si>
    <t>System Annual Retail Sales (MWh)</t>
  </si>
  <si>
    <t>1st Year Value</t>
  </si>
  <si>
    <t>CAGR</t>
  </si>
  <si>
    <t>Expected Peak Demand Reduction (kW/Unit)</t>
  </si>
  <si>
    <t>Avoided Capacity Cost Savings ($/kW-Year)</t>
  </si>
  <si>
    <t>Avoided T&amp;D System Cost Savings ($/kW-Year)</t>
  </si>
  <si>
    <t>Year Index</t>
  </si>
  <si>
    <t>Capacity Reduction (MW)</t>
  </si>
  <si>
    <t>Avoided Energy Cost Savings ($MM)</t>
  </si>
  <si>
    <t>Avoided Capacity Cost Savings ($MM)</t>
  </si>
  <si>
    <t>Avoided T&amp;D System Cost Savings ($MM)</t>
  </si>
  <si>
    <t>Environmental Benefits ($MM)</t>
  </si>
  <si>
    <t>Reliability Benefits ($MM)</t>
  </si>
  <si>
    <t>First Year</t>
  </si>
  <si>
    <t>Model Inputs</t>
  </si>
  <si>
    <t>Benefits</t>
  </si>
  <si>
    <t>Costs</t>
  </si>
  <si>
    <t>Discount Rate</t>
  </si>
  <si>
    <t>Forecasted Peak Demand  (MW)</t>
  </si>
  <si>
    <t>Total ($MM)</t>
  </si>
  <si>
    <t>N/A</t>
  </si>
  <si>
    <t>Program Ramp up-Period (Years)</t>
  </si>
  <si>
    <t>Residential Proportion</t>
  </si>
  <si>
    <t>Residential Peak Demand (MW)</t>
  </si>
  <si>
    <t>Proportion of Class Retail Sales (%)</t>
  </si>
  <si>
    <t>Proportion of Class Peak Demand (%)</t>
  </si>
  <si>
    <t>Number of Event Hours per Year</t>
  </si>
  <si>
    <t>Expected Number of Steady-State Units</t>
  </si>
  <si>
    <t>Annual Program Administration Costs ($/Yr)</t>
  </si>
  <si>
    <t>Customer Acquisition Costs ($MM)</t>
  </si>
  <si>
    <t>PV</t>
  </si>
  <si>
    <t>Direct Load Control - Water Heater Program</t>
  </si>
  <si>
    <t>Average T&amp;D Loss Factor</t>
  </si>
  <si>
    <t>Expected Attrition Rate (%)</t>
  </si>
  <si>
    <t>Program Development Costs ($)</t>
  </si>
  <si>
    <t>Technology Costs ($/Cust-Yr)</t>
  </si>
  <si>
    <t>Metering Costs ($/Cust-Yr)</t>
  </si>
  <si>
    <t>Sign-Up Incentive Costs ($/Cust-Yr)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</si>
</sst>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"/>
    <numFmt numFmtId="168" formatCode="&quot;$&quot;#,##0.000"/>
    <numFmt numFmtId="169" formatCode="0.000"/>
    <numFmt numFmtId="170" formatCode="0.0%"/>
    <numFmt numFmtId="171" formatCode="&quot;$&quot;#,##0.0000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000"/>
    <numFmt numFmtId="177" formatCode="&quot;$&quot;#,##0.000000"/>
    <numFmt numFmtId="178" formatCode="&quot;$&quot;#,##0.0000000"/>
    <numFmt numFmtId="179" formatCode="[$-409]dddd\,\ mmmm\ dd\,\ yyyy"/>
    <numFmt numFmtId="180" formatCode="&quot;$&quot;#,##0.0_);[Red]\(&quot;$&quot;#,##0.0\)"/>
    <numFmt numFmtId="181" formatCode="&quot;$&quot;#,##0.00000000"/>
    <numFmt numFmtId="182" formatCode="0.0000"/>
    <numFmt numFmtId="183" formatCode="#,##0.0"/>
    <numFmt numFmtId="184" formatCode="&quot;$&quot;#,##0.000_);[Red]\(&quot;$&quot;#,##0.000\)"/>
    <numFmt numFmtId="185" formatCode="&quot;$&quot;#,##0.0000_);[Red]\(&quot;$&quot;#,##0.0000\)"/>
  </numFmts>
  <fonts count="2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color indexed="9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8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left"/>
    </xf>
    <xf numFmtId="8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70" fontId="8" fillId="0" borderId="0" xfId="21" applyNumberFormat="1" applyFont="1" applyAlignment="1">
      <alignment/>
    </xf>
    <xf numFmtId="2" fontId="8" fillId="0" borderId="0" xfId="0" applyNumberFormat="1" applyFont="1" applyAlignment="1">
      <alignment/>
    </xf>
    <xf numFmtId="0" fontId="12" fillId="4" borderId="0" xfId="0" applyFont="1" applyFill="1" applyAlignment="1">
      <alignment horizontal="right"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 horizontal="right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/>
    </xf>
    <xf numFmtId="0" fontId="7" fillId="4" borderId="0" xfId="0" applyFont="1" applyFill="1" applyBorder="1" applyAlignment="1">
      <alignment horizontal="right"/>
    </xf>
    <xf numFmtId="8" fontId="12" fillId="4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7" fillId="4" borderId="0" xfId="0" applyFont="1" applyFill="1" applyAlignment="1">
      <alignment horizontal="right"/>
    </xf>
    <xf numFmtId="0" fontId="14" fillId="4" borderId="0" xfId="0" applyFont="1" applyFill="1" applyBorder="1" applyAlignment="1">
      <alignment horizontal="right"/>
    </xf>
    <xf numFmtId="8" fontId="17" fillId="4" borderId="0" xfId="0" applyNumberFormat="1" applyFont="1" applyFill="1" applyAlignment="1">
      <alignment/>
    </xf>
    <xf numFmtId="2" fontId="14" fillId="4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right"/>
    </xf>
    <xf numFmtId="8" fontId="16" fillId="0" borderId="0" xfId="0" applyNumberFormat="1" applyFont="1" applyAlignment="1">
      <alignment/>
    </xf>
    <xf numFmtId="0" fontId="8" fillId="0" borderId="0" xfId="0" applyFont="1" applyFill="1" applyAlignment="1">
      <alignment horizontal="right"/>
    </xf>
    <xf numFmtId="164" fontId="8" fillId="0" borderId="0" xfId="0" applyNumberFormat="1" applyFont="1" applyFill="1" applyAlignment="1">
      <alignment/>
    </xf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180" fontId="17" fillId="4" borderId="0" xfId="0" applyNumberFormat="1" applyFont="1" applyFill="1" applyAlignment="1">
      <alignment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 wrapText="1"/>
    </xf>
    <xf numFmtId="169" fontId="11" fillId="2" borderId="0" xfId="0" applyNumberFormat="1" applyFont="1" applyFill="1" applyAlignment="1">
      <alignment horizontal="right"/>
    </xf>
    <xf numFmtId="9" fontId="15" fillId="0" borderId="0" xfId="21" applyFont="1" applyAlignment="1">
      <alignment/>
    </xf>
    <xf numFmtId="0" fontId="11" fillId="5" borderId="0" xfId="0" applyFont="1" applyFill="1" applyAlignment="1">
      <alignment horizontal="right" wrapText="1"/>
    </xf>
    <xf numFmtId="3" fontId="11" fillId="5" borderId="0" xfId="0" applyNumberFormat="1" applyFont="1" applyFill="1" applyAlignment="1">
      <alignment horizontal="right"/>
    </xf>
    <xf numFmtId="9" fontId="11" fillId="5" borderId="0" xfId="21" applyFont="1" applyFill="1" applyAlignment="1">
      <alignment horizontal="right"/>
    </xf>
    <xf numFmtId="169" fontId="11" fillId="5" borderId="0" xfId="0" applyNumberFormat="1" applyFont="1" applyFill="1" applyAlignment="1">
      <alignment horizontal="right"/>
    </xf>
    <xf numFmtId="168" fontId="11" fillId="5" borderId="0" xfId="0" applyNumberFormat="1" applyFont="1" applyFill="1" applyAlignment="1">
      <alignment horizontal="right"/>
    </xf>
    <xf numFmtId="164" fontId="11" fillId="5" borderId="0" xfId="0" applyNumberFormat="1" applyFont="1" applyFill="1" applyAlignment="1">
      <alignment horizontal="right"/>
    </xf>
    <xf numFmtId="2" fontId="11" fillId="5" borderId="0" xfId="0" applyNumberFormat="1" applyFont="1" applyFill="1" applyAlignment="1">
      <alignment horizontal="right"/>
    </xf>
    <xf numFmtId="166" fontId="11" fillId="5" borderId="0" xfId="0" applyNumberFormat="1" applyFont="1" applyFill="1" applyAlignment="1">
      <alignment horizontal="right"/>
    </xf>
    <xf numFmtId="10" fontId="11" fillId="5" borderId="0" xfId="0" applyNumberFormat="1" applyFont="1" applyFill="1" applyAlignment="1">
      <alignment horizontal="right"/>
    </xf>
    <xf numFmtId="0" fontId="11" fillId="5" borderId="0" xfId="0" applyFont="1" applyFill="1" applyAlignment="1">
      <alignment horizontal="right"/>
    </xf>
    <xf numFmtId="170" fontId="11" fillId="5" borderId="0" xfId="0" applyNumberFormat="1" applyFont="1" applyFill="1" applyAlignment="1">
      <alignment horizontal="right"/>
    </xf>
    <xf numFmtId="0" fontId="19" fillId="2" borderId="1" xfId="0" applyFont="1" applyFill="1" applyBorder="1" applyAlignment="1">
      <alignment horizontal="right"/>
    </xf>
    <xf numFmtId="0" fontId="19" fillId="2" borderId="0" xfId="0" applyFont="1" applyFill="1" applyAlignment="1">
      <alignment horizontal="right"/>
    </xf>
    <xf numFmtId="1" fontId="11" fillId="5" borderId="0" xfId="0" applyNumberFormat="1" applyFont="1" applyFill="1" applyAlignment="1">
      <alignment horizontal="right"/>
    </xf>
    <xf numFmtId="167" fontId="11" fillId="5" borderId="0" xfId="0" applyNumberFormat="1" applyFont="1" applyFill="1" applyAlignment="1">
      <alignment horizontal="right"/>
    </xf>
    <xf numFmtId="0" fontId="5" fillId="6" borderId="0" xfId="0" applyFont="1" applyFill="1" applyAlignment="1">
      <alignment horizontal="center"/>
    </xf>
    <xf numFmtId="0" fontId="0" fillId="6" borderId="2" xfId="0" applyFill="1" applyBorder="1" applyAlignment="1">
      <alignment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/>
    </xf>
    <xf numFmtId="166" fontId="0" fillId="6" borderId="0" xfId="0" applyNumberFormat="1" applyFill="1" applyBorder="1" applyAlignment="1">
      <alignment/>
    </xf>
    <xf numFmtId="0" fontId="11" fillId="6" borderId="2" xfId="0" applyFont="1" applyFill="1" applyBorder="1" applyAlignment="1">
      <alignment horizontal="left"/>
    </xf>
    <xf numFmtId="0" fontId="11" fillId="6" borderId="2" xfId="0" applyFont="1" applyFill="1" applyBorder="1" applyAlignment="1">
      <alignment/>
    </xf>
    <xf numFmtId="0" fontId="11" fillId="6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/>
    </xf>
    <xf numFmtId="0" fontId="11" fillId="7" borderId="0" xfId="0" applyFont="1" applyFill="1" applyAlignment="1">
      <alignment/>
    </xf>
    <xf numFmtId="1" fontId="11" fillId="7" borderId="0" xfId="0" applyNumberFormat="1" applyFont="1" applyFill="1" applyAlignment="1">
      <alignment horizontal="center"/>
    </xf>
    <xf numFmtId="3" fontId="11" fillId="7" borderId="0" xfId="15" applyNumberFormat="1" applyFont="1" applyFill="1" applyAlignment="1">
      <alignment horizontal="center"/>
    </xf>
    <xf numFmtId="9" fontId="11" fillId="7" borderId="0" xfId="21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169" fontId="11" fillId="7" borderId="0" xfId="0" applyNumberFormat="1" applyFont="1" applyFill="1" applyAlignment="1">
      <alignment horizontal="center"/>
    </xf>
    <xf numFmtId="168" fontId="11" fillId="7" borderId="0" xfId="0" applyNumberFormat="1" applyFont="1" applyFill="1" applyAlignment="1">
      <alignment horizontal="center"/>
    </xf>
    <xf numFmtId="167" fontId="11" fillId="7" borderId="0" xfId="0" applyNumberFormat="1" applyFont="1" applyFill="1" applyAlignment="1">
      <alignment horizontal="center"/>
    </xf>
    <xf numFmtId="164" fontId="11" fillId="7" borderId="0" xfId="0" applyNumberFormat="1" applyFont="1" applyFill="1" applyAlignment="1">
      <alignment horizontal="center"/>
    </xf>
    <xf numFmtId="2" fontId="11" fillId="7" borderId="0" xfId="0" applyNumberFormat="1" applyFont="1" applyFill="1" applyAlignment="1">
      <alignment horizontal="center"/>
    </xf>
    <xf numFmtId="166" fontId="11" fillId="7" borderId="0" xfId="0" applyNumberFormat="1" applyFont="1" applyFill="1" applyAlignment="1">
      <alignment horizontal="center"/>
    </xf>
    <xf numFmtId="0" fontId="11" fillId="7" borderId="0" xfId="0" applyFont="1" applyFill="1" applyAlignment="1">
      <alignment/>
    </xf>
    <xf numFmtId="1" fontId="11" fillId="7" borderId="0" xfId="0" applyNumberFormat="1" applyFont="1" applyFill="1" applyAlignment="1">
      <alignment horizontal="center"/>
    </xf>
    <xf numFmtId="3" fontId="11" fillId="7" borderId="0" xfId="15" applyNumberFormat="1" applyFont="1" applyFill="1" applyAlignment="1">
      <alignment horizontal="center"/>
    </xf>
    <xf numFmtId="9" fontId="11" fillId="7" borderId="0" xfId="21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169" fontId="11" fillId="7" borderId="0" xfId="0" applyNumberFormat="1" applyFont="1" applyFill="1" applyAlignment="1">
      <alignment horizontal="center"/>
    </xf>
    <xf numFmtId="168" fontId="11" fillId="7" borderId="0" xfId="0" applyNumberFormat="1" applyFont="1" applyFill="1" applyAlignment="1">
      <alignment horizontal="center"/>
    </xf>
    <xf numFmtId="167" fontId="11" fillId="7" borderId="0" xfId="0" applyNumberFormat="1" applyFont="1" applyFill="1" applyAlignment="1">
      <alignment horizontal="center"/>
    </xf>
    <xf numFmtId="164" fontId="11" fillId="7" borderId="0" xfId="0" applyNumberFormat="1" applyFont="1" applyFill="1" applyAlignment="1">
      <alignment horizontal="center"/>
    </xf>
    <xf numFmtId="2" fontId="11" fillId="7" borderId="0" xfId="0" applyNumberFormat="1" applyFont="1" applyFill="1" applyAlignment="1">
      <alignment horizontal="center"/>
    </xf>
    <xf numFmtId="166" fontId="11" fillId="7" borderId="0" xfId="0" applyNumberFormat="1" applyFont="1" applyFill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9" fillId="5" borderId="0" xfId="0" applyFont="1" applyFill="1" applyAlignment="1">
      <alignment horizontal="right"/>
    </xf>
    <xf numFmtId="0" fontId="19" fillId="5" borderId="1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right" wrapText="1"/>
    </xf>
    <xf numFmtId="0" fontId="19" fillId="5" borderId="1" xfId="0" applyFont="1" applyFill="1" applyBorder="1" applyAlignment="1">
      <alignment horizontal="right" wrapText="1"/>
    </xf>
    <xf numFmtId="0" fontId="19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0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="60" zoomScaleNormal="60" workbookViewId="0" topLeftCell="A1">
      <pane xSplit="1" ySplit="37" topLeftCell="C38" activePane="bottomRight" state="frozen"/>
      <selection pane="topLeft" activeCell="A1" sqref="A1"/>
      <selection pane="topRight" activeCell="B1" sqref="B1"/>
      <selection pane="bottomLeft" activeCell="A34" sqref="A34"/>
      <selection pane="bottomRight" activeCell="H1" sqref="H1:W16384"/>
    </sheetView>
  </sheetViews>
  <sheetFormatPr defaultColWidth="8.8515625" defaultRowHeight="12.75"/>
  <cols>
    <col min="1" max="1" width="45.7109375" style="0" customWidth="1"/>
    <col min="2" max="7" width="10.7109375" style="0" customWidth="1"/>
    <col min="8" max="23" width="9.7109375" style="0" customWidth="1"/>
    <col min="24" max="16384" width="11.421875" style="0" customWidth="1"/>
  </cols>
  <sheetData>
    <row r="1" spans="1:29" ht="30">
      <c r="A1" s="9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AC1" t="s">
        <v>18</v>
      </c>
    </row>
    <row r="2" spans="1:21" s="7" customFormat="1" ht="15.75">
      <c r="A2" s="56"/>
      <c r="B2" s="94" t="s">
        <v>43</v>
      </c>
      <c r="C2" s="91"/>
      <c r="D2" s="96" t="s">
        <v>33</v>
      </c>
      <c r="E2" s="96"/>
      <c r="F2" s="96"/>
      <c r="G2" s="96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>
      <c r="A3" s="55" t="s">
        <v>56</v>
      </c>
      <c r="B3" s="95"/>
      <c r="C3" s="92" t="s">
        <v>44</v>
      </c>
      <c r="D3" s="90" t="s">
        <v>34</v>
      </c>
      <c r="E3" s="90" t="s">
        <v>35</v>
      </c>
      <c r="F3" s="90" t="s">
        <v>36</v>
      </c>
      <c r="G3" s="90" t="s">
        <v>37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19" customFormat="1" ht="14.25">
      <c r="A4" s="40" t="s">
        <v>55</v>
      </c>
      <c r="B4" s="44">
        <v>2008</v>
      </c>
      <c r="C4" s="53" t="s">
        <v>62</v>
      </c>
      <c r="D4" s="68"/>
      <c r="E4" s="68"/>
      <c r="F4" s="68"/>
      <c r="G4" s="68"/>
      <c r="H4" s="98"/>
      <c r="I4" s="98"/>
      <c r="J4" s="98"/>
      <c r="K4" s="98"/>
      <c r="L4" s="98"/>
      <c r="M4" s="98"/>
      <c r="N4" s="98"/>
      <c r="O4" s="98"/>
      <c r="P4" s="98"/>
      <c r="Q4" s="98"/>
      <c r="R4" s="65"/>
      <c r="S4" s="65"/>
      <c r="T4" s="65"/>
      <c r="U4" s="65"/>
    </row>
    <row r="5" spans="1:21" s="19" customFormat="1" ht="14.25">
      <c r="A5" s="40" t="s">
        <v>42</v>
      </c>
      <c r="B5" s="45">
        <v>23000</v>
      </c>
      <c r="C5" s="54">
        <v>0.02</v>
      </c>
      <c r="D5" s="68"/>
      <c r="E5" s="68"/>
      <c r="F5" s="68"/>
      <c r="G5" s="68"/>
      <c r="H5" s="93"/>
      <c r="I5" s="93"/>
      <c r="J5" s="93"/>
      <c r="K5" s="93"/>
      <c r="L5" s="93"/>
      <c r="M5" s="93"/>
      <c r="N5" s="93"/>
      <c r="O5" s="93"/>
      <c r="P5" s="93"/>
      <c r="Q5" s="93"/>
      <c r="R5" s="67"/>
      <c r="S5" s="67"/>
      <c r="T5" s="67"/>
      <c r="U5" s="67"/>
    </row>
    <row r="6" spans="1:21" s="19" customFormat="1" ht="14.25">
      <c r="A6" s="40" t="s">
        <v>40</v>
      </c>
      <c r="B6" s="45">
        <v>4000</v>
      </c>
      <c r="C6" s="54">
        <v>0.022</v>
      </c>
      <c r="D6" s="68"/>
      <c r="E6" s="68"/>
      <c r="F6" s="68"/>
      <c r="G6" s="68"/>
      <c r="H6" s="93"/>
      <c r="I6" s="93"/>
      <c r="J6" s="93"/>
      <c r="K6" s="93"/>
      <c r="L6" s="93"/>
      <c r="M6" s="93"/>
      <c r="N6" s="93"/>
      <c r="O6" s="93"/>
      <c r="P6" s="93"/>
      <c r="Q6" s="93"/>
      <c r="R6" s="67"/>
      <c r="S6" s="67"/>
      <c r="T6" s="67"/>
      <c r="U6" s="67"/>
    </row>
    <row r="7" spans="1:21" s="19" customFormat="1" ht="14.25">
      <c r="A7" s="40" t="s">
        <v>74</v>
      </c>
      <c r="B7" s="46">
        <v>0.06</v>
      </c>
      <c r="C7" s="53" t="s">
        <v>62</v>
      </c>
      <c r="D7" s="68"/>
      <c r="E7" s="68"/>
      <c r="F7" s="68"/>
      <c r="G7" s="68"/>
      <c r="H7" s="93"/>
      <c r="I7" s="93"/>
      <c r="J7" s="93"/>
      <c r="K7" s="93"/>
      <c r="L7" s="93"/>
      <c r="M7" s="93"/>
      <c r="N7" s="93"/>
      <c r="O7" s="93"/>
      <c r="P7" s="93"/>
      <c r="Q7" s="93"/>
      <c r="R7" s="67"/>
      <c r="S7" s="67"/>
      <c r="T7" s="67"/>
      <c r="U7" s="67"/>
    </row>
    <row r="8" spans="1:21" s="19" customFormat="1" ht="14.25">
      <c r="A8" s="40" t="s">
        <v>64</v>
      </c>
      <c r="B8" s="46">
        <v>0.38</v>
      </c>
      <c r="C8" s="54">
        <v>0.01</v>
      </c>
      <c r="D8" s="68"/>
      <c r="E8" s="68"/>
      <c r="F8" s="68"/>
      <c r="G8" s="68"/>
      <c r="H8" s="93"/>
      <c r="I8" s="93"/>
      <c r="J8" s="93"/>
      <c r="K8" s="93"/>
      <c r="L8" s="93"/>
      <c r="M8" s="93"/>
      <c r="N8" s="93"/>
      <c r="O8" s="93"/>
      <c r="P8" s="93"/>
      <c r="Q8" s="93"/>
      <c r="R8" s="67"/>
      <c r="S8" s="67"/>
      <c r="T8" s="67"/>
      <c r="U8" s="67"/>
    </row>
    <row r="9" spans="1:21" s="19" customFormat="1" ht="14.25">
      <c r="A9" s="40" t="s">
        <v>63</v>
      </c>
      <c r="B9" s="45">
        <v>7</v>
      </c>
      <c r="C9" s="54" t="s">
        <v>62</v>
      </c>
      <c r="D9" s="69">
        <v>4</v>
      </c>
      <c r="E9" s="69">
        <v>6</v>
      </c>
      <c r="F9" s="69" t="s">
        <v>62</v>
      </c>
      <c r="G9" s="69">
        <v>10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67"/>
      <c r="S9" s="67"/>
      <c r="T9" s="67"/>
      <c r="U9" s="67"/>
    </row>
    <row r="10" spans="1:21" s="19" customFormat="1" ht="14.25">
      <c r="A10" s="40" t="s">
        <v>69</v>
      </c>
      <c r="B10" s="45">
        <v>30000</v>
      </c>
      <c r="C10" s="54" t="s">
        <v>62</v>
      </c>
      <c r="D10" s="70">
        <v>20000</v>
      </c>
      <c r="E10" s="70">
        <v>30000</v>
      </c>
      <c r="F10" s="70" t="s">
        <v>62</v>
      </c>
      <c r="G10" s="70">
        <v>40000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67"/>
      <c r="S10" s="67"/>
      <c r="T10" s="67"/>
      <c r="U10" s="67"/>
    </row>
    <row r="11" spans="1:21" s="19" customFormat="1" ht="14.25">
      <c r="A11" s="40" t="s">
        <v>75</v>
      </c>
      <c r="B11" s="46">
        <v>0.07</v>
      </c>
      <c r="C11" s="54" t="s">
        <v>62</v>
      </c>
      <c r="D11" s="71">
        <v>0.06</v>
      </c>
      <c r="E11" s="71">
        <v>0.07</v>
      </c>
      <c r="F11" s="70" t="s">
        <v>62</v>
      </c>
      <c r="G11" s="71">
        <v>0.08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67"/>
      <c r="S11" s="67"/>
      <c r="T11" s="67"/>
      <c r="U11" s="67"/>
    </row>
    <row r="12" spans="1:21" s="19" customFormat="1" ht="14.25">
      <c r="A12" s="40" t="s">
        <v>68</v>
      </c>
      <c r="B12" s="45">
        <v>60</v>
      </c>
      <c r="C12" s="54" t="s">
        <v>62</v>
      </c>
      <c r="D12" s="72">
        <v>8</v>
      </c>
      <c r="E12" s="72">
        <v>50</v>
      </c>
      <c r="F12" s="72">
        <v>40</v>
      </c>
      <c r="G12" s="72">
        <v>87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67"/>
      <c r="S12" s="67"/>
      <c r="T12" s="67"/>
      <c r="U12" s="67"/>
    </row>
    <row r="13" spans="1:21" s="19" customFormat="1" ht="14.25">
      <c r="A13" s="40" t="s">
        <v>25</v>
      </c>
      <c r="B13" s="45">
        <v>24</v>
      </c>
      <c r="C13" s="54" t="s">
        <v>62</v>
      </c>
      <c r="D13" s="72"/>
      <c r="E13" s="72"/>
      <c r="F13" s="72"/>
      <c r="G13" s="72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67"/>
      <c r="T13" s="67"/>
      <c r="U13" s="67"/>
    </row>
    <row r="14" spans="1:21" s="19" customFormat="1" ht="14.25">
      <c r="A14" s="40" t="s">
        <v>24</v>
      </c>
      <c r="B14" s="46">
        <v>0.95</v>
      </c>
      <c r="C14" s="54" t="s">
        <v>62</v>
      </c>
      <c r="D14" s="71">
        <v>0.68</v>
      </c>
      <c r="E14" s="71">
        <v>0.8875</v>
      </c>
      <c r="F14" s="71">
        <v>0.935</v>
      </c>
      <c r="G14" s="71">
        <v>1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  <c r="S14" s="67"/>
      <c r="T14" s="67"/>
      <c r="U14" s="67"/>
    </row>
    <row r="15" spans="1:21" s="19" customFormat="1" ht="14.25">
      <c r="A15" s="40" t="s">
        <v>12</v>
      </c>
      <c r="B15" s="57">
        <f>B17*B12</f>
        <v>60</v>
      </c>
      <c r="C15" s="54">
        <v>0</v>
      </c>
      <c r="D15" s="73"/>
      <c r="E15" s="73"/>
      <c r="F15" s="73"/>
      <c r="G15" s="7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67"/>
      <c r="S15" s="67"/>
      <c r="T15" s="67"/>
      <c r="U15" s="67"/>
    </row>
    <row r="16" spans="1:21" s="19" customFormat="1" ht="14.25">
      <c r="A16" s="40" t="s">
        <v>13</v>
      </c>
      <c r="B16" s="57">
        <f>B15</f>
        <v>60</v>
      </c>
      <c r="C16" s="54">
        <v>0</v>
      </c>
      <c r="D16" s="73"/>
      <c r="E16" s="73"/>
      <c r="F16" s="73"/>
      <c r="G16" s="73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7"/>
      <c r="T16" s="67"/>
      <c r="U16" s="67"/>
    </row>
    <row r="17" spans="1:21" s="19" customFormat="1" ht="14.25">
      <c r="A17" s="40" t="s">
        <v>45</v>
      </c>
      <c r="B17" s="47">
        <v>1</v>
      </c>
      <c r="C17" s="54">
        <v>0</v>
      </c>
      <c r="D17" s="73">
        <v>0.32</v>
      </c>
      <c r="E17" s="73">
        <v>0.8975</v>
      </c>
      <c r="F17" s="73">
        <v>0.635</v>
      </c>
      <c r="G17" s="73">
        <v>2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67"/>
      <c r="S17" s="67"/>
      <c r="T17" s="67"/>
      <c r="U17" s="67"/>
    </row>
    <row r="18" spans="1:21" s="19" customFormat="1" ht="14.25">
      <c r="A18" s="40" t="s">
        <v>14</v>
      </c>
      <c r="B18" s="48">
        <v>0.075</v>
      </c>
      <c r="C18" s="54">
        <v>0.02</v>
      </c>
      <c r="D18" s="74">
        <v>0.006</v>
      </c>
      <c r="E18" s="74">
        <v>0.075</v>
      </c>
      <c r="F18" s="74">
        <v>0.075</v>
      </c>
      <c r="G18" s="74">
        <v>0.09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67"/>
      <c r="S18" s="67"/>
      <c r="T18" s="67"/>
      <c r="U18" s="67"/>
    </row>
    <row r="19" spans="1:21" s="19" customFormat="1" ht="14.25">
      <c r="A19" s="40" t="s">
        <v>17</v>
      </c>
      <c r="B19" s="48">
        <v>0.045</v>
      </c>
      <c r="C19" s="54">
        <v>0.02</v>
      </c>
      <c r="D19" s="74">
        <v>0.006</v>
      </c>
      <c r="E19" s="74">
        <v>0.045</v>
      </c>
      <c r="F19" s="74">
        <v>0.045</v>
      </c>
      <c r="G19" s="74">
        <v>0.06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67"/>
      <c r="T19" s="67"/>
      <c r="U19" s="67"/>
    </row>
    <row r="20" spans="1:21" s="19" customFormat="1" ht="14.25">
      <c r="A20" s="40" t="s">
        <v>46</v>
      </c>
      <c r="B20" s="49">
        <v>80</v>
      </c>
      <c r="C20" s="54">
        <v>0.03</v>
      </c>
      <c r="D20" s="75">
        <v>25</v>
      </c>
      <c r="E20" s="75">
        <v>56.70666666666667</v>
      </c>
      <c r="F20" s="75">
        <v>67.5</v>
      </c>
      <c r="G20" s="75">
        <v>85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67"/>
      <c r="S20" s="67"/>
      <c r="T20" s="67"/>
      <c r="U20" s="67"/>
    </row>
    <row r="21" spans="1:21" s="19" customFormat="1" ht="14.25">
      <c r="A21" s="40" t="s">
        <v>47</v>
      </c>
      <c r="B21" s="49">
        <v>3</v>
      </c>
      <c r="C21" s="54">
        <v>0.03</v>
      </c>
      <c r="D21" s="75">
        <v>3</v>
      </c>
      <c r="E21" s="75">
        <v>15.2</v>
      </c>
      <c r="F21" s="75">
        <v>15.2</v>
      </c>
      <c r="G21" s="75">
        <v>25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67"/>
      <c r="S21" s="67"/>
      <c r="T21" s="67"/>
      <c r="U21" s="67"/>
    </row>
    <row r="22" spans="1:21" s="19" customFormat="1" ht="14.25">
      <c r="A22" s="40" t="s">
        <v>22</v>
      </c>
      <c r="B22" s="48">
        <v>0.0075</v>
      </c>
      <c r="C22" s="54">
        <v>0.02</v>
      </c>
      <c r="D22" s="74">
        <v>0.00030000000000000003</v>
      </c>
      <c r="E22" s="74">
        <v>0.006375</v>
      </c>
      <c r="F22" s="74">
        <v>0.0075</v>
      </c>
      <c r="G22" s="74">
        <v>0.010799999999999999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67"/>
      <c r="S22" s="67"/>
      <c r="T22" s="67"/>
      <c r="U22" s="67"/>
    </row>
    <row r="23" spans="1:21" s="19" customFormat="1" ht="14.25">
      <c r="A23" s="41" t="s">
        <v>38</v>
      </c>
      <c r="B23" s="49">
        <v>3</v>
      </c>
      <c r="C23" s="54">
        <v>0.02</v>
      </c>
      <c r="D23" s="76">
        <v>3</v>
      </c>
      <c r="E23" s="76">
        <v>4</v>
      </c>
      <c r="F23" s="76">
        <v>4</v>
      </c>
      <c r="G23" s="76">
        <v>5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67"/>
      <c r="S23" s="67"/>
      <c r="T23" s="67"/>
      <c r="U23" s="67"/>
    </row>
    <row r="24" spans="1:21" s="19" customFormat="1" ht="14.25">
      <c r="A24" s="41" t="s">
        <v>20</v>
      </c>
      <c r="B24" s="50">
        <v>0</v>
      </c>
      <c r="C24" s="54" t="s">
        <v>62</v>
      </c>
      <c r="D24" s="77">
        <v>0.05</v>
      </c>
      <c r="E24" s="77">
        <v>0.1</v>
      </c>
      <c r="F24" s="77">
        <v>0.1</v>
      </c>
      <c r="G24" s="77">
        <v>0.2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67"/>
      <c r="S24" s="67"/>
      <c r="T24" s="67"/>
      <c r="U24" s="67"/>
    </row>
    <row r="25" spans="1:21" s="19" customFormat="1" ht="14.25">
      <c r="A25" s="41" t="s">
        <v>39</v>
      </c>
      <c r="B25" s="46">
        <v>0.01</v>
      </c>
      <c r="C25" s="54" t="s">
        <v>62</v>
      </c>
      <c r="D25" s="71">
        <v>0.01</v>
      </c>
      <c r="E25" s="71">
        <v>0.03</v>
      </c>
      <c r="F25" s="71">
        <v>0.03</v>
      </c>
      <c r="G25" s="71">
        <v>0.05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67"/>
      <c r="S25" s="67"/>
      <c r="T25" s="67"/>
      <c r="U25" s="67"/>
    </row>
    <row r="26" spans="1:21" s="19" customFormat="1" ht="14.25">
      <c r="A26" s="42" t="s">
        <v>76</v>
      </c>
      <c r="B26" s="51">
        <v>100000</v>
      </c>
      <c r="C26" s="54" t="s">
        <v>62</v>
      </c>
      <c r="D26" s="78">
        <v>20000</v>
      </c>
      <c r="E26" s="78">
        <v>205000</v>
      </c>
      <c r="F26" s="78">
        <v>200000</v>
      </c>
      <c r="G26" s="78">
        <v>400000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67"/>
      <c r="S26" s="67"/>
      <c r="T26" s="67"/>
      <c r="U26" s="67"/>
    </row>
    <row r="27" spans="1:21" s="19" customFormat="1" ht="14.25">
      <c r="A27" s="40" t="s">
        <v>77</v>
      </c>
      <c r="B27" s="51">
        <v>175</v>
      </c>
      <c r="C27" s="54">
        <v>0.02</v>
      </c>
      <c r="D27" s="78">
        <v>175</v>
      </c>
      <c r="E27" s="78">
        <v>235.75</v>
      </c>
      <c r="F27" s="78">
        <v>234</v>
      </c>
      <c r="G27" s="78">
        <v>300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67"/>
      <c r="S27" s="67"/>
      <c r="T27" s="67"/>
      <c r="U27" s="67"/>
    </row>
    <row r="28" spans="1:21" s="19" customFormat="1" ht="14.25">
      <c r="A28" s="40" t="s">
        <v>78</v>
      </c>
      <c r="B28" s="51">
        <v>5</v>
      </c>
      <c r="C28" s="54">
        <v>0.02</v>
      </c>
      <c r="D28" s="78">
        <v>0</v>
      </c>
      <c r="E28" s="78">
        <v>21.25</v>
      </c>
      <c r="F28" s="78">
        <v>10</v>
      </c>
      <c r="G28" s="78">
        <v>65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67"/>
      <c r="S28" s="67"/>
      <c r="T28" s="67"/>
      <c r="U28" s="67"/>
    </row>
    <row r="29" spans="1:21" s="19" customFormat="1" ht="14.25">
      <c r="A29" s="40" t="s">
        <v>3</v>
      </c>
      <c r="B29" s="51">
        <v>25</v>
      </c>
      <c r="C29" s="54">
        <v>0.02</v>
      </c>
      <c r="D29" s="78">
        <v>25</v>
      </c>
      <c r="E29" s="78">
        <v>61.333333333333336</v>
      </c>
      <c r="F29" s="78">
        <v>35</v>
      </c>
      <c r="G29" s="78">
        <v>124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67"/>
      <c r="S29" s="67"/>
      <c r="T29" s="67"/>
      <c r="U29" s="67"/>
    </row>
    <row r="30" spans="1:21" s="19" customFormat="1" ht="14.25">
      <c r="A30" s="40" t="s">
        <v>79</v>
      </c>
      <c r="B30" s="51">
        <v>0</v>
      </c>
      <c r="C30" s="54">
        <v>0.02</v>
      </c>
      <c r="D30" s="78">
        <v>0</v>
      </c>
      <c r="E30" s="78">
        <v>13.75</v>
      </c>
      <c r="F30" s="78">
        <v>12.5</v>
      </c>
      <c r="G30" s="78">
        <v>30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67"/>
      <c r="S30" s="67"/>
      <c r="T30" s="67"/>
      <c r="U30" s="67"/>
    </row>
    <row r="31" spans="1:21" s="19" customFormat="1" ht="14.25">
      <c r="A31" s="40" t="s">
        <v>70</v>
      </c>
      <c r="B31" s="51">
        <v>60000</v>
      </c>
      <c r="C31" s="54">
        <v>0.02</v>
      </c>
      <c r="D31" s="78">
        <v>29500</v>
      </c>
      <c r="E31" s="78">
        <v>60625</v>
      </c>
      <c r="F31" s="78">
        <v>56500</v>
      </c>
      <c r="G31" s="78">
        <v>100000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67"/>
      <c r="S31" s="67"/>
      <c r="T31" s="67"/>
      <c r="U31" s="67"/>
    </row>
    <row r="32" spans="1:21" s="19" customFormat="1" ht="14.25">
      <c r="A32" s="40" t="s">
        <v>1</v>
      </c>
      <c r="B32" s="51">
        <v>7</v>
      </c>
      <c r="C32" s="54">
        <v>0.02</v>
      </c>
      <c r="D32" s="78">
        <v>1</v>
      </c>
      <c r="E32" s="78">
        <v>5.666666666666667</v>
      </c>
      <c r="F32" s="78">
        <v>7</v>
      </c>
      <c r="G32" s="78">
        <v>9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67"/>
      <c r="S32" s="67"/>
      <c r="T32" s="67"/>
      <c r="U32" s="67"/>
    </row>
    <row r="33" spans="1:21" s="19" customFormat="1" ht="14.25">
      <c r="A33" s="40" t="s">
        <v>0</v>
      </c>
      <c r="B33" s="51">
        <v>10</v>
      </c>
      <c r="C33" s="54">
        <v>0.02</v>
      </c>
      <c r="D33" s="78">
        <v>0</v>
      </c>
      <c r="E33" s="78">
        <v>15</v>
      </c>
      <c r="F33" s="78">
        <v>15</v>
      </c>
      <c r="G33" s="78">
        <v>30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67"/>
      <c r="S33" s="67"/>
      <c r="T33" s="67"/>
      <c r="U33" s="67"/>
    </row>
    <row r="34" spans="1:21" s="19" customFormat="1" ht="14.25">
      <c r="A34" s="40" t="s">
        <v>2</v>
      </c>
      <c r="B34" s="51">
        <v>20</v>
      </c>
      <c r="C34" s="54">
        <v>0.02</v>
      </c>
      <c r="D34" s="78">
        <v>20</v>
      </c>
      <c r="E34" s="78">
        <v>50.5</v>
      </c>
      <c r="F34" s="78">
        <v>55</v>
      </c>
      <c r="G34" s="78">
        <v>72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67"/>
      <c r="S34" s="67"/>
      <c r="T34" s="67"/>
      <c r="U34" s="67"/>
    </row>
    <row r="35" spans="1:21" s="19" customFormat="1" ht="14.25">
      <c r="A35" s="40" t="s">
        <v>59</v>
      </c>
      <c r="B35" s="52">
        <v>0.088</v>
      </c>
      <c r="C35" s="53"/>
      <c r="D35" s="72"/>
      <c r="E35" s="72"/>
      <c r="F35" s="72"/>
      <c r="G35" s="7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67"/>
      <c r="S35" s="67"/>
      <c r="T35" s="67"/>
      <c r="U35" s="67"/>
    </row>
    <row r="36" spans="1:21" ht="15.75">
      <c r="A36" s="16" t="s">
        <v>48</v>
      </c>
      <c r="B36" s="17">
        <v>1</v>
      </c>
      <c r="C36" s="17">
        <f aca="true" t="shared" si="0" ref="C36:K36">B36+1</f>
        <v>2</v>
      </c>
      <c r="D36" s="17">
        <f t="shared" si="0"/>
        <v>3</v>
      </c>
      <c r="E36" s="17">
        <f t="shared" si="0"/>
        <v>4</v>
      </c>
      <c r="F36" s="17">
        <f t="shared" si="0"/>
        <v>5</v>
      </c>
      <c r="G36" s="17">
        <f t="shared" si="0"/>
        <v>6</v>
      </c>
      <c r="H36" s="17">
        <f t="shared" si="0"/>
        <v>7</v>
      </c>
      <c r="I36" s="17">
        <f t="shared" si="0"/>
        <v>8</v>
      </c>
      <c r="J36" s="17">
        <f t="shared" si="0"/>
        <v>9</v>
      </c>
      <c r="K36" s="17">
        <f t="shared" si="0"/>
        <v>10</v>
      </c>
      <c r="L36" s="17">
        <f aca="true" t="shared" si="1" ref="L36:U36">K36+1</f>
        <v>11</v>
      </c>
      <c r="M36" s="17">
        <f t="shared" si="1"/>
        <v>12</v>
      </c>
      <c r="N36" s="17">
        <f t="shared" si="1"/>
        <v>13</v>
      </c>
      <c r="O36" s="17">
        <f t="shared" si="1"/>
        <v>14</v>
      </c>
      <c r="P36" s="17">
        <f t="shared" si="1"/>
        <v>15</v>
      </c>
      <c r="Q36" s="17">
        <f t="shared" si="1"/>
        <v>16</v>
      </c>
      <c r="R36" s="17">
        <f t="shared" si="1"/>
        <v>17</v>
      </c>
      <c r="S36" s="17">
        <f t="shared" si="1"/>
        <v>18</v>
      </c>
      <c r="T36" s="17">
        <f t="shared" si="1"/>
        <v>19</v>
      </c>
      <c r="U36" s="17">
        <f t="shared" si="1"/>
        <v>20</v>
      </c>
    </row>
    <row r="37" spans="1:21" ht="15.75">
      <c r="A37" s="16" t="s">
        <v>41</v>
      </c>
      <c r="B37" s="17">
        <f>B4</f>
        <v>2008</v>
      </c>
      <c r="C37" s="17">
        <f aca="true" t="shared" si="2" ref="C37:K37">B37+1</f>
        <v>2009</v>
      </c>
      <c r="D37" s="17">
        <f t="shared" si="2"/>
        <v>2010</v>
      </c>
      <c r="E37" s="17">
        <f t="shared" si="2"/>
        <v>2011</v>
      </c>
      <c r="F37" s="17">
        <f t="shared" si="2"/>
        <v>2012</v>
      </c>
      <c r="G37" s="17">
        <f t="shared" si="2"/>
        <v>2013</v>
      </c>
      <c r="H37" s="17">
        <f t="shared" si="2"/>
        <v>2014</v>
      </c>
      <c r="I37" s="17">
        <f t="shared" si="2"/>
        <v>2015</v>
      </c>
      <c r="J37" s="17">
        <f t="shared" si="2"/>
        <v>2016</v>
      </c>
      <c r="K37" s="17">
        <f t="shared" si="2"/>
        <v>2017</v>
      </c>
      <c r="L37" s="17">
        <f aca="true" t="shared" si="3" ref="L37:U37">K37+1</f>
        <v>2018</v>
      </c>
      <c r="M37" s="17">
        <f t="shared" si="3"/>
        <v>2019</v>
      </c>
      <c r="N37" s="17">
        <f t="shared" si="3"/>
        <v>2020</v>
      </c>
      <c r="O37" s="17">
        <f t="shared" si="3"/>
        <v>2021</v>
      </c>
      <c r="P37" s="17">
        <f t="shared" si="3"/>
        <v>2022</v>
      </c>
      <c r="Q37" s="17">
        <f t="shared" si="3"/>
        <v>2023</v>
      </c>
      <c r="R37" s="17">
        <f t="shared" si="3"/>
        <v>2024</v>
      </c>
      <c r="S37" s="17">
        <f t="shared" si="3"/>
        <v>2025</v>
      </c>
      <c r="T37" s="17">
        <f t="shared" si="3"/>
        <v>2026</v>
      </c>
      <c r="U37" s="17">
        <f t="shared" si="3"/>
        <v>2027</v>
      </c>
    </row>
    <row r="38" ht="18.75">
      <c r="A38" s="18" t="s">
        <v>26</v>
      </c>
    </row>
    <row r="39" spans="1:21" ht="15">
      <c r="A39" s="11" t="s">
        <v>30</v>
      </c>
      <c r="B39" s="12">
        <f>($B5*((1+$C5)^(B$36-1)))</f>
        <v>23000</v>
      </c>
      <c r="C39" s="12">
        <f aca="true" t="shared" si="4" ref="C39:U39">($B5*((1+$C5)^(C$36-1)))</f>
        <v>23460</v>
      </c>
      <c r="D39" s="12">
        <f t="shared" si="4"/>
        <v>23929.2</v>
      </c>
      <c r="E39" s="12">
        <f t="shared" si="4"/>
        <v>24407.784</v>
      </c>
      <c r="F39" s="12">
        <f t="shared" si="4"/>
        <v>24895.93968</v>
      </c>
      <c r="G39" s="12">
        <f t="shared" si="4"/>
        <v>25393.8584736</v>
      </c>
      <c r="H39" s="12">
        <f t="shared" si="4"/>
        <v>25901.735643072003</v>
      </c>
      <c r="I39" s="12">
        <f t="shared" si="4"/>
        <v>26419.770355933437</v>
      </c>
      <c r="J39" s="12">
        <f t="shared" si="4"/>
        <v>26948.165763052108</v>
      </c>
      <c r="K39" s="12">
        <f t="shared" si="4"/>
        <v>27487.129078313148</v>
      </c>
      <c r="L39" s="12">
        <f t="shared" si="4"/>
        <v>28036.871659879413</v>
      </c>
      <c r="M39" s="12">
        <f t="shared" si="4"/>
        <v>28597.609093076997</v>
      </c>
      <c r="N39" s="12">
        <f t="shared" si="4"/>
        <v>29169.56127493854</v>
      </c>
      <c r="O39" s="12">
        <f t="shared" si="4"/>
        <v>29752.95250043731</v>
      </c>
      <c r="P39" s="12">
        <f t="shared" si="4"/>
        <v>30348.01155044606</v>
      </c>
      <c r="Q39" s="12">
        <f t="shared" si="4"/>
        <v>30954.971781454973</v>
      </c>
      <c r="R39" s="12">
        <f t="shared" si="4"/>
        <v>31574.071217084078</v>
      </c>
      <c r="S39" s="12">
        <f t="shared" si="4"/>
        <v>32205.552641425762</v>
      </c>
      <c r="T39" s="12">
        <f t="shared" si="4"/>
        <v>32849.663694254275</v>
      </c>
      <c r="U39" s="12">
        <f t="shared" si="4"/>
        <v>33506.65696813936</v>
      </c>
    </row>
    <row r="40" spans="1:21" ht="15">
      <c r="A40" s="11" t="s">
        <v>60</v>
      </c>
      <c r="B40" s="12">
        <f aca="true" t="shared" si="5" ref="B40:K40">$B6*((1+$C6)^(B$36-1))</f>
        <v>4000</v>
      </c>
      <c r="C40" s="12">
        <f t="shared" si="5"/>
        <v>4088</v>
      </c>
      <c r="D40" s="12">
        <f t="shared" si="5"/>
        <v>4177.936</v>
      </c>
      <c r="E40" s="12">
        <f t="shared" si="5"/>
        <v>4269.850592</v>
      </c>
      <c r="F40" s="12">
        <f t="shared" si="5"/>
        <v>4363.7873050240005</v>
      </c>
      <c r="G40" s="12">
        <f t="shared" si="5"/>
        <v>4459.7906257345285</v>
      </c>
      <c r="H40" s="12">
        <f t="shared" si="5"/>
        <v>4557.906019500687</v>
      </c>
      <c r="I40" s="12">
        <f t="shared" si="5"/>
        <v>4658.179951929703</v>
      </c>
      <c r="J40" s="12">
        <f t="shared" si="5"/>
        <v>4760.659910872157</v>
      </c>
      <c r="K40" s="12">
        <f t="shared" si="5"/>
        <v>4865.394428911344</v>
      </c>
      <c r="L40" s="12">
        <f aca="true" t="shared" si="6" ref="L40:U40">$B6*((1+$C6)^(L$36-1))</f>
        <v>4972.433106347394</v>
      </c>
      <c r="M40" s="12">
        <f t="shared" si="6"/>
        <v>5081.826634687037</v>
      </c>
      <c r="N40" s="12">
        <f t="shared" si="6"/>
        <v>5193.626820650152</v>
      </c>
      <c r="O40" s="12">
        <f t="shared" si="6"/>
        <v>5307.886610704455</v>
      </c>
      <c r="P40" s="12">
        <f t="shared" si="6"/>
        <v>5424.660116139952</v>
      </c>
      <c r="Q40" s="12">
        <f t="shared" si="6"/>
        <v>5544.002638695032</v>
      </c>
      <c r="R40" s="12">
        <f t="shared" si="6"/>
        <v>5665.970696746323</v>
      </c>
      <c r="S40" s="12">
        <f t="shared" si="6"/>
        <v>5790.622052074742</v>
      </c>
      <c r="T40" s="12">
        <f t="shared" si="6"/>
        <v>5918.015737220386</v>
      </c>
      <c r="U40" s="12">
        <f t="shared" si="6"/>
        <v>6048.212083439234</v>
      </c>
    </row>
    <row r="41" spans="1:21" ht="15">
      <c r="A41" s="11" t="s">
        <v>31</v>
      </c>
      <c r="B41" s="12">
        <f>B39*$B$8</f>
        <v>8740</v>
      </c>
      <c r="C41" s="12">
        <f aca="true" t="shared" si="7" ref="C41:K41">C39*$B$8</f>
        <v>8914.8</v>
      </c>
      <c r="D41" s="12">
        <f t="shared" si="7"/>
        <v>9093.096</v>
      </c>
      <c r="E41" s="12">
        <f t="shared" si="7"/>
        <v>9274.95792</v>
      </c>
      <c r="F41" s="12">
        <f t="shared" si="7"/>
        <v>9460.4570784</v>
      </c>
      <c r="G41" s="12">
        <f t="shared" si="7"/>
        <v>9649.666219968001</v>
      </c>
      <c r="H41" s="12">
        <f t="shared" si="7"/>
        <v>9842.659544367361</v>
      </c>
      <c r="I41" s="12">
        <f t="shared" si="7"/>
        <v>10039.512735254706</v>
      </c>
      <c r="J41" s="12">
        <f t="shared" si="7"/>
        <v>10240.3029899598</v>
      </c>
      <c r="K41" s="12">
        <f t="shared" si="7"/>
        <v>10445.109049758996</v>
      </c>
      <c r="L41" s="12">
        <f aca="true" t="shared" si="8" ref="L41:U41">L39*$B$8</f>
        <v>10654.011230754177</v>
      </c>
      <c r="M41" s="12">
        <f t="shared" si="8"/>
        <v>10867.091455369258</v>
      </c>
      <c r="N41" s="12">
        <f t="shared" si="8"/>
        <v>11084.433284476645</v>
      </c>
      <c r="O41" s="12">
        <f t="shared" si="8"/>
        <v>11306.121950166178</v>
      </c>
      <c r="P41" s="12">
        <f t="shared" si="8"/>
        <v>11532.244389169502</v>
      </c>
      <c r="Q41" s="12">
        <f t="shared" si="8"/>
        <v>11762.88927695289</v>
      </c>
      <c r="R41" s="12">
        <f t="shared" si="8"/>
        <v>11998.14706249195</v>
      </c>
      <c r="S41" s="12">
        <f t="shared" si="8"/>
        <v>12238.11000374179</v>
      </c>
      <c r="T41" s="12">
        <f t="shared" si="8"/>
        <v>12482.872203816625</v>
      </c>
      <c r="U41" s="12">
        <f t="shared" si="8"/>
        <v>12732.529647892956</v>
      </c>
    </row>
    <row r="42" spans="1:21" ht="15">
      <c r="A42" s="11" t="s">
        <v>65</v>
      </c>
      <c r="B42" s="12">
        <f>B40*$B$8</f>
        <v>1520</v>
      </c>
      <c r="C42" s="12">
        <f aca="true" t="shared" si="9" ref="C42:K42">C40*$B$8</f>
        <v>1553.44</v>
      </c>
      <c r="D42" s="12">
        <f t="shared" si="9"/>
        <v>1587.6156799999999</v>
      </c>
      <c r="E42" s="12">
        <f t="shared" si="9"/>
        <v>1622.5432249599999</v>
      </c>
      <c r="F42" s="12">
        <f t="shared" si="9"/>
        <v>1658.2391759091201</v>
      </c>
      <c r="G42" s="12">
        <f t="shared" si="9"/>
        <v>1694.7204377791209</v>
      </c>
      <c r="H42" s="12">
        <f t="shared" si="9"/>
        <v>1732.004287410261</v>
      </c>
      <c r="I42" s="12">
        <f t="shared" si="9"/>
        <v>1770.1083817332872</v>
      </c>
      <c r="J42" s="12">
        <f t="shared" si="9"/>
        <v>1809.0507661314196</v>
      </c>
      <c r="K42" s="12">
        <f t="shared" si="9"/>
        <v>1848.8498829863108</v>
      </c>
      <c r="L42" s="12">
        <f aca="true" t="shared" si="10" ref="L42:U42">L40*$B$8</f>
        <v>1889.5245804120095</v>
      </c>
      <c r="M42" s="12">
        <f t="shared" si="10"/>
        <v>1931.0941211810741</v>
      </c>
      <c r="N42" s="12">
        <f t="shared" si="10"/>
        <v>1973.5781918470577</v>
      </c>
      <c r="O42" s="12">
        <f t="shared" si="10"/>
        <v>2016.9969120676928</v>
      </c>
      <c r="P42" s="12">
        <f t="shared" si="10"/>
        <v>2061.370844133182</v>
      </c>
      <c r="Q42" s="12">
        <f t="shared" si="10"/>
        <v>2106.7210027041124</v>
      </c>
      <c r="R42" s="12">
        <f t="shared" si="10"/>
        <v>2153.0688647636025</v>
      </c>
      <c r="S42" s="12">
        <f t="shared" si="10"/>
        <v>2200.436379788402</v>
      </c>
      <c r="T42" s="12">
        <f t="shared" si="10"/>
        <v>2248.8459801437466</v>
      </c>
      <c r="U42" s="12">
        <f t="shared" si="10"/>
        <v>2298.320591706909</v>
      </c>
    </row>
    <row r="43" ht="12.75">
      <c r="A43" s="4"/>
    </row>
    <row r="44" ht="18.75">
      <c r="A44" s="18" t="s">
        <v>27</v>
      </c>
    </row>
    <row r="45" spans="1:21" ht="15">
      <c r="A45" s="11" t="s">
        <v>4</v>
      </c>
      <c r="B45" s="12">
        <f aca="true" t="shared" si="11" ref="B45:U45">IF(B$36&lt;=$B$9,(1/$B$9)*$B$10,$C$6*A47)+(IF(B$36=1,0,$B$11*A$47))</f>
        <v>4285.714285714285</v>
      </c>
      <c r="C45" s="12">
        <f t="shared" si="11"/>
        <v>4585.714285714285</v>
      </c>
      <c r="D45" s="12">
        <f t="shared" si="11"/>
        <v>4885.714285714285</v>
      </c>
      <c r="E45" s="12">
        <f t="shared" si="11"/>
        <v>5185.714285714285</v>
      </c>
      <c r="F45" s="12">
        <f t="shared" si="11"/>
        <v>5485.714285714285</v>
      </c>
      <c r="G45" s="12">
        <f t="shared" si="11"/>
        <v>5785.714285714285</v>
      </c>
      <c r="H45" s="12">
        <f t="shared" si="11"/>
        <v>6085.714285714285</v>
      </c>
      <c r="I45" s="12">
        <f t="shared" si="11"/>
        <v>2760</v>
      </c>
      <c r="J45" s="12">
        <f t="shared" si="11"/>
        <v>2820.72</v>
      </c>
      <c r="K45" s="12">
        <f t="shared" si="11"/>
        <v>2882.77584</v>
      </c>
      <c r="L45" s="12">
        <f t="shared" si="11"/>
        <v>2946.19690848</v>
      </c>
      <c r="M45" s="12">
        <f t="shared" si="11"/>
        <v>3011.0132404665596</v>
      </c>
      <c r="N45" s="12">
        <f t="shared" si="11"/>
        <v>3077.2555317568235</v>
      </c>
      <c r="O45" s="12">
        <f t="shared" si="11"/>
        <v>3144.9551534554735</v>
      </c>
      <c r="P45" s="12">
        <f t="shared" si="11"/>
        <v>3214.1441668314937</v>
      </c>
      <c r="Q45" s="12">
        <f t="shared" si="11"/>
        <v>3284.8553385017863</v>
      </c>
      <c r="R45" s="12">
        <f t="shared" si="11"/>
        <v>3357.122155948826</v>
      </c>
      <c r="S45" s="12">
        <f t="shared" si="11"/>
        <v>3430.9788433797</v>
      </c>
      <c r="T45" s="12">
        <f t="shared" si="11"/>
        <v>3506.460377934053</v>
      </c>
      <c r="U45" s="12">
        <f t="shared" si="11"/>
        <v>3583.6025062486024</v>
      </c>
    </row>
    <row r="46" spans="1:21" ht="15">
      <c r="A46" s="11" t="s">
        <v>19</v>
      </c>
      <c r="B46" s="12">
        <v>0</v>
      </c>
      <c r="C46" s="12">
        <f>(1-$B$11)*B47</f>
        <v>3985.714285714285</v>
      </c>
      <c r="D46" s="12">
        <f aca="true" t="shared" si="12" ref="D46:U46">(1-$B$11)*C47</f>
        <v>7971.42857142857</v>
      </c>
      <c r="E46" s="12">
        <f t="shared" si="12"/>
        <v>11957.142857142855</v>
      </c>
      <c r="F46" s="12">
        <f t="shared" si="12"/>
        <v>15942.85714285714</v>
      </c>
      <c r="G46" s="12">
        <f t="shared" si="12"/>
        <v>19928.571428571424</v>
      </c>
      <c r="H46" s="12">
        <f t="shared" si="12"/>
        <v>23914.28571428571</v>
      </c>
      <c r="I46" s="12">
        <f t="shared" si="12"/>
        <v>27899.999999999996</v>
      </c>
      <c r="J46" s="12">
        <f t="shared" si="12"/>
        <v>28513.799999999996</v>
      </c>
      <c r="K46" s="12">
        <f t="shared" si="12"/>
        <v>29141.103599999995</v>
      </c>
      <c r="L46" s="12">
        <f t="shared" si="12"/>
        <v>29782.207879199992</v>
      </c>
      <c r="M46" s="12">
        <f t="shared" si="12"/>
        <v>30437.41645254239</v>
      </c>
      <c r="N46" s="12">
        <f t="shared" si="12"/>
        <v>31107.03961449832</v>
      </c>
      <c r="O46" s="12">
        <f t="shared" si="12"/>
        <v>31791.39448601728</v>
      </c>
      <c r="P46" s="12">
        <f t="shared" si="12"/>
        <v>32490.80516470966</v>
      </c>
      <c r="Q46" s="12">
        <f t="shared" si="12"/>
        <v>33205.60287833327</v>
      </c>
      <c r="R46" s="12">
        <f t="shared" si="12"/>
        <v>33936.126141656605</v>
      </c>
      <c r="S46" s="12">
        <f t="shared" si="12"/>
        <v>34682.72091677305</v>
      </c>
      <c r="T46" s="12">
        <f t="shared" si="12"/>
        <v>35445.74077694205</v>
      </c>
      <c r="U46" s="12">
        <f t="shared" si="12"/>
        <v>36225.54707403478</v>
      </c>
    </row>
    <row r="47" spans="1:21" ht="15">
      <c r="A47" s="11" t="s">
        <v>10</v>
      </c>
      <c r="B47" s="12">
        <f>SUM(B45:B46)</f>
        <v>4285.714285714285</v>
      </c>
      <c r="C47" s="12">
        <f aca="true" t="shared" si="13" ref="C47:U47">SUM(C45:C46)</f>
        <v>8571.42857142857</v>
      </c>
      <c r="D47" s="12">
        <f t="shared" si="13"/>
        <v>12857.142857142855</v>
      </c>
      <c r="E47" s="12">
        <f t="shared" si="13"/>
        <v>17142.85714285714</v>
      </c>
      <c r="F47" s="12">
        <f t="shared" si="13"/>
        <v>21428.571428571424</v>
      </c>
      <c r="G47" s="12">
        <f t="shared" si="13"/>
        <v>25714.28571428571</v>
      </c>
      <c r="H47" s="12">
        <f t="shared" si="13"/>
        <v>29999.999999999996</v>
      </c>
      <c r="I47" s="12">
        <f t="shared" si="13"/>
        <v>30659.999999999996</v>
      </c>
      <c r="J47" s="12">
        <f t="shared" si="13"/>
        <v>31334.519999999997</v>
      </c>
      <c r="K47" s="12">
        <f t="shared" si="13"/>
        <v>32023.879439999993</v>
      </c>
      <c r="L47" s="12">
        <f t="shared" si="13"/>
        <v>32728.404787679992</v>
      </c>
      <c r="M47" s="12">
        <f t="shared" si="13"/>
        <v>33448.42969300895</v>
      </c>
      <c r="N47" s="12">
        <f t="shared" si="13"/>
        <v>34184.29514625514</v>
      </c>
      <c r="O47" s="12">
        <f t="shared" si="13"/>
        <v>34936.349639472755</v>
      </c>
      <c r="P47" s="12">
        <f t="shared" si="13"/>
        <v>35704.94933154115</v>
      </c>
      <c r="Q47" s="12">
        <f t="shared" si="13"/>
        <v>36490.45821683506</v>
      </c>
      <c r="R47" s="12">
        <f t="shared" si="13"/>
        <v>37293.24829760543</v>
      </c>
      <c r="S47" s="12">
        <f t="shared" si="13"/>
        <v>38113.69976015275</v>
      </c>
      <c r="T47" s="12">
        <f t="shared" si="13"/>
        <v>38952.20115487611</v>
      </c>
      <c r="U47" s="12">
        <f t="shared" si="13"/>
        <v>39809.14958028338</v>
      </c>
    </row>
    <row r="48" spans="1:22" ht="15">
      <c r="A48" s="11" t="s">
        <v>15</v>
      </c>
      <c r="B48" s="13">
        <f>(($B15*(1+$C15)^(B$36-1))/1000)*B$47*$B$14</f>
        <v>244.28571428571425</v>
      </c>
      <c r="C48" s="13">
        <f aca="true" t="shared" si="14" ref="C48:U49">(($B15*(1+$C15)^(C$36-1))/1000)*C$47*$B$14</f>
        <v>488.5714285714285</v>
      </c>
      <c r="D48" s="13">
        <f t="shared" si="14"/>
        <v>732.8571428571428</v>
      </c>
      <c r="E48" s="13">
        <f t="shared" si="14"/>
        <v>977.142857142857</v>
      </c>
      <c r="F48" s="13">
        <f t="shared" si="14"/>
        <v>1221.428571428571</v>
      </c>
      <c r="G48" s="13">
        <f t="shared" si="14"/>
        <v>1465.7142857142856</v>
      </c>
      <c r="H48" s="13">
        <f t="shared" si="14"/>
        <v>1709.9999999999998</v>
      </c>
      <c r="I48" s="13">
        <f t="shared" si="14"/>
        <v>1747.6199999999997</v>
      </c>
      <c r="J48" s="13">
        <f t="shared" si="14"/>
        <v>1786.0676399999995</v>
      </c>
      <c r="K48" s="13">
        <f t="shared" si="14"/>
        <v>1825.3611280799994</v>
      </c>
      <c r="L48" s="13">
        <f t="shared" si="14"/>
        <v>1865.5190728977593</v>
      </c>
      <c r="M48" s="13">
        <f t="shared" si="14"/>
        <v>1906.5604925015098</v>
      </c>
      <c r="N48" s="13">
        <f t="shared" si="14"/>
        <v>1948.504823336543</v>
      </c>
      <c r="O48" s="13">
        <f t="shared" si="14"/>
        <v>1991.371929449947</v>
      </c>
      <c r="P48" s="13">
        <f t="shared" si="14"/>
        <v>2035.1821118978457</v>
      </c>
      <c r="Q48" s="13">
        <f t="shared" si="14"/>
        <v>2079.9561183595983</v>
      </c>
      <c r="R48" s="13">
        <f t="shared" si="14"/>
        <v>2125.7151529635094</v>
      </c>
      <c r="S48" s="13">
        <f t="shared" si="14"/>
        <v>2172.480886328706</v>
      </c>
      <c r="T48" s="13">
        <f t="shared" si="14"/>
        <v>2220.275465827938</v>
      </c>
      <c r="U48" s="13">
        <f t="shared" si="14"/>
        <v>2269.121526076153</v>
      </c>
      <c r="V48" s="2">
        <f>SUM(B48:U48)</f>
        <v>32813.7363477195</v>
      </c>
    </row>
    <row r="49" spans="1:22" ht="15">
      <c r="A49" s="11" t="s">
        <v>16</v>
      </c>
      <c r="B49" s="13">
        <f>(($B16*(1+$C16)^(B$36-1))/1000)*B$47*$B$14</f>
        <v>244.28571428571425</v>
      </c>
      <c r="C49" s="13">
        <f t="shared" si="14"/>
        <v>488.5714285714285</v>
      </c>
      <c r="D49" s="13">
        <f t="shared" si="14"/>
        <v>732.8571428571428</v>
      </c>
      <c r="E49" s="13">
        <f t="shared" si="14"/>
        <v>977.142857142857</v>
      </c>
      <c r="F49" s="13">
        <f t="shared" si="14"/>
        <v>1221.428571428571</v>
      </c>
      <c r="G49" s="13">
        <f t="shared" si="14"/>
        <v>1465.7142857142856</v>
      </c>
      <c r="H49" s="13">
        <f t="shared" si="14"/>
        <v>1709.9999999999998</v>
      </c>
      <c r="I49" s="13">
        <f t="shared" si="14"/>
        <v>1747.6199999999997</v>
      </c>
      <c r="J49" s="13">
        <f t="shared" si="14"/>
        <v>1786.0676399999995</v>
      </c>
      <c r="K49" s="13">
        <f t="shared" si="14"/>
        <v>1825.3611280799994</v>
      </c>
      <c r="L49" s="13">
        <f t="shared" si="14"/>
        <v>1865.5190728977593</v>
      </c>
      <c r="M49" s="13">
        <f t="shared" si="14"/>
        <v>1906.5604925015098</v>
      </c>
      <c r="N49" s="13">
        <f t="shared" si="14"/>
        <v>1948.504823336543</v>
      </c>
      <c r="O49" s="13">
        <f t="shared" si="14"/>
        <v>1991.371929449947</v>
      </c>
      <c r="P49" s="13">
        <f t="shared" si="14"/>
        <v>2035.1821118978457</v>
      </c>
      <c r="Q49" s="13">
        <f t="shared" si="14"/>
        <v>2079.9561183595983</v>
      </c>
      <c r="R49" s="13">
        <f t="shared" si="14"/>
        <v>2125.7151529635094</v>
      </c>
      <c r="S49" s="13">
        <f t="shared" si="14"/>
        <v>2172.480886328706</v>
      </c>
      <c r="T49" s="13">
        <f t="shared" si="14"/>
        <v>2220.275465827938</v>
      </c>
      <c r="U49" s="13">
        <f t="shared" si="14"/>
        <v>2269.121526076153</v>
      </c>
      <c r="V49" s="2">
        <f>SUM(B49:U49)</f>
        <v>32813.7363477195</v>
      </c>
    </row>
    <row r="50" spans="1:21" ht="15">
      <c r="A50" s="11" t="s">
        <v>66</v>
      </c>
      <c r="B50" s="14">
        <f>B48/(B41*1000)</f>
        <v>2.7950310559006207E-05</v>
      </c>
      <c r="C50" s="14">
        <f aca="true" t="shared" si="15" ref="C50:U50">C48/(C41*1000)</f>
        <v>5.480453050785531E-05</v>
      </c>
      <c r="D50" s="14">
        <f t="shared" si="15"/>
        <v>8.059489780566958E-05</v>
      </c>
      <c r="E50" s="14">
        <f t="shared" si="15"/>
        <v>0.00010535280758911055</v>
      </c>
      <c r="F50" s="14">
        <f t="shared" si="15"/>
        <v>0.0001291088328297923</v>
      </c>
      <c r="G50" s="14">
        <f t="shared" si="15"/>
        <v>0.00015189274450563804</v>
      </c>
      <c r="H50" s="14">
        <f t="shared" si="15"/>
        <v>0.0001737335312972984</v>
      </c>
      <c r="I50" s="14">
        <f t="shared" si="15"/>
        <v>0.0001740741852802343</v>
      </c>
      <c r="J50" s="14">
        <f t="shared" si="15"/>
        <v>0.0001744155072121563</v>
      </c>
      <c r="K50" s="14">
        <f t="shared" si="15"/>
        <v>0.0001747574984027684</v>
      </c>
      <c r="L50" s="14">
        <f t="shared" si="15"/>
        <v>0.00017510016016434243</v>
      </c>
      <c r="M50" s="14">
        <f t="shared" si="15"/>
        <v>0.0001754434938117235</v>
      </c>
      <c r="N50" s="14">
        <f t="shared" si="15"/>
        <v>0.0001757875006623347</v>
      </c>
      <c r="O50" s="14">
        <f t="shared" si="15"/>
        <v>0.0001761321820361824</v>
      </c>
      <c r="P50" s="14">
        <f t="shared" si="15"/>
        <v>0.0001764775392558612</v>
      </c>
      <c r="Q50" s="14">
        <f t="shared" si="15"/>
        <v>0.000176823573646559</v>
      </c>
      <c r="R50" s="14">
        <f t="shared" si="15"/>
        <v>0.000177170286536062</v>
      </c>
      <c r="S50" s="14">
        <f t="shared" si="15"/>
        <v>0.00017751767925476013</v>
      </c>
      <c r="T50" s="14">
        <f t="shared" si="15"/>
        <v>0.00017786575313565186</v>
      </c>
      <c r="U50" s="14">
        <f t="shared" si="15"/>
        <v>0.00017821450951434922</v>
      </c>
    </row>
    <row r="51" spans="1:21" ht="15">
      <c r="A51" s="11" t="s">
        <v>49</v>
      </c>
      <c r="B51" s="15">
        <f>(($B17*(1+$C17)^(B$36-1))/1000)*B$47*$B$14</f>
        <v>4.071428571428571</v>
      </c>
      <c r="C51" s="15">
        <f aca="true" t="shared" si="16" ref="C51:U51">(($B17*(1+$C17)^(C$36-1))/1000)*C$47*$B$14</f>
        <v>8.142857142857142</v>
      </c>
      <c r="D51" s="15">
        <f t="shared" si="16"/>
        <v>12.214285714285712</v>
      </c>
      <c r="E51" s="15">
        <f t="shared" si="16"/>
        <v>16.285714285714285</v>
      </c>
      <c r="F51" s="15">
        <f t="shared" si="16"/>
        <v>20.35714285714285</v>
      </c>
      <c r="G51" s="15">
        <f t="shared" si="16"/>
        <v>24.428571428571423</v>
      </c>
      <c r="H51" s="15">
        <f t="shared" si="16"/>
        <v>28.499999999999996</v>
      </c>
      <c r="I51" s="15">
        <f t="shared" si="16"/>
        <v>29.126999999999995</v>
      </c>
      <c r="J51" s="15">
        <f t="shared" si="16"/>
        <v>29.767793999999995</v>
      </c>
      <c r="K51" s="15">
        <f t="shared" si="16"/>
        <v>30.422685467999994</v>
      </c>
      <c r="L51" s="15">
        <f t="shared" si="16"/>
        <v>31.09198454829599</v>
      </c>
      <c r="M51" s="15">
        <f t="shared" si="16"/>
        <v>31.776008208358498</v>
      </c>
      <c r="N51" s="15">
        <f t="shared" si="16"/>
        <v>32.47508038894239</v>
      </c>
      <c r="O51" s="15">
        <f t="shared" si="16"/>
        <v>33.18953215749912</v>
      </c>
      <c r="P51" s="15">
        <f t="shared" si="16"/>
        <v>33.91970186496409</v>
      </c>
      <c r="Q51" s="15">
        <f t="shared" si="16"/>
        <v>34.6659353059933</v>
      </c>
      <c r="R51" s="15">
        <f t="shared" si="16"/>
        <v>35.42858588272516</v>
      </c>
      <c r="S51" s="15">
        <f t="shared" si="16"/>
        <v>36.20801477214511</v>
      </c>
      <c r="T51" s="15">
        <f t="shared" si="16"/>
        <v>37.0045910971323</v>
      </c>
      <c r="U51" s="15">
        <f t="shared" si="16"/>
        <v>37.818692101269214</v>
      </c>
    </row>
    <row r="52" spans="1:21" ht="15">
      <c r="A52" s="11" t="s">
        <v>67</v>
      </c>
      <c r="B52" s="14">
        <f aca="true" t="shared" si="17" ref="B52:U52">B51/B42</f>
        <v>0.0026785714285714286</v>
      </c>
      <c r="C52" s="14">
        <f t="shared" si="17"/>
        <v>0.005241822756499859</v>
      </c>
      <c r="D52" s="14">
        <f t="shared" si="17"/>
        <v>0.007693477626956741</v>
      </c>
      <c r="E52" s="14">
        <f t="shared" si="17"/>
        <v>0.010037152807510427</v>
      </c>
      <c r="F52" s="14">
        <f t="shared" si="17"/>
        <v>0.012276361065937404</v>
      </c>
      <c r="G52" s="14">
        <f t="shared" si="17"/>
        <v>0.014414513971746465</v>
      </c>
      <c r="H52" s="14">
        <f t="shared" si="17"/>
        <v>0.01645492462528136</v>
      </c>
      <c r="I52" s="14">
        <f t="shared" si="17"/>
        <v>0.016454924625281354</v>
      </c>
      <c r="J52" s="14">
        <f t="shared" si="17"/>
        <v>0.016454924625281354</v>
      </c>
      <c r="K52" s="14">
        <f t="shared" si="17"/>
        <v>0.016454924625281354</v>
      </c>
      <c r="L52" s="14">
        <f t="shared" si="17"/>
        <v>0.016454924625281354</v>
      </c>
      <c r="M52" s="14">
        <f t="shared" si="17"/>
        <v>0.016454924625281347</v>
      </c>
      <c r="N52" s="14">
        <f t="shared" si="17"/>
        <v>0.01645492462528135</v>
      </c>
      <c r="O52" s="14">
        <f t="shared" si="17"/>
        <v>0.01645492462528135</v>
      </c>
      <c r="P52" s="14">
        <f t="shared" si="17"/>
        <v>0.016454924625281347</v>
      </c>
      <c r="Q52" s="14">
        <f t="shared" si="17"/>
        <v>0.016454924625281343</v>
      </c>
      <c r="R52" s="14">
        <f t="shared" si="17"/>
        <v>0.016454924625281347</v>
      </c>
      <c r="S52" s="14">
        <f t="shared" si="17"/>
        <v>0.016454924625281347</v>
      </c>
      <c r="T52" s="14">
        <f t="shared" si="17"/>
        <v>0.016454924625281343</v>
      </c>
      <c r="U52" s="14">
        <f t="shared" si="17"/>
        <v>0.016454924625281347</v>
      </c>
    </row>
    <row r="53" spans="1:21" ht="12.7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8.75">
      <c r="A54" s="18" t="s">
        <v>57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2" ht="15">
      <c r="A55" s="11" t="s">
        <v>50</v>
      </c>
      <c r="B55" s="20">
        <f>((($B18*(1+$C18)^(B$36-1))/1000)*B$48*(1+$B$7))-((($B19*(1+$C19)^(B$36-1))/1000)*B$49*(1+$B$7))</f>
        <v>0.007768285714285714</v>
      </c>
      <c r="C55" s="20">
        <f aca="true" t="shared" si="18" ref="C55:U55">((($B18*(1+$C18)^(C$36-1))/1000)*C$48*(1+$B$7))-((($B19*(1+$C19)^(C$36-1))/1000)*C$49*(1+$B$7))</f>
        <v>0.015847302857142857</v>
      </c>
      <c r="D55" s="20">
        <f t="shared" si="18"/>
        <v>0.02424637337142857</v>
      </c>
      <c r="E55" s="20">
        <f t="shared" si="18"/>
        <v>0.03297506778514287</v>
      </c>
      <c r="F55" s="20">
        <f t="shared" si="18"/>
        <v>0.04204321142605712</v>
      </c>
      <c r="G55" s="20">
        <f t="shared" si="18"/>
        <v>0.05146089078549394</v>
      </c>
      <c r="H55" s="20">
        <f t="shared" si="18"/>
        <v>0.06123846003473778</v>
      </c>
      <c r="I55" s="20">
        <f t="shared" si="18"/>
        <v>0.06383742027861203</v>
      </c>
      <c r="J55" s="20">
        <f t="shared" si="18"/>
        <v>0.06654668039523637</v>
      </c>
      <c r="K55" s="20">
        <f t="shared" si="18"/>
        <v>0.06937092151121015</v>
      </c>
      <c r="L55" s="20">
        <f t="shared" si="18"/>
        <v>0.07231502342014594</v>
      </c>
      <c r="M55" s="20">
        <f t="shared" si="18"/>
        <v>0.07538407301409687</v>
      </c>
      <c r="N55" s="20">
        <f t="shared" si="18"/>
        <v>0.07858337307281517</v>
      </c>
      <c r="O55" s="20">
        <f t="shared" si="18"/>
        <v>0.08191845142602545</v>
      </c>
      <c r="P55" s="20">
        <f t="shared" si="18"/>
        <v>0.08539507050454595</v>
      </c>
      <c r="Q55" s="20">
        <f t="shared" si="18"/>
        <v>0.08901923729675887</v>
      </c>
      <c r="R55" s="20">
        <f t="shared" si="18"/>
        <v>0.09279721372763339</v>
      </c>
      <c r="S55" s="20">
        <f t="shared" si="18"/>
        <v>0.09673552747823408</v>
      </c>
      <c r="T55" s="20">
        <f t="shared" si="18"/>
        <v>0.10084098326441032</v>
      </c>
      <c r="U55" s="20">
        <f t="shared" si="18"/>
        <v>0.10512067459415195</v>
      </c>
      <c r="V55" s="10">
        <f aca="true" t="shared" si="19" ref="V55:V60">NPV(0.088,B55:U55)</f>
        <v>0.4866046401793182</v>
      </c>
    </row>
    <row r="56" spans="1:22" ht="15">
      <c r="A56" s="11" t="s">
        <v>51</v>
      </c>
      <c r="B56" s="20">
        <f aca="true" t="shared" si="20" ref="B56:U56">(($B20*(1+$C20)^(B$36-1))/1000)*(B$51*(1+$B$7))</f>
        <v>0.3452571428571429</v>
      </c>
      <c r="C56" s="20">
        <f t="shared" si="20"/>
        <v>0.7112297142857144</v>
      </c>
      <c r="D56" s="20">
        <f t="shared" si="20"/>
        <v>1.0988499085714285</v>
      </c>
      <c r="E56" s="20">
        <f t="shared" si="20"/>
        <v>1.5090872077714286</v>
      </c>
      <c r="F56" s="20">
        <f t="shared" si="20"/>
        <v>1.9429497800057134</v>
      </c>
      <c r="G56" s="20">
        <f t="shared" si="20"/>
        <v>2.4014859280870624</v>
      </c>
      <c r="H56" s="20">
        <f t="shared" si="20"/>
        <v>2.885785590251287</v>
      </c>
      <c r="I56" s="20">
        <f t="shared" si="20"/>
        <v>3.0377510594339197</v>
      </c>
      <c r="J56" s="20">
        <f t="shared" si="20"/>
        <v>3.1977190302237095</v>
      </c>
      <c r="K56" s="20">
        <f t="shared" si="20"/>
        <v>3.3661109143552896</v>
      </c>
      <c r="L56" s="20">
        <f t="shared" si="20"/>
        <v>3.543370315105239</v>
      </c>
      <c r="M56" s="20">
        <f t="shared" si="20"/>
        <v>3.7299641958986807</v>
      </c>
      <c r="N56" s="20">
        <f t="shared" si="20"/>
        <v>3.9263841104547046</v>
      </c>
      <c r="O56" s="20">
        <f t="shared" si="20"/>
        <v>4.133147497711249</v>
      </c>
      <c r="P56" s="20">
        <f t="shared" si="20"/>
        <v>4.3507990449407234</v>
      </c>
      <c r="Q56" s="20">
        <f t="shared" si="20"/>
        <v>4.579912122647301</v>
      </c>
      <c r="R56" s="20">
        <f t="shared" si="20"/>
        <v>4.8210902950259085</v>
      </c>
      <c r="S56" s="20">
        <f t="shared" si="20"/>
        <v>5.074968909961973</v>
      </c>
      <c r="T56" s="20">
        <f t="shared" si="20"/>
        <v>5.34221677276057</v>
      </c>
      <c r="U56" s="20">
        <f t="shared" si="20"/>
        <v>5.623537908014142</v>
      </c>
      <c r="V56" s="10">
        <f t="shared" si="19"/>
        <v>23.79336468849105</v>
      </c>
    </row>
    <row r="57" spans="1:22" ht="15">
      <c r="A57" s="11" t="s">
        <v>52</v>
      </c>
      <c r="B57" s="20">
        <f aca="true" t="shared" si="21" ref="B57:U57">(($B21*(1+$C21)^(B$36-1))/1000)*B$51</f>
        <v>0.012214285714285714</v>
      </c>
      <c r="C57" s="20">
        <f t="shared" si="21"/>
        <v>0.025161428571428567</v>
      </c>
      <c r="D57" s="20">
        <f t="shared" si="21"/>
        <v>0.03887440714285713</v>
      </c>
      <c r="E57" s="20">
        <f t="shared" si="21"/>
        <v>0.05338751914285714</v>
      </c>
      <c r="F57" s="20">
        <f t="shared" si="21"/>
        <v>0.06873643089642854</v>
      </c>
      <c r="G57" s="20">
        <f t="shared" si="21"/>
        <v>0.08495822858798568</v>
      </c>
      <c r="H57" s="20">
        <f t="shared" si="21"/>
        <v>0.10209147135322949</v>
      </c>
      <c r="I57" s="20">
        <f t="shared" si="21"/>
        <v>0.10746760823469055</v>
      </c>
      <c r="J57" s="20">
        <f t="shared" si="21"/>
        <v>0.11312685248432934</v>
      </c>
      <c r="K57" s="20">
        <f t="shared" si="21"/>
        <v>0.11908411253615413</v>
      </c>
      <c r="L57" s="20">
        <f t="shared" si="21"/>
        <v>0.12535508190230799</v>
      </c>
      <c r="M57" s="20">
        <f t="shared" si="21"/>
        <v>0.1319562805152835</v>
      </c>
      <c r="N57" s="20">
        <f t="shared" si="21"/>
        <v>0.1389050982472183</v>
      </c>
      <c r="O57" s="20">
        <f t="shared" si="21"/>
        <v>0.14621984072091687</v>
      </c>
      <c r="P57" s="20">
        <f t="shared" si="21"/>
        <v>0.1539197775332803</v>
      </c>
      <c r="Q57" s="20">
        <f t="shared" si="21"/>
        <v>0.16202519301818283</v>
      </c>
      <c r="R57" s="20">
        <f t="shared" si="21"/>
        <v>0.17055743968252035</v>
      </c>
      <c r="S57" s="20">
        <f t="shared" si="21"/>
        <v>0.17953899445620186</v>
      </c>
      <c r="T57" s="20">
        <f t="shared" si="21"/>
        <v>0.1889935179042654</v>
      </c>
      <c r="U57" s="20">
        <f t="shared" si="21"/>
        <v>0.19894591655710409</v>
      </c>
      <c r="V57" s="10">
        <f t="shared" si="19"/>
        <v>0.841746392281523</v>
      </c>
    </row>
    <row r="58" spans="1:22" ht="15">
      <c r="A58" s="11" t="s">
        <v>53</v>
      </c>
      <c r="B58" s="20">
        <f>(($B22*(1+$C22)^(B$36-1))/1000)*(B$48-B$49)</f>
        <v>0</v>
      </c>
      <c r="C58" s="20">
        <f aca="true" t="shared" si="22" ref="C58:U58">(($B22*(1+$C22)^(C$36-1))/1000)*(C$48-C$49)</f>
        <v>0</v>
      </c>
      <c r="D58" s="20">
        <f t="shared" si="22"/>
        <v>0</v>
      </c>
      <c r="E58" s="20">
        <f t="shared" si="22"/>
        <v>0</v>
      </c>
      <c r="F58" s="20">
        <f t="shared" si="22"/>
        <v>0</v>
      </c>
      <c r="G58" s="20">
        <f t="shared" si="22"/>
        <v>0</v>
      </c>
      <c r="H58" s="20">
        <f t="shared" si="22"/>
        <v>0</v>
      </c>
      <c r="I58" s="20">
        <f t="shared" si="22"/>
        <v>0</v>
      </c>
      <c r="J58" s="20">
        <f t="shared" si="22"/>
        <v>0</v>
      </c>
      <c r="K58" s="20">
        <f t="shared" si="22"/>
        <v>0</v>
      </c>
      <c r="L58" s="20">
        <f t="shared" si="22"/>
        <v>0</v>
      </c>
      <c r="M58" s="20">
        <f t="shared" si="22"/>
        <v>0</v>
      </c>
      <c r="N58" s="20">
        <f t="shared" si="22"/>
        <v>0</v>
      </c>
      <c r="O58" s="20">
        <f t="shared" si="22"/>
        <v>0</v>
      </c>
      <c r="P58" s="20">
        <f t="shared" si="22"/>
        <v>0</v>
      </c>
      <c r="Q58" s="20">
        <f t="shared" si="22"/>
        <v>0</v>
      </c>
      <c r="R58" s="20">
        <f t="shared" si="22"/>
        <v>0</v>
      </c>
      <c r="S58" s="20">
        <f t="shared" si="22"/>
        <v>0</v>
      </c>
      <c r="T58" s="20">
        <f t="shared" si="22"/>
        <v>0</v>
      </c>
      <c r="U58" s="20">
        <f t="shared" si="22"/>
        <v>0</v>
      </c>
      <c r="V58" s="10">
        <f t="shared" si="19"/>
        <v>0</v>
      </c>
    </row>
    <row r="59" spans="1:22" ht="15">
      <c r="A59" s="21" t="s">
        <v>54</v>
      </c>
      <c r="B59" s="22">
        <f>$B$13*(B40*0.95*$B$25*(MIN(1,B$36/$B$9))*$B$24*1000*($B$23*((1+$C$23)^(B$36-1)))/1000000)</f>
        <v>0</v>
      </c>
      <c r="C59" s="22">
        <f aca="true" t="shared" si="23" ref="C59:U59">$B$13*(C40*0.95*$B$25*(MIN(1,C$36/$B$9))*$B$24*1000*($B$23*((1+$C$23)^(C$36-1)))/1000000)</f>
        <v>0</v>
      </c>
      <c r="D59" s="22">
        <f t="shared" si="23"/>
        <v>0</v>
      </c>
      <c r="E59" s="22">
        <f t="shared" si="23"/>
        <v>0</v>
      </c>
      <c r="F59" s="22">
        <f t="shared" si="23"/>
        <v>0</v>
      </c>
      <c r="G59" s="22">
        <f t="shared" si="23"/>
        <v>0</v>
      </c>
      <c r="H59" s="22">
        <f t="shared" si="23"/>
        <v>0</v>
      </c>
      <c r="I59" s="22">
        <f t="shared" si="23"/>
        <v>0</v>
      </c>
      <c r="J59" s="22">
        <f t="shared" si="23"/>
        <v>0</v>
      </c>
      <c r="K59" s="22">
        <f t="shared" si="23"/>
        <v>0</v>
      </c>
      <c r="L59" s="22">
        <f t="shared" si="23"/>
        <v>0</v>
      </c>
      <c r="M59" s="22">
        <f t="shared" si="23"/>
        <v>0</v>
      </c>
      <c r="N59" s="22">
        <f t="shared" si="23"/>
        <v>0</v>
      </c>
      <c r="O59" s="22">
        <f t="shared" si="23"/>
        <v>0</v>
      </c>
      <c r="P59" s="22">
        <f t="shared" si="23"/>
        <v>0</v>
      </c>
      <c r="Q59" s="22">
        <f t="shared" si="23"/>
        <v>0</v>
      </c>
      <c r="R59" s="22">
        <f t="shared" si="23"/>
        <v>0</v>
      </c>
      <c r="S59" s="22">
        <f t="shared" si="23"/>
        <v>0</v>
      </c>
      <c r="T59" s="22">
        <f t="shared" si="23"/>
        <v>0</v>
      </c>
      <c r="U59" s="22">
        <f t="shared" si="23"/>
        <v>0</v>
      </c>
      <c r="V59" s="10">
        <f t="shared" si="19"/>
        <v>0</v>
      </c>
    </row>
    <row r="60" spans="1:23" ht="15">
      <c r="A60" s="23" t="s">
        <v>61</v>
      </c>
      <c r="B60" s="24">
        <f aca="true" t="shared" si="24" ref="B60:U60">SUM(B55:B59)</f>
        <v>0.36523971428571433</v>
      </c>
      <c r="C60" s="24">
        <f t="shared" si="24"/>
        <v>0.7522384457142858</v>
      </c>
      <c r="D60" s="24">
        <f t="shared" si="24"/>
        <v>1.1619706890857142</v>
      </c>
      <c r="E60" s="24">
        <f t="shared" si="24"/>
        <v>1.5954497946994286</v>
      </c>
      <c r="F60" s="24">
        <f t="shared" si="24"/>
        <v>2.053729422328199</v>
      </c>
      <c r="G60" s="24">
        <f t="shared" si="24"/>
        <v>2.537905047460542</v>
      </c>
      <c r="H60" s="24">
        <f t="shared" si="24"/>
        <v>3.049115521639254</v>
      </c>
      <c r="I60" s="24">
        <f t="shared" si="24"/>
        <v>3.209056087947222</v>
      </c>
      <c r="J60" s="24">
        <f t="shared" si="24"/>
        <v>3.377392563103275</v>
      </c>
      <c r="K60" s="24">
        <f t="shared" si="24"/>
        <v>3.554565948402654</v>
      </c>
      <c r="L60" s="24">
        <f t="shared" si="24"/>
        <v>3.741040420427693</v>
      </c>
      <c r="M60" s="24">
        <f t="shared" si="24"/>
        <v>3.937304549428061</v>
      </c>
      <c r="N60" s="24">
        <f t="shared" si="24"/>
        <v>4.143872581774739</v>
      </c>
      <c r="O60" s="24">
        <f t="shared" si="24"/>
        <v>4.361285789858192</v>
      </c>
      <c r="P60" s="24">
        <f t="shared" si="24"/>
        <v>4.59011389297855</v>
      </c>
      <c r="Q60" s="24">
        <f t="shared" si="24"/>
        <v>4.830956552962243</v>
      </c>
      <c r="R60" s="24">
        <f t="shared" si="24"/>
        <v>5.084444948436062</v>
      </c>
      <c r="S60" s="24">
        <f t="shared" si="24"/>
        <v>5.351243431896409</v>
      </c>
      <c r="T60" s="24">
        <f t="shared" si="24"/>
        <v>5.632051273929245</v>
      </c>
      <c r="U60" s="24">
        <f t="shared" si="24"/>
        <v>5.9276044991653976</v>
      </c>
      <c r="V60" s="10">
        <f t="shared" si="19"/>
        <v>25.121715720951894</v>
      </c>
      <c r="W60" s="43">
        <f>V56/V60</f>
        <v>0.9471233952642423</v>
      </c>
    </row>
    <row r="61" spans="1:21" ht="18.75">
      <c r="A61" s="29" t="s">
        <v>28</v>
      </c>
      <c r="B61" s="30">
        <f>NPV($B$35,B60:U60)</f>
        <v>25.121715720951894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3" s="27" customFormat="1" ht="18.75">
      <c r="A63" s="18" t="s">
        <v>58</v>
      </c>
    </row>
    <row r="64" spans="1:21" s="27" customFormat="1" ht="18">
      <c r="A64" s="11" t="s">
        <v>11</v>
      </c>
      <c r="B64" s="20">
        <f>(B26/1000000)</f>
        <v>0.1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</row>
    <row r="65" spans="1:21" s="27" customFormat="1" ht="18">
      <c r="A65" s="34" t="s">
        <v>71</v>
      </c>
      <c r="B65" s="35">
        <f aca="true" t="shared" si="25" ref="B65:U65">(B$45*(SUM($B$27:$B$30)*((1+$C$27)^(B$36-1))))/1000000</f>
        <v>0.8785714285714286</v>
      </c>
      <c r="C65" s="35">
        <f t="shared" si="25"/>
        <v>0.9588728571428571</v>
      </c>
      <c r="D65" s="35">
        <f t="shared" si="25"/>
        <v>1.0420349142857144</v>
      </c>
      <c r="E65" s="35">
        <f t="shared" si="25"/>
        <v>1.1281399045714284</v>
      </c>
      <c r="F65" s="35">
        <f t="shared" si="25"/>
        <v>1.2172722805028569</v>
      </c>
      <c r="G65" s="35">
        <f t="shared" si="25"/>
        <v>1.3095186955097142</v>
      </c>
      <c r="H65" s="35">
        <f t="shared" si="25"/>
        <v>1.4049680582046447</v>
      </c>
      <c r="I65" s="35">
        <f t="shared" si="25"/>
        <v>0.6499263507559625</v>
      </c>
      <c r="J65" s="35">
        <f t="shared" si="25"/>
        <v>0.6775092250820456</v>
      </c>
      <c r="K65" s="35">
        <f t="shared" si="25"/>
        <v>0.7062627165945276</v>
      </c>
      <c r="L65" s="35">
        <f t="shared" si="25"/>
        <v>0.7362365062867994</v>
      </c>
      <c r="M65" s="35">
        <f t="shared" si="25"/>
        <v>0.767482383613611</v>
      </c>
      <c r="N65" s="35">
        <f t="shared" si="25"/>
        <v>0.8000543359741726</v>
      </c>
      <c r="O65" s="35">
        <f t="shared" si="25"/>
        <v>0.8340086419929165</v>
      </c>
      <c r="P65" s="35">
        <f t="shared" si="25"/>
        <v>0.8694039687590959</v>
      </c>
      <c r="Q65" s="35">
        <f t="shared" si="25"/>
        <v>0.9063014731932315</v>
      </c>
      <c r="R65" s="35">
        <f t="shared" si="25"/>
        <v>0.9447649077155524</v>
      </c>
      <c r="S65" s="35">
        <f t="shared" si="25"/>
        <v>0.9848607303990007</v>
      </c>
      <c r="T65" s="35">
        <f t="shared" si="25"/>
        <v>1.0266582197971341</v>
      </c>
      <c r="U65" s="35">
        <f t="shared" si="25"/>
        <v>1.0702295946453244</v>
      </c>
    </row>
    <row r="66" spans="1:21" s="27" customFormat="1" ht="18">
      <c r="A66" s="11" t="s">
        <v>6</v>
      </c>
      <c r="B66" s="20">
        <f aca="true" t="shared" si="26" ref="B66:U66">($B$31*((1+$C$31)^(B$36-1)))/1000000</f>
        <v>0.06</v>
      </c>
      <c r="C66" s="20">
        <f t="shared" si="26"/>
        <v>0.0612</v>
      </c>
      <c r="D66" s="20">
        <f t="shared" si="26"/>
        <v>0.062424</v>
      </c>
      <c r="E66" s="20">
        <f t="shared" si="26"/>
        <v>0.06367247999999999</v>
      </c>
      <c r="F66" s="20">
        <f t="shared" si="26"/>
        <v>0.0649459296</v>
      </c>
      <c r="G66" s="20">
        <f t="shared" si="26"/>
        <v>0.06624484819200001</v>
      </c>
      <c r="H66" s="20">
        <f t="shared" si="26"/>
        <v>0.06756974515584001</v>
      </c>
      <c r="I66" s="20">
        <f t="shared" si="26"/>
        <v>0.06892114005895679</v>
      </c>
      <c r="J66" s="20">
        <f t="shared" si="26"/>
        <v>0.07029956286013593</v>
      </c>
      <c r="K66" s="20">
        <f t="shared" si="26"/>
        <v>0.07170555411733864</v>
      </c>
      <c r="L66" s="20">
        <f t="shared" si="26"/>
        <v>0.07313966519968541</v>
      </c>
      <c r="M66" s="20">
        <f t="shared" si="26"/>
        <v>0.07460245850367912</v>
      </c>
      <c r="N66" s="20">
        <f t="shared" si="26"/>
        <v>0.07609450767375271</v>
      </c>
      <c r="O66" s="20">
        <f t="shared" si="26"/>
        <v>0.07761639782722776</v>
      </c>
      <c r="P66" s="20">
        <f t="shared" si="26"/>
        <v>0.07916872578377233</v>
      </c>
      <c r="Q66" s="20">
        <f t="shared" si="26"/>
        <v>0.08075210029944777</v>
      </c>
      <c r="R66" s="20">
        <f t="shared" si="26"/>
        <v>0.08236714230543672</v>
      </c>
      <c r="S66" s="20">
        <f t="shared" si="26"/>
        <v>0.08401448515154547</v>
      </c>
      <c r="T66" s="20">
        <f t="shared" si="26"/>
        <v>0.08569477485457636</v>
      </c>
      <c r="U66" s="20">
        <f t="shared" si="26"/>
        <v>0.08740867035166788</v>
      </c>
    </row>
    <row r="67" spans="1:22" s="27" customFormat="1" ht="18">
      <c r="A67" s="36" t="s">
        <v>5</v>
      </c>
      <c r="B67" s="37">
        <f aca="true" t="shared" si="27" ref="B67:U67">(B47*(SUM($B$32:$B$34)*(1+$C$32)^(B$36-1)))/1000000</f>
        <v>0.15857142857142856</v>
      </c>
      <c r="C67" s="37">
        <f t="shared" si="27"/>
        <v>0.32348571428571427</v>
      </c>
      <c r="D67" s="37">
        <f t="shared" si="27"/>
        <v>0.49493314285714274</v>
      </c>
      <c r="E67" s="37">
        <f t="shared" si="27"/>
        <v>0.6731090742857142</v>
      </c>
      <c r="F67" s="37">
        <f t="shared" si="27"/>
        <v>0.8582140697142856</v>
      </c>
      <c r="G67" s="37">
        <f t="shared" si="27"/>
        <v>1.0504540213302855</v>
      </c>
      <c r="H67" s="37">
        <f t="shared" si="27"/>
        <v>1.25004028538304</v>
      </c>
      <c r="I67" s="37">
        <f t="shared" si="27"/>
        <v>1.3030919950946958</v>
      </c>
      <c r="J67" s="37">
        <f t="shared" si="27"/>
        <v>1.358395219366515</v>
      </c>
      <c r="K67" s="37">
        <f t="shared" si="27"/>
        <v>1.4160455124764297</v>
      </c>
      <c r="L67" s="37">
        <f t="shared" si="27"/>
        <v>1.4761424840259294</v>
      </c>
      <c r="M67" s="37">
        <f t="shared" si="27"/>
        <v>1.5387899710479893</v>
      </c>
      <c r="N67" s="37">
        <f t="shared" si="27"/>
        <v>1.6040962174192661</v>
      </c>
      <c r="O67" s="37">
        <f t="shared" si="27"/>
        <v>1.6721740608865399</v>
      </c>
      <c r="P67" s="37">
        <f t="shared" si="27"/>
        <v>1.7431411280305644</v>
      </c>
      <c r="Q67" s="37">
        <f t="shared" si="27"/>
        <v>1.8171200375041812</v>
      </c>
      <c r="R67" s="37">
        <f t="shared" si="27"/>
        <v>1.894238611895859</v>
      </c>
      <c r="S67" s="37">
        <f t="shared" si="27"/>
        <v>1.9746300985847192</v>
      </c>
      <c r="T67" s="37">
        <f t="shared" si="27"/>
        <v>2.0584333999686546</v>
      </c>
      <c r="U67" s="37">
        <f t="shared" si="27"/>
        <v>2.145793313463324</v>
      </c>
      <c r="V67" s="28" t="s">
        <v>72</v>
      </c>
    </row>
    <row r="68" spans="1:21" s="27" customFormat="1" ht="18">
      <c r="A68" s="23" t="s">
        <v>61</v>
      </c>
      <c r="B68" s="24">
        <f aca="true" t="shared" si="28" ref="B68:U68">SUM(B64:B67)</f>
        <v>1.197142857142857</v>
      </c>
      <c r="C68" s="24">
        <f t="shared" si="28"/>
        <v>1.3435585714285714</v>
      </c>
      <c r="D68" s="24">
        <f t="shared" si="28"/>
        <v>1.599392057142857</v>
      </c>
      <c r="E68" s="24">
        <f t="shared" si="28"/>
        <v>1.8649214588571426</v>
      </c>
      <c r="F68" s="24">
        <f t="shared" si="28"/>
        <v>2.1404322798171425</v>
      </c>
      <c r="G68" s="24">
        <f t="shared" si="28"/>
        <v>2.4262175650319997</v>
      </c>
      <c r="H68" s="24">
        <f t="shared" si="28"/>
        <v>2.7225780887435245</v>
      </c>
      <c r="I68" s="24">
        <f t="shared" si="28"/>
        <v>2.021939485909615</v>
      </c>
      <c r="J68" s="24">
        <f t="shared" si="28"/>
        <v>2.1062040073086967</v>
      </c>
      <c r="K68" s="24">
        <f t="shared" si="28"/>
        <v>2.194013783188296</v>
      </c>
      <c r="L68" s="24">
        <f t="shared" si="28"/>
        <v>2.2855186555124143</v>
      </c>
      <c r="M68" s="24">
        <f t="shared" si="28"/>
        <v>2.3808748131652795</v>
      </c>
      <c r="N68" s="24">
        <f t="shared" si="28"/>
        <v>2.4802450610671913</v>
      </c>
      <c r="O68" s="24">
        <f t="shared" si="28"/>
        <v>2.583799100706684</v>
      </c>
      <c r="P68" s="24">
        <f t="shared" si="28"/>
        <v>2.6917138225734325</v>
      </c>
      <c r="Q68" s="24">
        <f t="shared" si="28"/>
        <v>2.8041736109968607</v>
      </c>
      <c r="R68" s="24">
        <f t="shared" si="28"/>
        <v>2.921370661916848</v>
      </c>
      <c r="S68" s="24">
        <f t="shared" si="28"/>
        <v>3.043505314135265</v>
      </c>
      <c r="T68" s="24">
        <f t="shared" si="28"/>
        <v>3.1707863946203654</v>
      </c>
      <c r="U68" s="24">
        <f t="shared" si="28"/>
        <v>3.3034315784603163</v>
      </c>
    </row>
    <row r="69" spans="1:2" s="27" customFormat="1" ht="18.75">
      <c r="A69" s="29" t="s">
        <v>29</v>
      </c>
      <c r="B69" s="30">
        <f>NPV($B$35,B68:U68)</f>
        <v>19.634388524493456</v>
      </c>
    </row>
    <row r="70" spans="1:2" s="27" customFormat="1" ht="18.75">
      <c r="A70" s="18" t="s">
        <v>21</v>
      </c>
      <c r="B70" s="31">
        <f>B61-B69</f>
        <v>5.487327196458438</v>
      </c>
    </row>
    <row r="71" spans="1:2" s="27" customFormat="1" ht="18.75">
      <c r="A71" s="18" t="s">
        <v>8</v>
      </c>
      <c r="B71" s="31">
        <f>B61/B69</f>
        <v>1.2794753291966858</v>
      </c>
    </row>
    <row r="72" spans="1:6" s="27" customFormat="1" ht="18.75">
      <c r="A72" s="32" t="s">
        <v>9</v>
      </c>
      <c r="B72" s="30">
        <f>-PMT(B35,20,B69)*1000000/(AVERAGE(B51:U51)*1000)</f>
        <v>77.53983222612925</v>
      </c>
      <c r="C72" s="30">
        <f>(B69*1000000)/(NPV(B35,B51:U51)*1000)</f>
        <v>92.72978772598009</v>
      </c>
      <c r="F72" s="33"/>
    </row>
  </sheetData>
  <mergeCells count="31">
    <mergeCell ref="H31:Q31"/>
    <mergeCell ref="H32:Q32"/>
    <mergeCell ref="H17:Q17"/>
    <mergeCell ref="H18:Q18"/>
    <mergeCell ref="H20:Q20"/>
    <mergeCell ref="H21:Q21"/>
    <mergeCell ref="H33:Q33"/>
    <mergeCell ref="H34:Q34"/>
    <mergeCell ref="H35:Q35"/>
    <mergeCell ref="H24:Q24"/>
    <mergeCell ref="H25:Q25"/>
    <mergeCell ref="H26:Q26"/>
    <mergeCell ref="H27:Q27"/>
    <mergeCell ref="H28:Q28"/>
    <mergeCell ref="H29:Q29"/>
    <mergeCell ref="H30:Q30"/>
    <mergeCell ref="B2:B3"/>
    <mergeCell ref="D2:G2"/>
    <mergeCell ref="H3:U3"/>
    <mergeCell ref="H15:Q15"/>
    <mergeCell ref="H4:Q4"/>
    <mergeCell ref="H5:Q5"/>
    <mergeCell ref="H8:Q8"/>
    <mergeCell ref="H9:Q9"/>
    <mergeCell ref="H10:Q10"/>
    <mergeCell ref="H6:Q6"/>
    <mergeCell ref="H7:Q7"/>
    <mergeCell ref="H22:Q22"/>
    <mergeCell ref="H23:Q23"/>
    <mergeCell ref="H11:Q11"/>
    <mergeCell ref="H12:Q12"/>
  </mergeCells>
  <printOptions/>
  <pageMargins left="0.75" right="0.75" top="1" bottom="1" header="0.5" footer="0.5"/>
  <pageSetup horizontalDpi="300" verticalDpi="300" orientation="landscape" scale="73" r:id="rId3"/>
  <rowBreaks count="1" manualBreakCount="1">
    <brk id="35" max="255" man="1"/>
  </rowBreaks>
  <colBreaks count="2" manualBreakCount="2">
    <brk id="7" max="65535" man="1"/>
    <brk id="2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zoomScale="60" zoomScaleNormal="60" workbookViewId="0" topLeftCell="A1">
      <pane xSplit="1" ySplit="37" topLeftCell="B40" activePane="bottomRight" state="frozen"/>
      <selection pane="topLeft" activeCell="A1" sqref="A1"/>
      <selection pane="topRight" activeCell="B1" sqref="B1"/>
      <selection pane="bottomLeft" activeCell="A34" sqref="A34"/>
      <selection pane="bottomRight" activeCell="A40" sqref="A40"/>
    </sheetView>
  </sheetViews>
  <sheetFormatPr defaultColWidth="8.8515625" defaultRowHeight="12.75"/>
  <cols>
    <col min="1" max="1" width="45.7109375" style="0" customWidth="1"/>
    <col min="2" max="2" width="10.421875" style="0" customWidth="1"/>
    <col min="3" max="3" width="12.28125" style="0" customWidth="1"/>
    <col min="4" max="21" width="10.7109375" style="0" customWidth="1"/>
    <col min="22" max="16384" width="11.421875" style="0" customWidth="1"/>
  </cols>
  <sheetData>
    <row r="1" spans="1:21" ht="30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5.75" customHeight="1">
      <c r="A2" s="6"/>
      <c r="B2" s="94" t="s">
        <v>43</v>
      </c>
      <c r="C2" s="91"/>
      <c r="D2" s="96" t="s">
        <v>33</v>
      </c>
      <c r="E2" s="96"/>
      <c r="F2" s="96"/>
      <c r="G2" s="96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.75">
      <c r="A3" s="5" t="s">
        <v>56</v>
      </c>
      <c r="B3" s="95"/>
      <c r="C3" s="92" t="s">
        <v>44</v>
      </c>
      <c r="D3" s="90" t="s">
        <v>34</v>
      </c>
      <c r="E3" s="90" t="s">
        <v>35</v>
      </c>
      <c r="F3" s="90" t="s">
        <v>36</v>
      </c>
      <c r="G3" s="90" t="s">
        <v>37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14.25">
      <c r="A4" s="40" t="s">
        <v>55</v>
      </c>
      <c r="B4" s="44">
        <v>2008</v>
      </c>
      <c r="C4" s="53" t="s">
        <v>62</v>
      </c>
      <c r="D4" s="79"/>
      <c r="E4" s="79"/>
      <c r="F4" s="79"/>
      <c r="G4" s="79"/>
      <c r="H4" s="99"/>
      <c r="I4" s="99"/>
      <c r="J4" s="99"/>
      <c r="K4" s="99"/>
      <c r="L4" s="99"/>
      <c r="M4" s="99"/>
      <c r="N4" s="99"/>
      <c r="O4" s="99"/>
      <c r="P4" s="99"/>
      <c r="Q4" s="99"/>
      <c r="R4" s="60"/>
      <c r="S4" s="60"/>
      <c r="T4" s="60"/>
      <c r="U4" s="60"/>
    </row>
    <row r="5" spans="1:21" ht="14.25">
      <c r="A5" s="40" t="s">
        <v>32</v>
      </c>
      <c r="B5" s="45">
        <v>23000</v>
      </c>
      <c r="C5" s="54">
        <v>0.02</v>
      </c>
      <c r="D5" s="79"/>
      <c r="E5" s="79"/>
      <c r="F5" s="79"/>
      <c r="G5" s="79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62"/>
      <c r="S5" s="62"/>
      <c r="T5" s="62"/>
      <c r="U5" s="62"/>
    </row>
    <row r="6" spans="1:21" ht="14.25">
      <c r="A6" s="40" t="s">
        <v>40</v>
      </c>
      <c r="B6" s="45">
        <v>4000</v>
      </c>
      <c r="C6" s="54">
        <v>0.022</v>
      </c>
      <c r="D6" s="79"/>
      <c r="E6" s="79"/>
      <c r="F6" s="79"/>
      <c r="G6" s="7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62"/>
      <c r="S6" s="62"/>
      <c r="T6" s="62"/>
      <c r="U6" s="62"/>
    </row>
    <row r="7" spans="1:21" ht="14.25">
      <c r="A7" s="40" t="s">
        <v>74</v>
      </c>
      <c r="B7" s="46">
        <v>0.06</v>
      </c>
      <c r="C7" s="53" t="s">
        <v>62</v>
      </c>
      <c r="D7" s="79"/>
      <c r="E7" s="79"/>
      <c r="F7" s="79"/>
      <c r="G7" s="7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62"/>
      <c r="S7" s="62"/>
      <c r="T7" s="62"/>
      <c r="U7" s="62"/>
    </row>
    <row r="8" spans="1:21" ht="14.25">
      <c r="A8" s="40" t="s">
        <v>64</v>
      </c>
      <c r="B8" s="46">
        <v>0.38</v>
      </c>
      <c r="C8" s="54">
        <v>0.01</v>
      </c>
      <c r="D8" s="79"/>
      <c r="E8" s="79"/>
      <c r="F8" s="79"/>
      <c r="G8" s="7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62"/>
      <c r="S8" s="62"/>
      <c r="T8" s="62"/>
      <c r="U8" s="62"/>
    </row>
    <row r="9" spans="1:21" ht="14.25">
      <c r="A9" s="40" t="s">
        <v>63</v>
      </c>
      <c r="B9" s="45">
        <v>7</v>
      </c>
      <c r="C9" s="54" t="s">
        <v>62</v>
      </c>
      <c r="D9" s="80">
        <v>4</v>
      </c>
      <c r="E9" s="80">
        <v>6</v>
      </c>
      <c r="F9" s="80" t="s">
        <v>62</v>
      </c>
      <c r="G9" s="80">
        <v>10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62"/>
      <c r="S9" s="62"/>
      <c r="T9" s="62"/>
      <c r="U9" s="62"/>
    </row>
    <row r="10" spans="1:21" ht="14.25">
      <c r="A10" s="40" t="s">
        <v>69</v>
      </c>
      <c r="B10" s="45">
        <v>30000</v>
      </c>
      <c r="C10" s="54" t="s">
        <v>62</v>
      </c>
      <c r="D10" s="81">
        <v>20000</v>
      </c>
      <c r="E10" s="81">
        <v>30000</v>
      </c>
      <c r="F10" s="81" t="s">
        <v>62</v>
      </c>
      <c r="G10" s="81">
        <v>40000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62"/>
      <c r="S10" s="62"/>
      <c r="T10" s="62"/>
      <c r="U10" s="62"/>
    </row>
    <row r="11" spans="1:21" ht="14.25">
      <c r="A11" s="40" t="s">
        <v>75</v>
      </c>
      <c r="B11" s="46">
        <v>0.07</v>
      </c>
      <c r="C11" s="54" t="s">
        <v>62</v>
      </c>
      <c r="D11" s="82">
        <v>0.06</v>
      </c>
      <c r="E11" s="82">
        <v>0.07</v>
      </c>
      <c r="F11" s="82" t="s">
        <v>62</v>
      </c>
      <c r="G11" s="82">
        <v>0.08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62"/>
      <c r="S11" s="62"/>
      <c r="T11" s="62"/>
      <c r="U11" s="62"/>
    </row>
    <row r="12" spans="1:21" ht="14.25">
      <c r="A12" s="40" t="s">
        <v>68</v>
      </c>
      <c r="B12" s="45">
        <v>60</v>
      </c>
      <c r="C12" s="54" t="s">
        <v>62</v>
      </c>
      <c r="D12" s="83">
        <v>8</v>
      </c>
      <c r="E12" s="83">
        <v>38</v>
      </c>
      <c r="F12" s="83">
        <v>20</v>
      </c>
      <c r="G12" s="83">
        <v>87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62"/>
      <c r="S12" s="62"/>
      <c r="T12" s="62"/>
      <c r="U12" s="62"/>
    </row>
    <row r="13" spans="1:21" ht="14.25">
      <c r="A13" s="40" t="s">
        <v>25</v>
      </c>
      <c r="B13" s="45">
        <v>24</v>
      </c>
      <c r="C13" s="54" t="s">
        <v>62</v>
      </c>
      <c r="D13" s="83"/>
      <c r="E13" s="83"/>
      <c r="F13" s="83"/>
      <c r="G13" s="83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62"/>
      <c r="S13" s="62"/>
      <c r="T13" s="62"/>
      <c r="U13" s="62"/>
    </row>
    <row r="14" spans="1:21" ht="14.25">
      <c r="A14" s="40" t="s">
        <v>24</v>
      </c>
      <c r="B14" s="46">
        <v>0.92</v>
      </c>
      <c r="C14" s="54" t="s">
        <v>62</v>
      </c>
      <c r="D14" s="82">
        <v>0.79</v>
      </c>
      <c r="E14" s="82">
        <v>0.9046666666666666</v>
      </c>
      <c r="F14" s="82">
        <v>0.924</v>
      </c>
      <c r="G14" s="82">
        <v>1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  <c r="S14" s="62"/>
      <c r="T14" s="62"/>
      <c r="U14" s="62"/>
    </row>
    <row r="15" spans="1:21" ht="14.25">
      <c r="A15" s="40" t="s">
        <v>12</v>
      </c>
      <c r="B15" s="47">
        <f>B17*B12</f>
        <v>72</v>
      </c>
      <c r="C15" s="54">
        <v>0</v>
      </c>
      <c r="D15" s="84"/>
      <c r="E15" s="84"/>
      <c r="F15" s="84"/>
      <c r="G15" s="84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62"/>
      <c r="S15" s="62"/>
      <c r="T15" s="62"/>
      <c r="U15" s="62"/>
    </row>
    <row r="16" spans="1:21" ht="14.25">
      <c r="A16" s="40" t="s">
        <v>13</v>
      </c>
      <c r="B16" s="47">
        <f>0.5*B15</f>
        <v>36</v>
      </c>
      <c r="C16" s="54">
        <v>0</v>
      </c>
      <c r="D16" s="84"/>
      <c r="E16" s="84"/>
      <c r="F16" s="84"/>
      <c r="G16" s="84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62"/>
      <c r="S16" s="62"/>
      <c r="T16" s="62"/>
      <c r="U16" s="62"/>
    </row>
    <row r="17" spans="1:21" ht="14.25">
      <c r="A17" s="40" t="s">
        <v>45</v>
      </c>
      <c r="B17" s="47">
        <v>1.2</v>
      </c>
      <c r="C17" s="54">
        <v>0</v>
      </c>
      <c r="D17" s="84">
        <v>0.605</v>
      </c>
      <c r="E17" s="84">
        <v>1.2683333333333333</v>
      </c>
      <c r="F17" s="84">
        <v>1.2</v>
      </c>
      <c r="G17" s="84">
        <v>2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62"/>
      <c r="S17" s="62"/>
      <c r="T17" s="62"/>
      <c r="U17" s="62"/>
    </row>
    <row r="18" spans="1:21" ht="14.25">
      <c r="A18" s="40" t="s">
        <v>14</v>
      </c>
      <c r="B18" s="48">
        <v>0.075</v>
      </c>
      <c r="C18" s="54">
        <v>0.02</v>
      </c>
      <c r="D18" s="85">
        <v>0.006</v>
      </c>
      <c r="E18" s="85">
        <v>0.075</v>
      </c>
      <c r="F18" s="85">
        <v>0.075</v>
      </c>
      <c r="G18" s="85">
        <v>0.09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62"/>
      <c r="S18" s="62"/>
      <c r="T18" s="62"/>
      <c r="U18" s="62"/>
    </row>
    <row r="19" spans="1:21" ht="14.25">
      <c r="A19" s="40" t="s">
        <v>17</v>
      </c>
      <c r="B19" s="48">
        <v>0.045</v>
      </c>
      <c r="C19" s="54">
        <v>0.02</v>
      </c>
      <c r="D19" s="85">
        <v>0.006</v>
      </c>
      <c r="E19" s="85">
        <v>0.045</v>
      </c>
      <c r="F19" s="85">
        <v>0.045</v>
      </c>
      <c r="G19" s="85">
        <v>0.06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62"/>
      <c r="S19" s="62"/>
      <c r="T19" s="62"/>
      <c r="U19" s="62"/>
    </row>
    <row r="20" spans="1:21" ht="14.25">
      <c r="A20" s="40" t="s">
        <v>46</v>
      </c>
      <c r="B20" s="49">
        <v>55</v>
      </c>
      <c r="C20" s="54">
        <v>0.025</v>
      </c>
      <c r="D20" s="86">
        <v>25</v>
      </c>
      <c r="E20" s="86">
        <v>56.70666666666667</v>
      </c>
      <c r="F20" s="86">
        <v>67.5</v>
      </c>
      <c r="G20" s="86">
        <v>85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62"/>
      <c r="S20" s="62"/>
      <c r="T20" s="62"/>
      <c r="U20" s="62"/>
    </row>
    <row r="21" spans="1:21" ht="14.25">
      <c r="A21" s="40" t="s">
        <v>47</v>
      </c>
      <c r="B21" s="49">
        <v>3</v>
      </c>
      <c r="C21" s="54">
        <v>0.03</v>
      </c>
      <c r="D21" s="86">
        <v>3</v>
      </c>
      <c r="E21" s="86">
        <v>15.2</v>
      </c>
      <c r="F21" s="86">
        <v>15.2</v>
      </c>
      <c r="G21" s="86">
        <v>25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62"/>
      <c r="S21" s="62"/>
      <c r="T21" s="62"/>
      <c r="U21" s="62"/>
    </row>
    <row r="22" spans="1:21" ht="14.25">
      <c r="A22" s="40" t="s">
        <v>22</v>
      </c>
      <c r="B22" s="48">
        <v>0.0075</v>
      </c>
      <c r="C22" s="54">
        <v>0.02</v>
      </c>
      <c r="D22" s="85">
        <v>0.00030000000000000003</v>
      </c>
      <c r="E22" s="85">
        <v>0.006375</v>
      </c>
      <c r="F22" s="85">
        <v>0.0075</v>
      </c>
      <c r="G22" s="85">
        <v>0.010799999999999999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62"/>
      <c r="S22" s="62"/>
      <c r="T22" s="62"/>
      <c r="U22" s="62"/>
    </row>
    <row r="23" spans="1:21" ht="14.25">
      <c r="A23" s="41" t="s">
        <v>38</v>
      </c>
      <c r="B23" s="49">
        <v>3</v>
      </c>
      <c r="C23" s="54">
        <v>0.02</v>
      </c>
      <c r="D23" s="87">
        <v>3</v>
      </c>
      <c r="E23" s="87">
        <v>4</v>
      </c>
      <c r="F23" s="87">
        <v>4</v>
      </c>
      <c r="G23" s="87">
        <v>5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62"/>
      <c r="S23" s="62"/>
      <c r="T23" s="62"/>
      <c r="U23" s="62"/>
    </row>
    <row r="24" spans="1:21" ht="14.25">
      <c r="A24" s="41" t="s">
        <v>20</v>
      </c>
      <c r="B24" s="50">
        <v>0.1</v>
      </c>
      <c r="C24" s="54" t="s">
        <v>62</v>
      </c>
      <c r="D24" s="88">
        <v>0.05</v>
      </c>
      <c r="E24" s="88">
        <v>0.1</v>
      </c>
      <c r="F24" s="88">
        <v>0.1</v>
      </c>
      <c r="G24" s="88">
        <v>0.2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62"/>
      <c r="S24" s="62"/>
      <c r="T24" s="62"/>
      <c r="U24" s="62"/>
    </row>
    <row r="25" spans="1:21" ht="14.25">
      <c r="A25" s="41" t="s">
        <v>39</v>
      </c>
      <c r="B25" s="46">
        <v>0.01</v>
      </c>
      <c r="C25" s="54" t="s">
        <v>62</v>
      </c>
      <c r="D25" s="82">
        <v>0.01</v>
      </c>
      <c r="E25" s="82">
        <v>0.03</v>
      </c>
      <c r="F25" s="82">
        <v>0.03</v>
      </c>
      <c r="G25" s="82">
        <v>0.05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62"/>
      <c r="S25" s="62"/>
      <c r="T25" s="62"/>
      <c r="U25" s="62"/>
    </row>
    <row r="26" spans="1:21" ht="14.25">
      <c r="A26" s="42" t="s">
        <v>76</v>
      </c>
      <c r="B26" s="51">
        <v>150000</v>
      </c>
      <c r="C26" s="54" t="s">
        <v>62</v>
      </c>
      <c r="D26" s="89">
        <v>20000</v>
      </c>
      <c r="E26" s="89">
        <v>140000</v>
      </c>
      <c r="F26" s="89">
        <v>100000</v>
      </c>
      <c r="G26" s="89">
        <v>300000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62"/>
      <c r="S26" s="62"/>
      <c r="T26" s="62"/>
      <c r="U26" s="62"/>
    </row>
    <row r="27" spans="1:21" ht="14.25">
      <c r="A27" s="40" t="s">
        <v>77</v>
      </c>
      <c r="B27" s="51">
        <v>200</v>
      </c>
      <c r="C27" s="54">
        <v>0.02</v>
      </c>
      <c r="D27" s="89">
        <v>170</v>
      </c>
      <c r="E27" s="89">
        <v>240</v>
      </c>
      <c r="F27" s="89">
        <v>250</v>
      </c>
      <c r="G27" s="89">
        <v>300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62"/>
      <c r="S27" s="62"/>
      <c r="T27" s="62"/>
      <c r="U27" s="62"/>
    </row>
    <row r="28" spans="1:21" ht="14.25">
      <c r="A28" s="40" t="s">
        <v>78</v>
      </c>
      <c r="B28" s="51">
        <v>5</v>
      </c>
      <c r="C28" s="54">
        <v>0.02</v>
      </c>
      <c r="D28" s="89">
        <v>0</v>
      </c>
      <c r="E28" s="89">
        <v>28.333333333333332</v>
      </c>
      <c r="F28" s="89">
        <v>20</v>
      </c>
      <c r="G28" s="89">
        <v>65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62"/>
      <c r="S28" s="62"/>
      <c r="T28" s="62"/>
      <c r="U28" s="62"/>
    </row>
    <row r="29" spans="1:21" ht="14.25">
      <c r="A29" s="40" t="s">
        <v>3</v>
      </c>
      <c r="B29" s="51">
        <v>35</v>
      </c>
      <c r="C29" s="54">
        <v>0.02</v>
      </c>
      <c r="D29" s="89">
        <v>35</v>
      </c>
      <c r="E29" s="89">
        <v>79.5</v>
      </c>
      <c r="F29" s="89">
        <v>79.5</v>
      </c>
      <c r="G29" s="89">
        <v>124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62"/>
      <c r="S29" s="62"/>
      <c r="T29" s="62"/>
      <c r="U29" s="62"/>
    </row>
    <row r="30" spans="1:21" ht="14.25">
      <c r="A30" s="40" t="s">
        <v>79</v>
      </c>
      <c r="B30" s="51">
        <v>0</v>
      </c>
      <c r="C30" s="54">
        <v>0.02</v>
      </c>
      <c r="D30" s="89">
        <v>0</v>
      </c>
      <c r="E30" s="89">
        <v>18.333333333333332</v>
      </c>
      <c r="F30" s="89">
        <v>25</v>
      </c>
      <c r="G30" s="89">
        <v>30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62"/>
      <c r="S30" s="62"/>
      <c r="T30" s="62"/>
      <c r="U30" s="63"/>
    </row>
    <row r="31" spans="1:21" ht="14.25">
      <c r="A31" s="40" t="s">
        <v>70</v>
      </c>
      <c r="B31" s="51">
        <v>65000</v>
      </c>
      <c r="C31" s="54">
        <v>0.02</v>
      </c>
      <c r="D31" s="89">
        <v>12000</v>
      </c>
      <c r="E31" s="89">
        <v>55000</v>
      </c>
      <c r="F31" s="89">
        <v>53000</v>
      </c>
      <c r="G31" s="89">
        <v>100000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62"/>
      <c r="S31" s="62"/>
      <c r="T31" s="62"/>
      <c r="U31" s="62"/>
    </row>
    <row r="32" spans="1:21" ht="14.25">
      <c r="A32" s="40" t="s">
        <v>1</v>
      </c>
      <c r="B32" s="51">
        <v>5</v>
      </c>
      <c r="C32" s="54">
        <v>0.02</v>
      </c>
      <c r="D32" s="89">
        <v>1</v>
      </c>
      <c r="E32" s="89">
        <v>5</v>
      </c>
      <c r="F32" s="89">
        <v>5</v>
      </c>
      <c r="G32" s="89">
        <v>9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62"/>
      <c r="S32" s="62"/>
      <c r="T32" s="62"/>
      <c r="U32" s="62"/>
    </row>
    <row r="33" spans="1:21" ht="14.25">
      <c r="A33" s="40" t="s">
        <v>0</v>
      </c>
      <c r="B33" s="51">
        <v>15</v>
      </c>
      <c r="C33" s="54">
        <v>0.02</v>
      </c>
      <c r="D33" s="89">
        <v>0</v>
      </c>
      <c r="E33" s="89">
        <v>15</v>
      </c>
      <c r="F33" s="89">
        <v>15</v>
      </c>
      <c r="G33" s="89">
        <v>30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62"/>
      <c r="S33" s="62"/>
      <c r="T33" s="62"/>
      <c r="U33" s="62"/>
    </row>
    <row r="34" spans="1:21" ht="14.25">
      <c r="A34" s="40" t="s">
        <v>2</v>
      </c>
      <c r="B34" s="51">
        <v>30</v>
      </c>
      <c r="C34" s="54">
        <v>0.02</v>
      </c>
      <c r="D34" s="89">
        <v>50</v>
      </c>
      <c r="E34" s="89">
        <v>60.666666666666664</v>
      </c>
      <c r="F34" s="89">
        <v>60</v>
      </c>
      <c r="G34" s="89">
        <v>72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62"/>
      <c r="S34" s="62"/>
      <c r="T34" s="62"/>
      <c r="U34" s="62"/>
    </row>
    <row r="35" spans="1:21" ht="14.25">
      <c r="A35" s="40" t="s">
        <v>59</v>
      </c>
      <c r="B35" s="52">
        <v>0.088</v>
      </c>
      <c r="C35" s="53"/>
      <c r="D35" s="83"/>
      <c r="E35" s="83"/>
      <c r="F35" s="83"/>
      <c r="G35" s="83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62"/>
      <c r="S35" s="62"/>
      <c r="T35" s="62"/>
      <c r="U35" s="62"/>
    </row>
    <row r="36" spans="1:21" ht="15.75">
      <c r="A36" s="16" t="s">
        <v>48</v>
      </c>
      <c r="B36" s="17">
        <v>1</v>
      </c>
      <c r="C36" s="17">
        <f aca="true" t="shared" si="0" ref="C36:U36">B36+1</f>
        <v>2</v>
      </c>
      <c r="D36" s="17">
        <f t="shared" si="0"/>
        <v>3</v>
      </c>
      <c r="E36" s="17">
        <f t="shared" si="0"/>
        <v>4</v>
      </c>
      <c r="F36" s="17">
        <f t="shared" si="0"/>
        <v>5</v>
      </c>
      <c r="G36" s="17">
        <f t="shared" si="0"/>
        <v>6</v>
      </c>
      <c r="H36" s="17">
        <f t="shared" si="0"/>
        <v>7</v>
      </c>
      <c r="I36" s="17">
        <f t="shared" si="0"/>
        <v>8</v>
      </c>
      <c r="J36" s="17">
        <f t="shared" si="0"/>
        <v>9</v>
      </c>
      <c r="K36" s="17">
        <f t="shared" si="0"/>
        <v>10</v>
      </c>
      <c r="L36" s="17">
        <f t="shared" si="0"/>
        <v>11</v>
      </c>
      <c r="M36" s="17">
        <f t="shared" si="0"/>
        <v>12</v>
      </c>
      <c r="N36" s="17">
        <f t="shared" si="0"/>
        <v>13</v>
      </c>
      <c r="O36" s="17">
        <f t="shared" si="0"/>
        <v>14</v>
      </c>
      <c r="P36" s="17">
        <f t="shared" si="0"/>
        <v>15</v>
      </c>
      <c r="Q36" s="17">
        <f t="shared" si="0"/>
        <v>16</v>
      </c>
      <c r="R36" s="17">
        <f t="shared" si="0"/>
        <v>17</v>
      </c>
      <c r="S36" s="17">
        <f t="shared" si="0"/>
        <v>18</v>
      </c>
      <c r="T36" s="17">
        <f t="shared" si="0"/>
        <v>19</v>
      </c>
      <c r="U36" s="17">
        <f t="shared" si="0"/>
        <v>20</v>
      </c>
    </row>
    <row r="37" spans="1:21" ht="15.75">
      <c r="A37" s="16" t="s">
        <v>41</v>
      </c>
      <c r="B37" s="17">
        <f>B4</f>
        <v>2008</v>
      </c>
      <c r="C37" s="17">
        <f aca="true" t="shared" si="1" ref="C37:U37">B37+1</f>
        <v>2009</v>
      </c>
      <c r="D37" s="17">
        <f t="shared" si="1"/>
        <v>2010</v>
      </c>
      <c r="E37" s="17">
        <f t="shared" si="1"/>
        <v>2011</v>
      </c>
      <c r="F37" s="17">
        <f t="shared" si="1"/>
        <v>2012</v>
      </c>
      <c r="G37" s="17">
        <f t="shared" si="1"/>
        <v>2013</v>
      </c>
      <c r="H37" s="17">
        <f t="shared" si="1"/>
        <v>2014</v>
      </c>
      <c r="I37" s="17">
        <f t="shared" si="1"/>
        <v>2015</v>
      </c>
      <c r="J37" s="17">
        <f t="shared" si="1"/>
        <v>2016</v>
      </c>
      <c r="K37" s="17">
        <f t="shared" si="1"/>
        <v>2017</v>
      </c>
      <c r="L37" s="17">
        <f t="shared" si="1"/>
        <v>2018</v>
      </c>
      <c r="M37" s="17">
        <f t="shared" si="1"/>
        <v>2019</v>
      </c>
      <c r="N37" s="17">
        <f t="shared" si="1"/>
        <v>2020</v>
      </c>
      <c r="O37" s="17">
        <f t="shared" si="1"/>
        <v>2021</v>
      </c>
      <c r="P37" s="17">
        <f t="shared" si="1"/>
        <v>2022</v>
      </c>
      <c r="Q37" s="17">
        <f t="shared" si="1"/>
        <v>2023</v>
      </c>
      <c r="R37" s="17">
        <f t="shared" si="1"/>
        <v>2024</v>
      </c>
      <c r="S37" s="17">
        <f t="shared" si="1"/>
        <v>2025</v>
      </c>
      <c r="T37" s="17">
        <f t="shared" si="1"/>
        <v>2026</v>
      </c>
      <c r="U37" s="17">
        <f t="shared" si="1"/>
        <v>2027</v>
      </c>
    </row>
    <row r="38" ht="18.75">
      <c r="A38" s="18" t="s">
        <v>26</v>
      </c>
    </row>
    <row r="39" spans="1:21" ht="15">
      <c r="A39" s="11" t="s">
        <v>30</v>
      </c>
      <c r="B39" s="12">
        <f>($B5*((1+$C5)^(B$36-1)))</f>
        <v>23000</v>
      </c>
      <c r="C39" s="12">
        <f aca="true" t="shared" si="2" ref="C39:U39">($B5*((1+$C5)^(C$36-1)))</f>
        <v>23460</v>
      </c>
      <c r="D39" s="12">
        <f t="shared" si="2"/>
        <v>23929.2</v>
      </c>
      <c r="E39" s="12">
        <f t="shared" si="2"/>
        <v>24407.784</v>
      </c>
      <c r="F39" s="12">
        <f t="shared" si="2"/>
        <v>24895.93968</v>
      </c>
      <c r="G39" s="12">
        <f t="shared" si="2"/>
        <v>25393.8584736</v>
      </c>
      <c r="H39" s="12">
        <f t="shared" si="2"/>
        <v>25901.735643072003</v>
      </c>
      <c r="I39" s="12">
        <f t="shared" si="2"/>
        <v>26419.770355933437</v>
      </c>
      <c r="J39" s="12">
        <f t="shared" si="2"/>
        <v>26948.165763052108</v>
      </c>
      <c r="K39" s="12">
        <f t="shared" si="2"/>
        <v>27487.129078313148</v>
      </c>
      <c r="L39" s="12">
        <f t="shared" si="2"/>
        <v>28036.871659879413</v>
      </c>
      <c r="M39" s="12">
        <f t="shared" si="2"/>
        <v>28597.609093076997</v>
      </c>
      <c r="N39" s="12">
        <f t="shared" si="2"/>
        <v>29169.56127493854</v>
      </c>
      <c r="O39" s="12">
        <f t="shared" si="2"/>
        <v>29752.95250043731</v>
      </c>
      <c r="P39" s="12">
        <f t="shared" si="2"/>
        <v>30348.01155044606</v>
      </c>
      <c r="Q39" s="12">
        <f t="shared" si="2"/>
        <v>30954.971781454973</v>
      </c>
      <c r="R39" s="12">
        <f t="shared" si="2"/>
        <v>31574.071217084078</v>
      </c>
      <c r="S39" s="12">
        <f t="shared" si="2"/>
        <v>32205.552641425762</v>
      </c>
      <c r="T39" s="12">
        <f t="shared" si="2"/>
        <v>32849.663694254275</v>
      </c>
      <c r="U39" s="12">
        <f t="shared" si="2"/>
        <v>33506.65696813936</v>
      </c>
    </row>
    <row r="40" spans="1:21" ht="15">
      <c r="A40" s="11" t="s">
        <v>60</v>
      </c>
      <c r="B40" s="12">
        <f aca="true" t="shared" si="3" ref="B40:U40">$B6*((1+$C6)^(B$36-1))</f>
        <v>4000</v>
      </c>
      <c r="C40" s="12">
        <f t="shared" si="3"/>
        <v>4088</v>
      </c>
      <c r="D40" s="12">
        <f t="shared" si="3"/>
        <v>4177.936</v>
      </c>
      <c r="E40" s="12">
        <f t="shared" si="3"/>
        <v>4269.850592</v>
      </c>
      <c r="F40" s="12">
        <f t="shared" si="3"/>
        <v>4363.7873050240005</v>
      </c>
      <c r="G40" s="12">
        <f t="shared" si="3"/>
        <v>4459.7906257345285</v>
      </c>
      <c r="H40" s="12">
        <f t="shared" si="3"/>
        <v>4557.906019500687</v>
      </c>
      <c r="I40" s="12">
        <f t="shared" si="3"/>
        <v>4658.179951929703</v>
      </c>
      <c r="J40" s="12">
        <f t="shared" si="3"/>
        <v>4760.659910872157</v>
      </c>
      <c r="K40" s="12">
        <f t="shared" si="3"/>
        <v>4865.394428911344</v>
      </c>
      <c r="L40" s="12">
        <f t="shared" si="3"/>
        <v>4972.433106347394</v>
      </c>
      <c r="M40" s="12">
        <f t="shared" si="3"/>
        <v>5081.826634687037</v>
      </c>
      <c r="N40" s="12">
        <f t="shared" si="3"/>
        <v>5193.626820650152</v>
      </c>
      <c r="O40" s="12">
        <f t="shared" si="3"/>
        <v>5307.886610704455</v>
      </c>
      <c r="P40" s="12">
        <f t="shared" si="3"/>
        <v>5424.660116139952</v>
      </c>
      <c r="Q40" s="12">
        <f t="shared" si="3"/>
        <v>5544.002638695032</v>
      </c>
      <c r="R40" s="12">
        <f t="shared" si="3"/>
        <v>5665.970696746323</v>
      </c>
      <c r="S40" s="12">
        <f t="shared" si="3"/>
        <v>5790.622052074742</v>
      </c>
      <c r="T40" s="12">
        <f t="shared" si="3"/>
        <v>5918.015737220386</v>
      </c>
      <c r="U40" s="12">
        <f t="shared" si="3"/>
        <v>6048.212083439234</v>
      </c>
    </row>
    <row r="41" spans="1:21" ht="15">
      <c r="A41" s="11" t="s">
        <v>31</v>
      </c>
      <c r="B41" s="12">
        <f aca="true" t="shared" si="4" ref="B41:U41">B39*$B$8</f>
        <v>8740</v>
      </c>
      <c r="C41" s="12">
        <f t="shared" si="4"/>
        <v>8914.8</v>
      </c>
      <c r="D41" s="12">
        <f t="shared" si="4"/>
        <v>9093.096</v>
      </c>
      <c r="E41" s="12">
        <f t="shared" si="4"/>
        <v>9274.95792</v>
      </c>
      <c r="F41" s="12">
        <f t="shared" si="4"/>
        <v>9460.4570784</v>
      </c>
      <c r="G41" s="12">
        <f t="shared" si="4"/>
        <v>9649.666219968001</v>
      </c>
      <c r="H41" s="12">
        <f t="shared" si="4"/>
        <v>9842.659544367361</v>
      </c>
      <c r="I41" s="12">
        <f t="shared" si="4"/>
        <v>10039.512735254706</v>
      </c>
      <c r="J41" s="12">
        <f t="shared" si="4"/>
        <v>10240.3029899598</v>
      </c>
      <c r="K41" s="12">
        <f t="shared" si="4"/>
        <v>10445.109049758996</v>
      </c>
      <c r="L41" s="12">
        <f t="shared" si="4"/>
        <v>10654.011230754177</v>
      </c>
      <c r="M41" s="12">
        <f t="shared" si="4"/>
        <v>10867.091455369258</v>
      </c>
      <c r="N41" s="12">
        <f t="shared" si="4"/>
        <v>11084.433284476645</v>
      </c>
      <c r="O41" s="12">
        <f t="shared" si="4"/>
        <v>11306.121950166178</v>
      </c>
      <c r="P41" s="12">
        <f t="shared" si="4"/>
        <v>11532.244389169502</v>
      </c>
      <c r="Q41" s="12">
        <f t="shared" si="4"/>
        <v>11762.88927695289</v>
      </c>
      <c r="R41" s="12">
        <f t="shared" si="4"/>
        <v>11998.14706249195</v>
      </c>
      <c r="S41" s="12">
        <f t="shared" si="4"/>
        <v>12238.11000374179</v>
      </c>
      <c r="T41" s="12">
        <f t="shared" si="4"/>
        <v>12482.872203816625</v>
      </c>
      <c r="U41" s="12">
        <f t="shared" si="4"/>
        <v>12732.529647892956</v>
      </c>
    </row>
    <row r="42" spans="1:21" ht="15">
      <c r="A42" s="11" t="s">
        <v>65</v>
      </c>
      <c r="B42" s="12">
        <f aca="true" t="shared" si="5" ref="B42:U42">B40*$B$8</f>
        <v>1520</v>
      </c>
      <c r="C42" s="12">
        <f t="shared" si="5"/>
        <v>1553.44</v>
      </c>
      <c r="D42" s="12">
        <f t="shared" si="5"/>
        <v>1587.6156799999999</v>
      </c>
      <c r="E42" s="12">
        <f t="shared" si="5"/>
        <v>1622.5432249599999</v>
      </c>
      <c r="F42" s="12">
        <f t="shared" si="5"/>
        <v>1658.2391759091201</v>
      </c>
      <c r="G42" s="12">
        <f t="shared" si="5"/>
        <v>1694.7204377791209</v>
      </c>
      <c r="H42" s="12">
        <f t="shared" si="5"/>
        <v>1732.004287410261</v>
      </c>
      <c r="I42" s="12">
        <f t="shared" si="5"/>
        <v>1770.1083817332872</v>
      </c>
      <c r="J42" s="12">
        <f t="shared" si="5"/>
        <v>1809.0507661314196</v>
      </c>
      <c r="K42" s="12">
        <f t="shared" si="5"/>
        <v>1848.8498829863108</v>
      </c>
      <c r="L42" s="12">
        <f t="shared" si="5"/>
        <v>1889.5245804120095</v>
      </c>
      <c r="M42" s="12">
        <f t="shared" si="5"/>
        <v>1931.0941211810741</v>
      </c>
      <c r="N42" s="12">
        <f t="shared" si="5"/>
        <v>1973.5781918470577</v>
      </c>
      <c r="O42" s="12">
        <f t="shared" si="5"/>
        <v>2016.9969120676928</v>
      </c>
      <c r="P42" s="12">
        <f t="shared" si="5"/>
        <v>2061.370844133182</v>
      </c>
      <c r="Q42" s="12">
        <f t="shared" si="5"/>
        <v>2106.7210027041124</v>
      </c>
      <c r="R42" s="12">
        <f t="shared" si="5"/>
        <v>2153.0688647636025</v>
      </c>
      <c r="S42" s="12">
        <f t="shared" si="5"/>
        <v>2200.436379788402</v>
      </c>
      <c r="T42" s="12">
        <f t="shared" si="5"/>
        <v>2248.8459801437466</v>
      </c>
      <c r="U42" s="12">
        <f t="shared" si="5"/>
        <v>2298.320591706909</v>
      </c>
    </row>
    <row r="43" ht="12.75">
      <c r="A43" s="4"/>
    </row>
    <row r="44" ht="18.75">
      <c r="A44" s="18" t="s">
        <v>27</v>
      </c>
    </row>
    <row r="45" spans="1:21" ht="15">
      <c r="A45" s="11" t="s">
        <v>4</v>
      </c>
      <c r="B45" s="12">
        <f aca="true" t="shared" si="6" ref="B45:U45">IF(B$36&lt;=$B$9,(1/$B$9)*$B$10,$C$6*A47)+(IF(B$36=1,0,$B$11*A$47))</f>
        <v>4285.714285714285</v>
      </c>
      <c r="C45" s="12">
        <f t="shared" si="6"/>
        <v>4585.714285714285</v>
      </c>
      <c r="D45" s="12">
        <f t="shared" si="6"/>
        <v>4885.714285714285</v>
      </c>
      <c r="E45" s="12">
        <f t="shared" si="6"/>
        <v>5185.714285714285</v>
      </c>
      <c r="F45" s="12">
        <f t="shared" si="6"/>
        <v>5485.714285714285</v>
      </c>
      <c r="G45" s="12">
        <f t="shared" si="6"/>
        <v>5785.714285714285</v>
      </c>
      <c r="H45" s="12">
        <f t="shared" si="6"/>
        <v>6085.714285714285</v>
      </c>
      <c r="I45" s="12">
        <f t="shared" si="6"/>
        <v>2760</v>
      </c>
      <c r="J45" s="12">
        <f t="shared" si="6"/>
        <v>2820.72</v>
      </c>
      <c r="K45" s="12">
        <f t="shared" si="6"/>
        <v>2882.77584</v>
      </c>
      <c r="L45" s="12">
        <f t="shared" si="6"/>
        <v>2946.19690848</v>
      </c>
      <c r="M45" s="12">
        <f t="shared" si="6"/>
        <v>3011.0132404665596</v>
      </c>
      <c r="N45" s="12">
        <f t="shared" si="6"/>
        <v>3077.2555317568235</v>
      </c>
      <c r="O45" s="12">
        <f t="shared" si="6"/>
        <v>3144.9551534554735</v>
      </c>
      <c r="P45" s="12">
        <f t="shared" si="6"/>
        <v>3214.1441668314937</v>
      </c>
      <c r="Q45" s="12">
        <f t="shared" si="6"/>
        <v>3284.8553385017863</v>
      </c>
      <c r="R45" s="12">
        <f t="shared" si="6"/>
        <v>3357.122155948826</v>
      </c>
      <c r="S45" s="12">
        <f t="shared" si="6"/>
        <v>3430.9788433797</v>
      </c>
      <c r="T45" s="12">
        <f t="shared" si="6"/>
        <v>3506.460377934053</v>
      </c>
      <c r="U45" s="12">
        <f t="shared" si="6"/>
        <v>3583.6025062486024</v>
      </c>
    </row>
    <row r="46" spans="1:21" ht="15">
      <c r="A46" s="11" t="s">
        <v>19</v>
      </c>
      <c r="B46" s="12">
        <v>0</v>
      </c>
      <c r="C46" s="12">
        <f>(1-$B$11)*B47</f>
        <v>3985.714285714285</v>
      </c>
      <c r="D46" s="12">
        <f aca="true" t="shared" si="7" ref="D46:U46">(1-$B$11)*C47</f>
        <v>7971.42857142857</v>
      </c>
      <c r="E46" s="12">
        <f t="shared" si="7"/>
        <v>11957.142857142855</v>
      </c>
      <c r="F46" s="12">
        <f t="shared" si="7"/>
        <v>15942.85714285714</v>
      </c>
      <c r="G46" s="12">
        <f t="shared" si="7"/>
        <v>19928.571428571424</v>
      </c>
      <c r="H46" s="12">
        <f t="shared" si="7"/>
        <v>23914.28571428571</v>
      </c>
      <c r="I46" s="12">
        <f t="shared" si="7"/>
        <v>27899.999999999996</v>
      </c>
      <c r="J46" s="12">
        <f t="shared" si="7"/>
        <v>28513.799999999996</v>
      </c>
      <c r="K46" s="12">
        <f t="shared" si="7"/>
        <v>29141.103599999995</v>
      </c>
      <c r="L46" s="12">
        <f t="shared" si="7"/>
        <v>29782.207879199992</v>
      </c>
      <c r="M46" s="12">
        <f t="shared" si="7"/>
        <v>30437.41645254239</v>
      </c>
      <c r="N46" s="12">
        <f t="shared" si="7"/>
        <v>31107.03961449832</v>
      </c>
      <c r="O46" s="12">
        <f t="shared" si="7"/>
        <v>31791.39448601728</v>
      </c>
      <c r="P46" s="12">
        <f t="shared" si="7"/>
        <v>32490.80516470966</v>
      </c>
      <c r="Q46" s="12">
        <f t="shared" si="7"/>
        <v>33205.60287833327</v>
      </c>
      <c r="R46" s="12">
        <f t="shared" si="7"/>
        <v>33936.126141656605</v>
      </c>
      <c r="S46" s="12">
        <f t="shared" si="7"/>
        <v>34682.72091677305</v>
      </c>
      <c r="T46" s="12">
        <f t="shared" si="7"/>
        <v>35445.74077694205</v>
      </c>
      <c r="U46" s="12">
        <f t="shared" si="7"/>
        <v>36225.54707403478</v>
      </c>
    </row>
    <row r="47" spans="1:21" ht="15">
      <c r="A47" s="11" t="s">
        <v>10</v>
      </c>
      <c r="B47" s="12">
        <f>SUM(B45:B46)</f>
        <v>4285.714285714285</v>
      </c>
      <c r="C47" s="12">
        <f aca="true" t="shared" si="8" ref="C47:U47">SUM(C45:C46)</f>
        <v>8571.42857142857</v>
      </c>
      <c r="D47" s="12">
        <f t="shared" si="8"/>
        <v>12857.142857142855</v>
      </c>
      <c r="E47" s="12">
        <f t="shared" si="8"/>
        <v>17142.85714285714</v>
      </c>
      <c r="F47" s="12">
        <f t="shared" si="8"/>
        <v>21428.571428571424</v>
      </c>
      <c r="G47" s="12">
        <f t="shared" si="8"/>
        <v>25714.28571428571</v>
      </c>
      <c r="H47" s="12">
        <f t="shared" si="8"/>
        <v>29999.999999999996</v>
      </c>
      <c r="I47" s="12">
        <f t="shared" si="8"/>
        <v>30659.999999999996</v>
      </c>
      <c r="J47" s="12">
        <f t="shared" si="8"/>
        <v>31334.519999999997</v>
      </c>
      <c r="K47" s="12">
        <f t="shared" si="8"/>
        <v>32023.879439999993</v>
      </c>
      <c r="L47" s="12">
        <f t="shared" si="8"/>
        <v>32728.404787679992</v>
      </c>
      <c r="M47" s="12">
        <f t="shared" si="8"/>
        <v>33448.42969300895</v>
      </c>
      <c r="N47" s="12">
        <f t="shared" si="8"/>
        <v>34184.29514625514</v>
      </c>
      <c r="O47" s="12">
        <f t="shared" si="8"/>
        <v>34936.349639472755</v>
      </c>
      <c r="P47" s="12">
        <f t="shared" si="8"/>
        <v>35704.94933154115</v>
      </c>
      <c r="Q47" s="12">
        <f t="shared" si="8"/>
        <v>36490.45821683506</v>
      </c>
      <c r="R47" s="12">
        <f t="shared" si="8"/>
        <v>37293.24829760543</v>
      </c>
      <c r="S47" s="12">
        <f t="shared" si="8"/>
        <v>38113.69976015275</v>
      </c>
      <c r="T47" s="12">
        <f t="shared" si="8"/>
        <v>38952.20115487611</v>
      </c>
      <c r="U47" s="12">
        <f t="shared" si="8"/>
        <v>39809.14958028338</v>
      </c>
    </row>
    <row r="48" spans="1:21" ht="15">
      <c r="A48" s="11" t="s">
        <v>15</v>
      </c>
      <c r="B48" s="13">
        <f>(($B15*(1+$C15)^(B$36-1))/1000)*B$47*$B$14</f>
        <v>283.88571428571424</v>
      </c>
      <c r="C48" s="13">
        <f aca="true" t="shared" si="9" ref="C48:U49">(($B15*(1+$C15)^(C$36-1))/1000)*C$47*$B$14</f>
        <v>567.7714285714285</v>
      </c>
      <c r="D48" s="13">
        <f t="shared" si="9"/>
        <v>851.6571428571426</v>
      </c>
      <c r="E48" s="13">
        <f t="shared" si="9"/>
        <v>1135.542857142857</v>
      </c>
      <c r="F48" s="13">
        <f t="shared" si="9"/>
        <v>1419.428571428571</v>
      </c>
      <c r="G48" s="13">
        <f t="shared" si="9"/>
        <v>1703.3142857142852</v>
      </c>
      <c r="H48" s="13">
        <f t="shared" si="9"/>
        <v>1987.1999999999996</v>
      </c>
      <c r="I48" s="13">
        <f t="shared" si="9"/>
        <v>2030.9183999999996</v>
      </c>
      <c r="J48" s="13">
        <f t="shared" si="9"/>
        <v>2075.5986047999995</v>
      </c>
      <c r="K48" s="13">
        <f t="shared" si="9"/>
        <v>2121.2617741055997</v>
      </c>
      <c r="L48" s="13">
        <f t="shared" si="9"/>
        <v>2167.9295331359226</v>
      </c>
      <c r="M48" s="13">
        <f t="shared" si="9"/>
        <v>2215.6239828649123</v>
      </c>
      <c r="N48" s="13">
        <f t="shared" si="9"/>
        <v>2264.3677104879407</v>
      </c>
      <c r="O48" s="13">
        <f t="shared" si="9"/>
        <v>2314.183800118675</v>
      </c>
      <c r="P48" s="13">
        <f t="shared" si="9"/>
        <v>2365.0958437212857</v>
      </c>
      <c r="Q48" s="13">
        <f t="shared" si="9"/>
        <v>2417.1279522831546</v>
      </c>
      <c r="R48" s="13">
        <f t="shared" si="9"/>
        <v>2470.3047672333837</v>
      </c>
      <c r="S48" s="13">
        <f t="shared" si="9"/>
        <v>2524.6514721125177</v>
      </c>
      <c r="T48" s="13">
        <f t="shared" si="9"/>
        <v>2580.1938044989934</v>
      </c>
      <c r="U48" s="13">
        <f t="shared" si="9"/>
        <v>2636.958068197971</v>
      </c>
    </row>
    <row r="49" spans="1:21" ht="15">
      <c r="A49" s="11" t="s">
        <v>16</v>
      </c>
      <c r="B49" s="13">
        <f>(($B16*(1+$C16)^(B$36-1))/1000)*B$47*$B$14</f>
        <v>141.94285714285712</v>
      </c>
      <c r="C49" s="13">
        <f t="shared" si="9"/>
        <v>283.88571428571424</v>
      </c>
      <c r="D49" s="13">
        <f t="shared" si="9"/>
        <v>425.8285714285713</v>
      </c>
      <c r="E49" s="13">
        <f t="shared" si="9"/>
        <v>567.7714285714285</v>
      </c>
      <c r="F49" s="13">
        <f t="shared" si="9"/>
        <v>709.7142857142856</v>
      </c>
      <c r="G49" s="13">
        <f t="shared" si="9"/>
        <v>851.6571428571426</v>
      </c>
      <c r="H49" s="13">
        <f t="shared" si="9"/>
        <v>993.5999999999998</v>
      </c>
      <c r="I49" s="13">
        <f t="shared" si="9"/>
        <v>1015.4591999999998</v>
      </c>
      <c r="J49" s="13">
        <f t="shared" si="9"/>
        <v>1037.7993023999998</v>
      </c>
      <c r="K49" s="13">
        <f t="shared" si="9"/>
        <v>1060.6308870527998</v>
      </c>
      <c r="L49" s="13">
        <f t="shared" si="9"/>
        <v>1083.9647665679613</v>
      </c>
      <c r="M49" s="13">
        <f t="shared" si="9"/>
        <v>1107.8119914324561</v>
      </c>
      <c r="N49" s="13">
        <f t="shared" si="9"/>
        <v>1132.1838552439704</v>
      </c>
      <c r="O49" s="13">
        <f t="shared" si="9"/>
        <v>1157.0919000593376</v>
      </c>
      <c r="P49" s="13">
        <f t="shared" si="9"/>
        <v>1182.5479218606429</v>
      </c>
      <c r="Q49" s="13">
        <f t="shared" si="9"/>
        <v>1208.5639761415773</v>
      </c>
      <c r="R49" s="13">
        <f t="shared" si="9"/>
        <v>1235.1523836166918</v>
      </c>
      <c r="S49" s="13">
        <f t="shared" si="9"/>
        <v>1262.3257360562588</v>
      </c>
      <c r="T49" s="13">
        <f t="shared" si="9"/>
        <v>1290.0969022494967</v>
      </c>
      <c r="U49" s="13">
        <f t="shared" si="9"/>
        <v>1318.4790340989855</v>
      </c>
    </row>
    <row r="50" spans="1:21" ht="15">
      <c r="A50" s="11" t="s">
        <v>66</v>
      </c>
      <c r="B50" s="14">
        <f>B48/(B41*1000)</f>
        <v>3.248120300751879E-05</v>
      </c>
      <c r="C50" s="14">
        <f aca="true" t="shared" si="10" ref="C50:U50">C48/(C41*1000)</f>
        <v>6.368863334807607E-05</v>
      </c>
      <c r="D50" s="14">
        <f t="shared" si="10"/>
        <v>9.365975492364125E-05</v>
      </c>
      <c r="E50" s="14">
        <f t="shared" si="10"/>
        <v>0.00012243105218776636</v>
      </c>
      <c r="F50" s="14">
        <f t="shared" si="10"/>
        <v>0.00015003805415167445</v>
      </c>
      <c r="G50" s="14">
        <f t="shared" si="10"/>
        <v>0.00017651535782549935</v>
      </c>
      <c r="H50" s="14">
        <f t="shared" si="10"/>
        <v>0.00020189665110759727</v>
      </c>
      <c r="I50" s="14">
        <f t="shared" si="10"/>
        <v>0.0002022925268940828</v>
      </c>
      <c r="J50" s="14">
        <f t="shared" si="10"/>
        <v>0.0002026891789076006</v>
      </c>
      <c r="K50" s="14">
        <f t="shared" si="10"/>
        <v>0.0002030866086701646</v>
      </c>
      <c r="L50" s="14">
        <f t="shared" si="10"/>
        <v>0.00020348481770677271</v>
      </c>
      <c r="M50" s="14">
        <f t="shared" si="10"/>
        <v>0.0002038838075454134</v>
      </c>
      <c r="N50" s="14">
        <f t="shared" si="10"/>
        <v>0.00020428357971707107</v>
      </c>
      <c r="O50" s="14">
        <f t="shared" si="10"/>
        <v>0.00020468413575573197</v>
      </c>
      <c r="P50" s="14">
        <f t="shared" si="10"/>
        <v>0.00020508547719839027</v>
      </c>
      <c r="Q50" s="14">
        <f t="shared" si="10"/>
        <v>0.00020548760558505383</v>
      </c>
      <c r="R50" s="14">
        <f t="shared" si="10"/>
        <v>0.00020589052245874998</v>
      </c>
      <c r="S50" s="14">
        <f t="shared" si="10"/>
        <v>0.0002062942293655318</v>
      </c>
      <c r="T50" s="14">
        <f t="shared" si="10"/>
        <v>0.00020669872785448383</v>
      </c>
      <c r="U50" s="14">
        <f t="shared" si="10"/>
        <v>0.00020710401947772792</v>
      </c>
    </row>
    <row r="51" spans="1:21" ht="15">
      <c r="A51" s="11" t="s">
        <v>49</v>
      </c>
      <c r="B51" s="15">
        <f>(($B17*(1+$C17)^(B$36-1))/1000)*B$47*$B$14</f>
        <v>4.731428571428571</v>
      </c>
      <c r="C51" s="15">
        <f aca="true" t="shared" si="11" ref="C51:U51">(($B17*(1+$C17)^(C$36-1))/1000)*C$47*$B$14</f>
        <v>9.462857142857143</v>
      </c>
      <c r="D51" s="15">
        <f t="shared" si="11"/>
        <v>14.194285714285712</v>
      </c>
      <c r="E51" s="15">
        <f t="shared" si="11"/>
        <v>18.925714285714285</v>
      </c>
      <c r="F51" s="15">
        <f t="shared" si="11"/>
        <v>23.65714285714285</v>
      </c>
      <c r="G51" s="15">
        <f t="shared" si="11"/>
        <v>28.388571428571424</v>
      </c>
      <c r="H51" s="15">
        <f t="shared" si="11"/>
        <v>33.12</v>
      </c>
      <c r="I51" s="15">
        <f t="shared" si="11"/>
        <v>33.848639999999996</v>
      </c>
      <c r="J51" s="15">
        <f t="shared" si="11"/>
        <v>34.593310079999995</v>
      </c>
      <c r="K51" s="15">
        <f t="shared" si="11"/>
        <v>35.35436290175999</v>
      </c>
      <c r="L51" s="15">
        <f t="shared" si="11"/>
        <v>36.132158885598706</v>
      </c>
      <c r="M51" s="15">
        <f t="shared" si="11"/>
        <v>36.92706638108187</v>
      </c>
      <c r="N51" s="15">
        <f t="shared" si="11"/>
        <v>37.739461841465676</v>
      </c>
      <c r="O51" s="15">
        <f t="shared" si="11"/>
        <v>38.56973000197792</v>
      </c>
      <c r="P51" s="15">
        <f t="shared" si="11"/>
        <v>39.418264062021436</v>
      </c>
      <c r="Q51" s="15">
        <f t="shared" si="11"/>
        <v>40.2854658713859</v>
      </c>
      <c r="R51" s="15">
        <f t="shared" si="11"/>
        <v>41.1717461205564</v>
      </c>
      <c r="S51" s="15">
        <f t="shared" si="11"/>
        <v>42.07752453520863</v>
      </c>
      <c r="T51" s="15">
        <f t="shared" si="11"/>
        <v>43.003230074983215</v>
      </c>
      <c r="U51" s="15">
        <f t="shared" si="11"/>
        <v>43.949301136632855</v>
      </c>
    </row>
    <row r="52" spans="1:21" ht="15">
      <c r="A52" s="11" t="s">
        <v>67</v>
      </c>
      <c r="B52" s="14">
        <f aca="true" t="shared" si="12" ref="B52:U52">B51/B42</f>
        <v>0.003112781954887218</v>
      </c>
      <c r="C52" s="14">
        <f t="shared" si="12"/>
        <v>0.006091549813869311</v>
      </c>
      <c r="D52" s="14">
        <f t="shared" si="12"/>
        <v>0.00894063084227394</v>
      </c>
      <c r="E52" s="14">
        <f t="shared" si="12"/>
        <v>0.011664228104727907</v>
      </c>
      <c r="F52" s="14">
        <f t="shared" si="12"/>
        <v>0.014266423807152522</v>
      </c>
      <c r="G52" s="14">
        <f t="shared" si="12"/>
        <v>0.016751182552429578</v>
      </c>
      <c r="H52" s="14">
        <f t="shared" si="12"/>
        <v>0.019122354511905918</v>
      </c>
      <c r="I52" s="14">
        <f t="shared" si="12"/>
        <v>0.01912235451190591</v>
      </c>
      <c r="J52" s="14">
        <f t="shared" si="12"/>
        <v>0.01912235451190591</v>
      </c>
      <c r="K52" s="14">
        <f t="shared" si="12"/>
        <v>0.019122354511905908</v>
      </c>
      <c r="L52" s="14">
        <f t="shared" si="12"/>
        <v>0.019122354511905908</v>
      </c>
      <c r="M52" s="14">
        <f t="shared" si="12"/>
        <v>0.0191223545119059</v>
      </c>
      <c r="N52" s="14">
        <f t="shared" si="12"/>
        <v>0.0191223545119059</v>
      </c>
      <c r="O52" s="14">
        <f t="shared" si="12"/>
        <v>0.019122354511905904</v>
      </c>
      <c r="P52" s="14">
        <f t="shared" si="12"/>
        <v>0.019122354511905904</v>
      </c>
      <c r="Q52" s="14">
        <f t="shared" si="12"/>
        <v>0.019122354511905897</v>
      </c>
      <c r="R52" s="14">
        <f t="shared" si="12"/>
        <v>0.019122354511905904</v>
      </c>
      <c r="S52" s="14">
        <f t="shared" si="12"/>
        <v>0.019122354511905897</v>
      </c>
      <c r="T52" s="14">
        <f t="shared" si="12"/>
        <v>0.019122354511905897</v>
      </c>
      <c r="U52" s="14">
        <f t="shared" si="12"/>
        <v>0.0191223545119059</v>
      </c>
    </row>
    <row r="53" spans="1:21" ht="12.7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8.75">
      <c r="A54" s="18" t="s">
        <v>57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5">
      <c r="A55" s="11" t="s">
        <v>50</v>
      </c>
      <c r="B55" s="20">
        <f>((($B18*(1+$C18)^(B$36-1))/1000)*B$48*(1+$B$7))-((($B19*(1+$C19)^(B$36-1))/1000)*B$49*(1+$B$7))</f>
        <v>0.015798239999999998</v>
      </c>
      <c r="C55" s="20">
        <f aca="true" t="shared" si="13" ref="C55:U55">((($B18*(1+$C18)^(C$36-1))/1000)*C$48*(1+$B$7))-((($B19*(1+$C19)^(C$36-1))/1000)*C$49*(1+$B$7))</f>
        <v>0.032228409599999994</v>
      </c>
      <c r="D55" s="20">
        <f t="shared" si="13"/>
        <v>0.04930946668799999</v>
      </c>
      <c r="E55" s="20">
        <f t="shared" si="13"/>
        <v>0.06706087469568</v>
      </c>
      <c r="F55" s="20">
        <f t="shared" si="13"/>
        <v>0.08550261523699196</v>
      </c>
      <c r="G55" s="20">
        <f t="shared" si="13"/>
        <v>0.1046552010500782</v>
      </c>
      <c r="H55" s="20">
        <f t="shared" si="13"/>
        <v>0.12453968924959306</v>
      </c>
      <c r="I55" s="20">
        <f t="shared" si="13"/>
        <v>0.12982515366134573</v>
      </c>
      <c r="J55" s="20">
        <f t="shared" si="13"/>
        <v>0.13533493318273326</v>
      </c>
      <c r="K55" s="20">
        <f t="shared" si="13"/>
        <v>0.14107854774700848</v>
      </c>
      <c r="L55" s="20">
        <f t="shared" si="13"/>
        <v>0.14706592131339152</v>
      </c>
      <c r="M55" s="20">
        <f t="shared" si="13"/>
        <v>0.15330739901393176</v>
      </c>
      <c r="N55" s="20">
        <f t="shared" si="13"/>
        <v>0.1598137650280831</v>
      </c>
      <c r="O55" s="20">
        <f t="shared" si="13"/>
        <v>0.16659626121587495</v>
      </c>
      <c r="P55" s="20">
        <f t="shared" si="13"/>
        <v>0.17366660654187666</v>
      </c>
      <c r="Q55" s="20">
        <f t="shared" si="13"/>
        <v>0.18103701732351385</v>
      </c>
      <c r="R55" s="20">
        <f t="shared" si="13"/>
        <v>0.18872022833872387</v>
      </c>
      <c r="S55" s="20">
        <f t="shared" si="13"/>
        <v>0.1967295148294193</v>
      </c>
      <c r="T55" s="20">
        <f t="shared" si="13"/>
        <v>0.20507871543877976</v>
      </c>
      <c r="U55" s="20">
        <f t="shared" si="13"/>
        <v>0.21378225612200158</v>
      </c>
    </row>
    <row r="56" spans="1:21" ht="15">
      <c r="A56" s="11" t="s">
        <v>51</v>
      </c>
      <c r="B56" s="20">
        <f aca="true" t="shared" si="14" ref="B56:U56">(($B20*(1+$C20)^(B$36-1))/1000)*(B$51*(1+$B$7))</f>
        <v>0.27584228571428576</v>
      </c>
      <c r="C56" s="20">
        <f t="shared" si="14"/>
        <v>0.5654766857142857</v>
      </c>
      <c r="D56" s="20">
        <f t="shared" si="14"/>
        <v>0.8694204042857142</v>
      </c>
      <c r="E56" s="20">
        <f t="shared" si="14"/>
        <v>1.1882078858571428</v>
      </c>
      <c r="F56" s="20">
        <f t="shared" si="14"/>
        <v>1.5223913537544635</v>
      </c>
      <c r="G56" s="20">
        <f t="shared" si="14"/>
        <v>1.8725413651179903</v>
      </c>
      <c r="H56" s="20">
        <f t="shared" si="14"/>
        <v>2.239247382453597</v>
      </c>
      <c r="I56" s="20">
        <f t="shared" si="14"/>
        <v>2.345723595489265</v>
      </c>
      <c r="J56" s="20">
        <f t="shared" si="14"/>
        <v>2.4572627524547794</v>
      </c>
      <c r="K56" s="20">
        <f t="shared" si="14"/>
        <v>2.5741055963340034</v>
      </c>
      <c r="L56" s="20">
        <f t="shared" si="14"/>
        <v>2.6965043174396848</v>
      </c>
      <c r="M56" s="20">
        <f t="shared" si="14"/>
        <v>2.8247230977339415</v>
      </c>
      <c r="N56" s="20">
        <f t="shared" si="14"/>
        <v>2.959038681031191</v>
      </c>
      <c r="O56" s="20">
        <f t="shared" si="14"/>
        <v>3.0997409703142242</v>
      </c>
      <c r="P56" s="20">
        <f t="shared" si="14"/>
        <v>3.2471336534526647</v>
      </c>
      <c r="Q56" s="20">
        <f t="shared" si="14"/>
        <v>3.4015348586743395</v>
      </c>
      <c r="R56" s="20">
        <f t="shared" si="14"/>
        <v>3.5632778412043042</v>
      </c>
      <c r="S56" s="20">
        <f t="shared" si="14"/>
        <v>3.732711702553567</v>
      </c>
      <c r="T56" s="20">
        <f t="shared" si="14"/>
        <v>3.9102021440099892</v>
      </c>
      <c r="U56" s="20">
        <f t="shared" si="14"/>
        <v>4.096132255957666</v>
      </c>
    </row>
    <row r="57" spans="1:21" ht="15">
      <c r="A57" s="11" t="s">
        <v>52</v>
      </c>
      <c r="B57" s="20">
        <f aca="true" t="shared" si="15" ref="B57:U57">(($B21*(1+$C21)^(B$36-1))/1000)*B$51</f>
        <v>0.014194285714285715</v>
      </c>
      <c r="C57" s="20">
        <f t="shared" si="15"/>
        <v>0.02924022857142857</v>
      </c>
      <c r="D57" s="20">
        <f t="shared" si="15"/>
        <v>0.04517615314285713</v>
      </c>
      <c r="E57" s="20">
        <f t="shared" si="15"/>
        <v>0.06204191698285714</v>
      </c>
      <c r="F57" s="20">
        <f t="shared" si="15"/>
        <v>0.07987896811542855</v>
      </c>
      <c r="G57" s="20">
        <f t="shared" si="15"/>
        <v>0.09873040459066969</v>
      </c>
      <c r="H57" s="20">
        <f t="shared" si="15"/>
        <v>0.11864103618312143</v>
      </c>
      <c r="I57" s="20">
        <f t="shared" si="15"/>
        <v>0.1248886731485246</v>
      </c>
      <c r="J57" s="20">
        <f t="shared" si="15"/>
        <v>0.1314653106765259</v>
      </c>
      <c r="K57" s="20">
        <f t="shared" si="15"/>
        <v>0.13838827393675174</v>
      </c>
      <c r="L57" s="20">
        <f t="shared" si="15"/>
        <v>0.14567580044226106</v>
      </c>
      <c r="M57" s="20">
        <f t="shared" si="15"/>
        <v>0.1533470880935505</v>
      </c>
      <c r="N57" s="20">
        <f t="shared" si="15"/>
        <v>0.16142234575255685</v>
      </c>
      <c r="O57" s="20">
        <f t="shared" si="15"/>
        <v>0.16992284647988654</v>
      </c>
      <c r="P57" s="20">
        <f t="shared" si="15"/>
        <v>0.17887098357551734</v>
      </c>
      <c r="Q57" s="20">
        <f t="shared" si="15"/>
        <v>0.18829032957060407</v>
      </c>
      <c r="R57" s="20">
        <f t="shared" si="15"/>
        <v>0.1982056983257921</v>
      </c>
      <c r="S57" s="20">
        <f t="shared" si="15"/>
        <v>0.20864321039962824</v>
      </c>
      <c r="T57" s="20">
        <f t="shared" si="15"/>
        <v>0.21963036185927265</v>
      </c>
      <c r="U57" s="20">
        <f t="shared" si="15"/>
        <v>0.231196096714782</v>
      </c>
    </row>
    <row r="58" spans="1:21" ht="15">
      <c r="A58" s="11" t="s">
        <v>53</v>
      </c>
      <c r="B58" s="20">
        <f>(($B22*(1+$C22)^(B$36-1))/1000)*(B$48-B$49)</f>
        <v>0.0010645714285714284</v>
      </c>
      <c r="C58" s="20">
        <f aca="true" t="shared" si="16" ref="C58:U58">(($B22*(1+$C22)^(C$36-1))/1000)*(C$48-C$49)</f>
        <v>0.0021717257142857137</v>
      </c>
      <c r="D58" s="20">
        <f t="shared" si="16"/>
        <v>0.003322740342857142</v>
      </c>
      <c r="E58" s="20">
        <f t="shared" si="16"/>
        <v>0.004518926866285713</v>
      </c>
      <c r="F58" s="20">
        <f t="shared" si="16"/>
        <v>0.005761631754514284</v>
      </c>
      <c r="G58" s="20">
        <f t="shared" si="16"/>
        <v>0.007052237267525483</v>
      </c>
      <c r="H58" s="20">
        <f t="shared" si="16"/>
        <v>0.008392162348355327</v>
      </c>
      <c r="I58" s="20">
        <f t="shared" si="16"/>
        <v>0.008748325718419526</v>
      </c>
      <c r="J58" s="20">
        <f t="shared" si="16"/>
        <v>0.00911960466190925</v>
      </c>
      <c r="K58" s="20">
        <f t="shared" si="16"/>
        <v>0.009506640683760679</v>
      </c>
      <c r="L58" s="20">
        <f t="shared" si="16"/>
        <v>0.009910102514379482</v>
      </c>
      <c r="M58" s="20">
        <f t="shared" si="16"/>
        <v>0.010330687265089742</v>
      </c>
      <c r="N58" s="20">
        <f t="shared" si="16"/>
        <v>0.010769121632620154</v>
      </c>
      <c r="O58" s="20">
        <f t="shared" si="16"/>
        <v>0.011226163154708552</v>
      </c>
      <c r="P58" s="20">
        <f t="shared" si="16"/>
        <v>0.01170260151899438</v>
      </c>
      <c r="Q58" s="20">
        <f t="shared" si="16"/>
        <v>0.012199259927460503</v>
      </c>
      <c r="R58" s="20">
        <f t="shared" si="16"/>
        <v>0.012716996518781928</v>
      </c>
      <c r="S58" s="20">
        <f t="shared" si="16"/>
        <v>0.013256705851039031</v>
      </c>
      <c r="T58" s="20">
        <f t="shared" si="16"/>
        <v>0.013819320447357128</v>
      </c>
      <c r="U58" s="20">
        <f t="shared" si="16"/>
        <v>0.014405812407142962</v>
      </c>
    </row>
    <row r="59" spans="1:22" ht="15">
      <c r="A59" s="21" t="s">
        <v>54</v>
      </c>
      <c r="B59" s="22">
        <f>$B$13*(B40*0.95*$B$25*(MIN(1,B$36/$B$9))*$B$24*1000*($B$23*((1+$C$23)^(B$36-1)))/1000000)</f>
        <v>0.03908571428571428</v>
      </c>
      <c r="C59" s="22">
        <f aca="true" t="shared" si="17" ref="C59:U59">$B$13*(C40*0.95*$B$25*(MIN(1,C$36/$B$9))*$B$24*1000*($B$23*((1+$C$23)^(C$36-1)))/1000000)</f>
        <v>0.081489024</v>
      </c>
      <c r="D59" s="22">
        <f t="shared" si="17"/>
        <v>0.12742112726783997</v>
      </c>
      <c r="E59" s="22">
        <f t="shared" si="17"/>
        <v>0.17710517321211613</v>
      </c>
      <c r="F59" s="22">
        <f t="shared" si="17"/>
        <v>0.23077689595404804</v>
      </c>
      <c r="G59" s="22">
        <f t="shared" si="17"/>
        <v>0.28868528090200535</v>
      </c>
      <c r="H59" s="22">
        <f t="shared" si="17"/>
        <v>0.3510932649274008</v>
      </c>
      <c r="I59" s="22">
        <f t="shared" si="17"/>
        <v>0.3659936630909197</v>
      </c>
      <c r="J59" s="22">
        <f t="shared" si="17"/>
        <v>0.3815264341524984</v>
      </c>
      <c r="K59" s="22">
        <f t="shared" si="17"/>
        <v>0.39771841601793045</v>
      </c>
      <c r="L59" s="22">
        <f t="shared" si="17"/>
        <v>0.4145975855937315</v>
      </c>
      <c r="M59" s="22">
        <f t="shared" si="17"/>
        <v>0.43219310712632936</v>
      </c>
      <c r="N59" s="22">
        <f t="shared" si="17"/>
        <v>0.4505353825927709</v>
      </c>
      <c r="O59" s="22">
        <f t="shared" si="17"/>
        <v>0.4696561042300079</v>
      </c>
      <c r="P59" s="22">
        <f t="shared" si="17"/>
        <v>0.48958830929352964</v>
      </c>
      <c r="Q59" s="22">
        <f t="shared" si="17"/>
        <v>0.5103664371399469</v>
      </c>
      <c r="R59" s="22">
        <f t="shared" si="17"/>
        <v>0.5320263887321663</v>
      </c>
      <c r="S59" s="22">
        <f t="shared" si="17"/>
        <v>0.5546055886699596</v>
      </c>
      <c r="T59" s="22">
        <f t="shared" si="17"/>
        <v>0.5781430498531124</v>
      </c>
      <c r="U59" s="22">
        <f t="shared" si="17"/>
        <v>0.6026794408888784</v>
      </c>
      <c r="V59" s="10">
        <f>NPV(0.088,B59:U59)</f>
        <v>2.748798316542151</v>
      </c>
    </row>
    <row r="60" spans="1:21" ht="15">
      <c r="A60" s="23" t="s">
        <v>61</v>
      </c>
      <c r="B60" s="24">
        <f aca="true" t="shared" si="18" ref="B60:U60">SUM(B55:B59)</f>
        <v>0.3459850971428572</v>
      </c>
      <c r="C60" s="24">
        <f t="shared" si="18"/>
        <v>0.7106060735999999</v>
      </c>
      <c r="D60" s="24">
        <f t="shared" si="18"/>
        <v>1.0946498917272685</v>
      </c>
      <c r="E60" s="24">
        <f t="shared" si="18"/>
        <v>1.4989347776140818</v>
      </c>
      <c r="F60" s="24">
        <f t="shared" si="18"/>
        <v>1.9243114648154465</v>
      </c>
      <c r="G60" s="24">
        <f t="shared" si="18"/>
        <v>2.371664488928269</v>
      </c>
      <c r="H60" s="24">
        <f t="shared" si="18"/>
        <v>2.8419135351620675</v>
      </c>
      <c r="I60" s="24">
        <f t="shared" si="18"/>
        <v>2.9751794111084746</v>
      </c>
      <c r="J60" s="24">
        <f t="shared" si="18"/>
        <v>3.114709035128446</v>
      </c>
      <c r="K60" s="24">
        <f t="shared" si="18"/>
        <v>3.260797474719455</v>
      </c>
      <c r="L60" s="24">
        <f t="shared" si="18"/>
        <v>3.413753727303448</v>
      </c>
      <c r="M60" s="24">
        <f t="shared" si="18"/>
        <v>3.573901379232843</v>
      </c>
      <c r="N60" s="24">
        <f t="shared" si="18"/>
        <v>3.741579296037222</v>
      </c>
      <c r="O60" s="24">
        <f t="shared" si="18"/>
        <v>3.9171423453947023</v>
      </c>
      <c r="P60" s="24">
        <f t="shared" si="18"/>
        <v>4.100962154382582</v>
      </c>
      <c r="Q60" s="24">
        <f t="shared" si="18"/>
        <v>4.293427902635865</v>
      </c>
      <c r="R60" s="24">
        <f t="shared" si="18"/>
        <v>4.494947153119768</v>
      </c>
      <c r="S60" s="24">
        <f t="shared" si="18"/>
        <v>4.705946722303613</v>
      </c>
      <c r="T60" s="24">
        <f t="shared" si="18"/>
        <v>4.926873591608512</v>
      </c>
      <c r="U60" s="24">
        <f t="shared" si="18"/>
        <v>5.158195862090471</v>
      </c>
    </row>
    <row r="61" spans="1:2" ht="18.75">
      <c r="A61" s="29" t="s">
        <v>28</v>
      </c>
      <c r="B61" s="30">
        <f>NPV($B$35,B60:U60)</f>
        <v>22.90320277791593</v>
      </c>
    </row>
    <row r="63" ht="18.75">
      <c r="A63" s="18" t="s">
        <v>58</v>
      </c>
    </row>
    <row r="64" spans="1:21" ht="15">
      <c r="A64" s="11" t="s">
        <v>11</v>
      </c>
      <c r="B64" s="20">
        <f>(B26/1000000)</f>
        <v>0.15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</row>
    <row r="65" spans="1:21" ht="15">
      <c r="A65" s="34" t="s">
        <v>71</v>
      </c>
      <c r="B65" s="35">
        <f aca="true" t="shared" si="19" ref="B65:U65">(B$45*(SUM($B$27:$B$30)*((1+$C$27)^(B$36-1))))/1000000</f>
        <v>1.0285714285714285</v>
      </c>
      <c r="C65" s="35">
        <f t="shared" si="19"/>
        <v>1.122582857142857</v>
      </c>
      <c r="D65" s="35">
        <f t="shared" si="19"/>
        <v>1.2199433142857141</v>
      </c>
      <c r="E65" s="35">
        <f t="shared" si="19"/>
        <v>1.3207491565714282</v>
      </c>
      <c r="F65" s="35">
        <f t="shared" si="19"/>
        <v>1.425099255222857</v>
      </c>
      <c r="G65" s="35">
        <f t="shared" si="19"/>
        <v>1.5330950581577143</v>
      </c>
      <c r="H65" s="35">
        <f t="shared" si="19"/>
        <v>1.6448406535078768</v>
      </c>
      <c r="I65" s="35">
        <f t="shared" si="19"/>
        <v>0.760889386250883</v>
      </c>
      <c r="J65" s="35">
        <f t="shared" si="19"/>
        <v>0.7931815318033705</v>
      </c>
      <c r="K65" s="35">
        <f t="shared" si="19"/>
        <v>0.8268441560131056</v>
      </c>
      <c r="L65" s="35">
        <f t="shared" si="19"/>
        <v>0.8619354219943017</v>
      </c>
      <c r="M65" s="35">
        <f t="shared" si="19"/>
        <v>0.8985159613037396</v>
      </c>
      <c r="N65" s="35">
        <f t="shared" si="19"/>
        <v>0.9366489787014705</v>
      </c>
      <c r="O65" s="35">
        <f t="shared" si="19"/>
        <v>0.9764003613575607</v>
      </c>
      <c r="P65" s="35">
        <f t="shared" si="19"/>
        <v>1.0178387926935757</v>
      </c>
      <c r="Q65" s="35">
        <f t="shared" si="19"/>
        <v>1.0610358710554906</v>
      </c>
      <c r="R65" s="35">
        <f t="shared" si="19"/>
        <v>1.106066233423086</v>
      </c>
      <c r="S65" s="35">
        <f t="shared" si="19"/>
        <v>1.1530076843695616</v>
      </c>
      <c r="T65" s="35">
        <f t="shared" si="19"/>
        <v>1.2019413304942057</v>
      </c>
      <c r="U65" s="35">
        <f t="shared" si="19"/>
        <v>1.2529517205603797</v>
      </c>
    </row>
    <row r="66" spans="1:21" ht="15">
      <c r="A66" s="11" t="s">
        <v>6</v>
      </c>
      <c r="B66" s="20">
        <f aca="true" t="shared" si="20" ref="B66:U66">($B$31*((1+$C$31)^(B$36-1)))/1000000</f>
        <v>0.065</v>
      </c>
      <c r="C66" s="20">
        <f t="shared" si="20"/>
        <v>0.0663</v>
      </c>
      <c r="D66" s="20">
        <f t="shared" si="20"/>
        <v>0.067626</v>
      </c>
      <c r="E66" s="20">
        <f t="shared" si="20"/>
        <v>0.06897851999999999</v>
      </c>
      <c r="F66" s="20">
        <f t="shared" si="20"/>
        <v>0.0703580904</v>
      </c>
      <c r="G66" s="20">
        <f t="shared" si="20"/>
        <v>0.07176525220800001</v>
      </c>
      <c r="H66" s="20">
        <f t="shared" si="20"/>
        <v>0.07320055725216001</v>
      </c>
      <c r="I66" s="20">
        <f t="shared" si="20"/>
        <v>0.07466456839720319</v>
      </c>
      <c r="J66" s="20">
        <f t="shared" si="20"/>
        <v>0.07615785976514725</v>
      </c>
      <c r="K66" s="20">
        <f t="shared" si="20"/>
        <v>0.0776810169604502</v>
      </c>
      <c r="L66" s="20">
        <f t="shared" si="20"/>
        <v>0.07923463729965921</v>
      </c>
      <c r="M66" s="20">
        <f t="shared" si="20"/>
        <v>0.0808193300456524</v>
      </c>
      <c r="N66" s="20">
        <f t="shared" si="20"/>
        <v>0.08243571664656545</v>
      </c>
      <c r="O66" s="20">
        <f t="shared" si="20"/>
        <v>0.08408443097949674</v>
      </c>
      <c r="P66" s="20">
        <f t="shared" si="20"/>
        <v>0.08576611959908668</v>
      </c>
      <c r="Q66" s="20">
        <f t="shared" si="20"/>
        <v>0.08748144199106839</v>
      </c>
      <c r="R66" s="20">
        <f t="shared" si="20"/>
        <v>0.08923107083088978</v>
      </c>
      <c r="S66" s="20">
        <f t="shared" si="20"/>
        <v>0.09101569224750758</v>
      </c>
      <c r="T66" s="20">
        <f t="shared" si="20"/>
        <v>0.09283600609245772</v>
      </c>
      <c r="U66" s="20">
        <f t="shared" si="20"/>
        <v>0.09469272621430688</v>
      </c>
    </row>
    <row r="67" spans="1:21" ht="15">
      <c r="A67" s="36" t="s">
        <v>5</v>
      </c>
      <c r="B67" s="37">
        <f aca="true" t="shared" si="21" ref="B67:U67">(B47*(SUM($B$32:$B$34)*(1+$C$32)^(B$36-1)))/1000000</f>
        <v>0.21428571428571427</v>
      </c>
      <c r="C67" s="37">
        <f t="shared" si="21"/>
        <v>0.4371428571428571</v>
      </c>
      <c r="D67" s="37">
        <f t="shared" si="21"/>
        <v>0.6688285714285712</v>
      </c>
      <c r="E67" s="37">
        <f t="shared" si="21"/>
        <v>0.9096068571428569</v>
      </c>
      <c r="F67" s="37">
        <f t="shared" si="21"/>
        <v>1.1597487428571427</v>
      </c>
      <c r="G67" s="37">
        <f t="shared" si="21"/>
        <v>1.4195324612571425</v>
      </c>
      <c r="H67" s="37">
        <f t="shared" si="21"/>
        <v>1.6892436288959998</v>
      </c>
      <c r="I67" s="37">
        <f t="shared" si="21"/>
        <v>1.7609351285063457</v>
      </c>
      <c r="J67" s="37">
        <f t="shared" si="21"/>
        <v>1.8356692153601553</v>
      </c>
      <c r="K67" s="37">
        <f t="shared" si="21"/>
        <v>1.91357501686004</v>
      </c>
      <c r="L67" s="37">
        <f t="shared" si="21"/>
        <v>1.9947871405755804</v>
      </c>
      <c r="M67" s="37">
        <f t="shared" si="21"/>
        <v>2.0794459068216073</v>
      </c>
      <c r="N67" s="37">
        <f t="shared" si="21"/>
        <v>2.1676975911071166</v>
      </c>
      <c r="O67" s="37">
        <f t="shared" si="21"/>
        <v>2.259694676873702</v>
      </c>
      <c r="P67" s="37">
        <f t="shared" si="21"/>
        <v>2.3555961189602224</v>
      </c>
      <c r="Q67" s="37">
        <f t="shared" si="21"/>
        <v>2.4555676182488937</v>
      </c>
      <c r="R67" s="37">
        <f t="shared" si="21"/>
        <v>2.559781907967377</v>
      </c>
      <c r="S67" s="37">
        <f t="shared" si="21"/>
        <v>2.6684190521415125</v>
      </c>
      <c r="T67" s="37">
        <f t="shared" si="21"/>
        <v>2.7816667567143982</v>
      </c>
      <c r="U67" s="37">
        <f t="shared" si="21"/>
        <v>2.899720693869357</v>
      </c>
    </row>
    <row r="68" spans="1:21" ht="15">
      <c r="A68" s="23" t="s">
        <v>61</v>
      </c>
      <c r="B68" s="24">
        <f aca="true" t="shared" si="22" ref="B68:U68">SUM(B64:B67)</f>
        <v>1.4578571428571425</v>
      </c>
      <c r="C68" s="24">
        <f t="shared" si="22"/>
        <v>1.6260257142857142</v>
      </c>
      <c r="D68" s="24">
        <f t="shared" si="22"/>
        <v>1.9563978857142854</v>
      </c>
      <c r="E68" s="24">
        <f t="shared" si="22"/>
        <v>2.299334533714285</v>
      </c>
      <c r="F68" s="24">
        <f t="shared" si="22"/>
        <v>2.65520608848</v>
      </c>
      <c r="G68" s="24">
        <f t="shared" si="22"/>
        <v>3.024392771622857</v>
      </c>
      <c r="H68" s="24">
        <f t="shared" si="22"/>
        <v>3.407284839656037</v>
      </c>
      <c r="I68" s="24">
        <f t="shared" si="22"/>
        <v>2.596489083154432</v>
      </c>
      <c r="J68" s="24">
        <f t="shared" si="22"/>
        <v>2.705008606928673</v>
      </c>
      <c r="K68" s="24">
        <f t="shared" si="22"/>
        <v>2.818100189833596</v>
      </c>
      <c r="L68" s="24">
        <f t="shared" si="22"/>
        <v>2.9359571998695415</v>
      </c>
      <c r="M68" s="24">
        <f t="shared" si="22"/>
        <v>3.0587811981709994</v>
      </c>
      <c r="N68" s="24">
        <f t="shared" si="22"/>
        <v>3.1867822864551525</v>
      </c>
      <c r="O68" s="24">
        <f t="shared" si="22"/>
        <v>3.3201794692107596</v>
      </c>
      <c r="P68" s="24">
        <f t="shared" si="22"/>
        <v>3.459201031252885</v>
      </c>
      <c r="Q68" s="24">
        <f t="shared" si="22"/>
        <v>3.6040849312954526</v>
      </c>
      <c r="R68" s="24">
        <f t="shared" si="22"/>
        <v>3.7550792122213528</v>
      </c>
      <c r="S68" s="24">
        <f t="shared" si="22"/>
        <v>3.912442428758582</v>
      </c>
      <c r="T68" s="24">
        <f t="shared" si="22"/>
        <v>4.0764440933010615</v>
      </c>
      <c r="U68" s="24">
        <f t="shared" si="22"/>
        <v>4.247365140644043</v>
      </c>
    </row>
    <row r="69" spans="1:2" ht="18.75">
      <c r="A69" s="29" t="s">
        <v>29</v>
      </c>
      <c r="B69" s="30">
        <f>NPV($B$35,B68:U68)</f>
        <v>24.755036686856787</v>
      </c>
    </row>
    <row r="70" spans="1:2" ht="18.75">
      <c r="A70" s="18" t="s">
        <v>21</v>
      </c>
      <c r="B70" s="31">
        <f>B61-B69</f>
        <v>-1.8518339089408578</v>
      </c>
    </row>
    <row r="71" spans="1:2" ht="18.75">
      <c r="A71" s="18" t="s">
        <v>8</v>
      </c>
      <c r="B71" s="31">
        <f>B61/B69</f>
        <v>0.925193651200523</v>
      </c>
    </row>
    <row r="72" spans="1:3" ht="18">
      <c r="A72" s="38" t="s">
        <v>9</v>
      </c>
      <c r="B72" s="30">
        <f>-PMT(B35,20,B69)*1000000/(AVERAGE(B51:U51)*1000)</f>
        <v>84.12509789714392</v>
      </c>
      <c r="C72" s="30">
        <f>(B69*1000000)/(NPV(B35,B51:U51)*1000)</f>
        <v>100.60509865019687</v>
      </c>
    </row>
  </sheetData>
  <mergeCells count="34">
    <mergeCell ref="H13:Q13"/>
    <mergeCell ref="H33:Q33"/>
    <mergeCell ref="H34:Q34"/>
    <mergeCell ref="H35:Q35"/>
    <mergeCell ref="H19:Q19"/>
    <mergeCell ref="H29:Q29"/>
    <mergeCell ref="H30:Q30"/>
    <mergeCell ref="H31:Q31"/>
    <mergeCell ref="H32:Q32"/>
    <mergeCell ref="H25:Q25"/>
    <mergeCell ref="H26:Q26"/>
    <mergeCell ref="H27:Q27"/>
    <mergeCell ref="H28:Q28"/>
    <mergeCell ref="H21:Q21"/>
    <mergeCell ref="H22:Q22"/>
    <mergeCell ref="H23:Q23"/>
    <mergeCell ref="H24:Q24"/>
    <mergeCell ref="H15:Q15"/>
    <mergeCell ref="H17:Q17"/>
    <mergeCell ref="H18:Q18"/>
    <mergeCell ref="H20:Q20"/>
    <mergeCell ref="H16:Q16"/>
    <mergeCell ref="H9:Q9"/>
    <mergeCell ref="H10:Q10"/>
    <mergeCell ref="H11:Q11"/>
    <mergeCell ref="H12:Q12"/>
    <mergeCell ref="H5:Q5"/>
    <mergeCell ref="H6:Q6"/>
    <mergeCell ref="H7:Q7"/>
    <mergeCell ref="H8:Q8"/>
    <mergeCell ref="B2:B3"/>
    <mergeCell ref="D2:G2"/>
    <mergeCell ref="H3:U3"/>
    <mergeCell ref="H4:Q4"/>
  </mergeCells>
  <printOptions/>
  <pageMargins left="0.75" right="0.75" top="1" bottom="1" header="0.5" footer="0.5"/>
  <pageSetup horizontalDpi="300" verticalDpi="300" orientation="landscape" scale="81"/>
  <rowBreaks count="1" manualBreakCount="1">
    <brk id="3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2"/>
  <sheetViews>
    <sheetView zoomScale="60" zoomScaleNormal="60" workbookViewId="0" topLeftCell="A1">
      <pane xSplit="1" ySplit="37" topLeftCell="B50" activePane="bottomRight" state="frozen"/>
      <selection pane="topLeft" activeCell="A1" sqref="A1"/>
      <selection pane="topRight" activeCell="B1" sqref="B1"/>
      <selection pane="bottomLeft" activeCell="A34" sqref="A34"/>
      <selection pane="bottomRight" activeCell="D82" sqref="D82"/>
    </sheetView>
  </sheetViews>
  <sheetFormatPr defaultColWidth="8.8515625" defaultRowHeight="12.75"/>
  <cols>
    <col min="1" max="1" width="45.7109375" style="0" customWidth="1"/>
    <col min="2" max="21" width="10.7109375" style="0" customWidth="1"/>
    <col min="22" max="16384" width="11.421875" style="0" customWidth="1"/>
  </cols>
  <sheetData>
    <row r="1" spans="1:21" ht="30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5.75" customHeight="1">
      <c r="A2" s="56"/>
      <c r="B2" s="94" t="s">
        <v>43</v>
      </c>
      <c r="C2" s="91"/>
      <c r="D2" s="96" t="s">
        <v>33</v>
      </c>
      <c r="E2" s="96"/>
      <c r="F2" s="96"/>
      <c r="G2" s="96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>
      <c r="A3" s="55" t="s">
        <v>56</v>
      </c>
      <c r="B3" s="95"/>
      <c r="C3" s="92" t="s">
        <v>44</v>
      </c>
      <c r="D3" s="90" t="s">
        <v>34</v>
      </c>
      <c r="E3" s="90" t="s">
        <v>35</v>
      </c>
      <c r="F3" s="90" t="s">
        <v>36</v>
      </c>
      <c r="G3" s="90" t="s">
        <v>37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14.25">
      <c r="A4" s="40" t="s">
        <v>55</v>
      </c>
      <c r="B4" s="44">
        <v>2008</v>
      </c>
      <c r="C4" s="53" t="s">
        <v>62</v>
      </c>
      <c r="D4" s="68"/>
      <c r="E4" s="68"/>
      <c r="F4" s="68"/>
      <c r="G4" s="68"/>
      <c r="H4" s="64"/>
      <c r="I4" s="64"/>
      <c r="J4" s="64"/>
      <c r="K4" s="64"/>
      <c r="L4" s="64"/>
      <c r="M4" s="64"/>
      <c r="N4" s="64"/>
      <c r="O4" s="64"/>
      <c r="P4" s="64"/>
      <c r="Q4" s="64"/>
      <c r="R4" s="60"/>
      <c r="S4" s="60"/>
      <c r="T4" s="60"/>
      <c r="U4" s="60"/>
    </row>
    <row r="5" spans="1:21" ht="14.25">
      <c r="A5" s="40" t="s">
        <v>42</v>
      </c>
      <c r="B5" s="45">
        <v>23000</v>
      </c>
      <c r="C5" s="54">
        <v>0.02</v>
      </c>
      <c r="D5" s="68"/>
      <c r="E5" s="68"/>
      <c r="F5" s="68"/>
      <c r="G5" s="68"/>
      <c r="H5" s="66"/>
      <c r="I5" s="66"/>
      <c r="J5" s="66"/>
      <c r="K5" s="66"/>
      <c r="L5" s="66"/>
      <c r="M5" s="66"/>
      <c r="N5" s="66"/>
      <c r="O5" s="66"/>
      <c r="P5" s="66"/>
      <c r="Q5" s="66"/>
      <c r="R5" s="62"/>
      <c r="S5" s="62"/>
      <c r="T5" s="62"/>
      <c r="U5" s="62"/>
    </row>
    <row r="6" spans="1:21" ht="14.25">
      <c r="A6" s="40" t="s">
        <v>40</v>
      </c>
      <c r="B6" s="45">
        <v>4000</v>
      </c>
      <c r="C6" s="54">
        <v>0.022</v>
      </c>
      <c r="D6" s="68"/>
      <c r="E6" s="68"/>
      <c r="F6" s="68"/>
      <c r="G6" s="68"/>
      <c r="H6" s="66"/>
      <c r="I6" s="66"/>
      <c r="J6" s="66"/>
      <c r="K6" s="66"/>
      <c r="L6" s="66"/>
      <c r="M6" s="66"/>
      <c r="N6" s="66"/>
      <c r="O6" s="66"/>
      <c r="P6" s="66"/>
      <c r="Q6" s="66"/>
      <c r="R6" s="62"/>
      <c r="S6" s="62"/>
      <c r="T6" s="62"/>
      <c r="U6" s="62"/>
    </row>
    <row r="7" spans="1:21" ht="14.25">
      <c r="A7" s="40" t="s">
        <v>74</v>
      </c>
      <c r="B7" s="46">
        <v>0.06</v>
      </c>
      <c r="C7" s="53" t="s">
        <v>62</v>
      </c>
      <c r="D7" s="68"/>
      <c r="E7" s="68"/>
      <c r="F7" s="68"/>
      <c r="G7" s="68"/>
      <c r="H7" s="66"/>
      <c r="I7" s="66"/>
      <c r="J7" s="66"/>
      <c r="K7" s="66"/>
      <c r="L7" s="66"/>
      <c r="M7" s="66"/>
      <c r="N7" s="66"/>
      <c r="O7" s="66"/>
      <c r="P7" s="66"/>
      <c r="Q7" s="66"/>
      <c r="R7" s="62"/>
      <c r="S7" s="62"/>
      <c r="T7" s="62"/>
      <c r="U7" s="62"/>
    </row>
    <row r="8" spans="1:21" ht="14.25">
      <c r="A8" s="40" t="s">
        <v>64</v>
      </c>
      <c r="B8" s="46">
        <v>0.38</v>
      </c>
      <c r="C8" s="54">
        <v>0.01</v>
      </c>
      <c r="D8" s="68"/>
      <c r="E8" s="68"/>
      <c r="F8" s="68"/>
      <c r="G8" s="68"/>
      <c r="H8" s="66"/>
      <c r="I8" s="66"/>
      <c r="J8" s="66"/>
      <c r="K8" s="66"/>
      <c r="L8" s="66"/>
      <c r="M8" s="66"/>
      <c r="N8" s="66"/>
      <c r="O8" s="66"/>
      <c r="P8" s="66"/>
      <c r="Q8" s="66"/>
      <c r="R8" s="62"/>
      <c r="S8" s="62"/>
      <c r="T8" s="62"/>
      <c r="U8" s="62"/>
    </row>
    <row r="9" spans="1:21" ht="14.25">
      <c r="A9" s="40" t="s">
        <v>63</v>
      </c>
      <c r="B9" s="45">
        <v>7</v>
      </c>
      <c r="C9" s="54" t="s">
        <v>62</v>
      </c>
      <c r="D9" s="69">
        <v>4</v>
      </c>
      <c r="E9" s="69">
        <v>6</v>
      </c>
      <c r="F9" s="69" t="s">
        <v>62</v>
      </c>
      <c r="G9" s="69">
        <v>10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2"/>
      <c r="S9" s="62"/>
      <c r="T9" s="62"/>
      <c r="U9" s="62"/>
    </row>
    <row r="10" spans="1:21" ht="14.25">
      <c r="A10" s="40" t="s">
        <v>69</v>
      </c>
      <c r="B10" s="45">
        <v>30000</v>
      </c>
      <c r="C10" s="54" t="s">
        <v>62</v>
      </c>
      <c r="D10" s="70">
        <v>20000</v>
      </c>
      <c r="E10" s="70">
        <v>30000</v>
      </c>
      <c r="F10" s="70" t="s">
        <v>62</v>
      </c>
      <c r="G10" s="70">
        <v>40000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2"/>
      <c r="S10" s="62"/>
      <c r="T10" s="62"/>
      <c r="U10" s="62"/>
    </row>
    <row r="11" spans="1:21" ht="14.25">
      <c r="A11" s="40" t="s">
        <v>75</v>
      </c>
      <c r="B11" s="46">
        <v>0.07</v>
      </c>
      <c r="C11" s="54" t="s">
        <v>62</v>
      </c>
      <c r="D11" s="71">
        <v>0.06</v>
      </c>
      <c r="E11" s="71">
        <v>0.07</v>
      </c>
      <c r="F11" s="71" t="s">
        <v>62</v>
      </c>
      <c r="G11" s="71">
        <v>0.08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2"/>
      <c r="S11" s="62"/>
      <c r="T11" s="62"/>
      <c r="U11" s="62"/>
    </row>
    <row r="12" spans="1:21" ht="14.25">
      <c r="A12" s="40" t="s">
        <v>68</v>
      </c>
      <c r="B12" s="45">
        <v>120</v>
      </c>
      <c r="C12" s="54" t="s">
        <v>62</v>
      </c>
      <c r="D12" s="72">
        <v>40</v>
      </c>
      <c r="E12" s="72">
        <v>98</v>
      </c>
      <c r="F12" s="72">
        <v>107</v>
      </c>
      <c r="G12" s="72">
        <v>120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/>
      <c r="S12" s="62"/>
      <c r="T12" s="62"/>
      <c r="U12" s="62"/>
    </row>
    <row r="13" spans="1:21" ht="14.25">
      <c r="A13" s="40" t="s">
        <v>25</v>
      </c>
      <c r="B13" s="45">
        <v>24</v>
      </c>
      <c r="C13" s="54" t="s">
        <v>62</v>
      </c>
      <c r="D13" s="72"/>
      <c r="E13" s="72"/>
      <c r="F13" s="72"/>
      <c r="G13" s="72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2"/>
      <c r="S13" s="62"/>
      <c r="T13" s="62"/>
      <c r="U13" s="62"/>
    </row>
    <row r="14" spans="1:21" ht="14.25">
      <c r="A14" s="40" t="s">
        <v>24</v>
      </c>
      <c r="B14" s="46">
        <v>0.65</v>
      </c>
      <c r="C14" s="54" t="s">
        <v>62</v>
      </c>
      <c r="D14" s="71">
        <v>0.46</v>
      </c>
      <c r="E14" s="71">
        <v>0.82</v>
      </c>
      <c r="F14" s="71">
        <v>1</v>
      </c>
      <c r="G14" s="71">
        <v>1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2"/>
      <c r="S14" s="62"/>
      <c r="T14" s="62"/>
      <c r="U14" s="62"/>
    </row>
    <row r="15" spans="1:21" ht="14.25">
      <c r="A15" s="40" t="s">
        <v>12</v>
      </c>
      <c r="B15" s="58">
        <f>B17*B12</f>
        <v>132</v>
      </c>
      <c r="C15" s="54">
        <v>0</v>
      </c>
      <c r="D15" s="73"/>
      <c r="E15" s="73"/>
      <c r="F15" s="73"/>
      <c r="G15" s="73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2"/>
      <c r="S15" s="62"/>
      <c r="T15" s="62"/>
      <c r="U15" s="62"/>
    </row>
    <row r="16" spans="1:21" ht="14.25">
      <c r="A16" s="40" t="s">
        <v>13</v>
      </c>
      <c r="B16" s="58">
        <f>0.5*B15</f>
        <v>66</v>
      </c>
      <c r="C16" s="54">
        <v>0</v>
      </c>
      <c r="D16" s="73"/>
      <c r="E16" s="73"/>
      <c r="F16" s="73"/>
      <c r="G16" s="73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2"/>
      <c r="S16" s="62"/>
      <c r="T16" s="62"/>
      <c r="U16" s="62"/>
    </row>
    <row r="17" spans="1:21" ht="14.25">
      <c r="A17" s="40" t="s">
        <v>45</v>
      </c>
      <c r="B17" s="47">
        <v>1.1</v>
      </c>
      <c r="C17" s="54">
        <v>0</v>
      </c>
      <c r="D17" s="73">
        <v>1</v>
      </c>
      <c r="E17" s="73">
        <v>1.1</v>
      </c>
      <c r="F17" s="73">
        <v>1.1</v>
      </c>
      <c r="G17" s="73">
        <v>1.5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2"/>
      <c r="S17" s="62"/>
      <c r="T17" s="62"/>
      <c r="U17" s="62"/>
    </row>
    <row r="18" spans="1:21" ht="14.25">
      <c r="A18" s="40" t="s">
        <v>14</v>
      </c>
      <c r="B18" s="48">
        <v>0.075</v>
      </c>
      <c r="C18" s="54">
        <v>0.02</v>
      </c>
      <c r="D18" s="74">
        <v>0.006</v>
      </c>
      <c r="E18" s="74">
        <v>0.075</v>
      </c>
      <c r="F18" s="74">
        <v>0.075</v>
      </c>
      <c r="G18" s="74">
        <v>0.09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2"/>
      <c r="S18" s="62"/>
      <c r="T18" s="62"/>
      <c r="U18" s="62"/>
    </row>
    <row r="19" spans="1:21" ht="14.25">
      <c r="A19" s="40" t="s">
        <v>17</v>
      </c>
      <c r="B19" s="48">
        <v>0.045</v>
      </c>
      <c r="C19" s="54">
        <v>0.02</v>
      </c>
      <c r="D19" s="74">
        <v>0.006</v>
      </c>
      <c r="E19" s="74">
        <v>0.045</v>
      </c>
      <c r="F19" s="74">
        <v>0.045</v>
      </c>
      <c r="G19" s="74">
        <v>0.06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2"/>
      <c r="S19" s="62"/>
      <c r="T19" s="62"/>
      <c r="U19" s="62"/>
    </row>
    <row r="20" spans="1:21" ht="14.25">
      <c r="A20" s="40" t="s">
        <v>46</v>
      </c>
      <c r="B20" s="49">
        <v>80</v>
      </c>
      <c r="C20" s="54">
        <v>0.03</v>
      </c>
      <c r="D20" s="75">
        <v>25</v>
      </c>
      <c r="E20" s="75">
        <v>56.70666666666667</v>
      </c>
      <c r="F20" s="75">
        <v>67.5</v>
      </c>
      <c r="G20" s="75">
        <v>85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2"/>
      <c r="S20" s="62"/>
      <c r="T20" s="62"/>
      <c r="U20" s="62"/>
    </row>
    <row r="21" spans="1:21" ht="14.25">
      <c r="A21" s="40" t="s">
        <v>47</v>
      </c>
      <c r="B21" s="49">
        <v>3</v>
      </c>
      <c r="C21" s="54">
        <v>0.03</v>
      </c>
      <c r="D21" s="75">
        <v>3</v>
      </c>
      <c r="E21" s="75">
        <v>15.2</v>
      </c>
      <c r="F21" s="75">
        <v>15.2</v>
      </c>
      <c r="G21" s="75">
        <v>25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2"/>
      <c r="S21" s="62"/>
      <c r="T21" s="62"/>
      <c r="U21" s="62"/>
    </row>
    <row r="22" spans="1:21" ht="14.25">
      <c r="A22" s="40" t="s">
        <v>22</v>
      </c>
      <c r="B22" s="48">
        <v>0.0075</v>
      </c>
      <c r="C22" s="54">
        <v>0.02</v>
      </c>
      <c r="D22" s="74">
        <v>0.00030000000000000003</v>
      </c>
      <c r="E22" s="74">
        <v>0.006375</v>
      </c>
      <c r="F22" s="74">
        <v>0.0075</v>
      </c>
      <c r="G22" s="74">
        <v>0.010799999999999999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2"/>
      <c r="S22" s="62"/>
      <c r="T22" s="62"/>
      <c r="U22" s="62"/>
    </row>
    <row r="23" spans="1:21" ht="14.25">
      <c r="A23" s="41" t="s">
        <v>38</v>
      </c>
      <c r="B23" s="49">
        <v>3</v>
      </c>
      <c r="C23" s="54">
        <v>0.02</v>
      </c>
      <c r="D23" s="76">
        <v>3</v>
      </c>
      <c r="E23" s="76">
        <v>4</v>
      </c>
      <c r="F23" s="76">
        <v>4</v>
      </c>
      <c r="G23" s="76">
        <v>5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2"/>
      <c r="S23" s="62"/>
      <c r="T23" s="62"/>
      <c r="U23" s="62"/>
    </row>
    <row r="24" spans="1:21" ht="14.25">
      <c r="A24" s="41" t="s">
        <v>20</v>
      </c>
      <c r="B24" s="50">
        <v>0</v>
      </c>
      <c r="C24" s="54" t="s">
        <v>62</v>
      </c>
      <c r="D24" s="77">
        <v>0.05</v>
      </c>
      <c r="E24" s="77">
        <v>0.1</v>
      </c>
      <c r="F24" s="77">
        <v>0.1</v>
      </c>
      <c r="G24" s="77">
        <v>0.2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2"/>
      <c r="S24" s="62"/>
      <c r="T24" s="62"/>
      <c r="U24" s="62"/>
    </row>
    <row r="25" spans="1:21" ht="14.25">
      <c r="A25" s="41" t="s">
        <v>39</v>
      </c>
      <c r="B25" s="46">
        <v>0.01</v>
      </c>
      <c r="C25" s="54" t="s">
        <v>62</v>
      </c>
      <c r="D25" s="71">
        <v>0.01</v>
      </c>
      <c r="E25" s="71">
        <v>0.03</v>
      </c>
      <c r="F25" s="71">
        <v>0.03</v>
      </c>
      <c r="G25" s="71">
        <v>0.05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2"/>
      <c r="S25" s="62"/>
      <c r="T25" s="62"/>
      <c r="U25" s="62"/>
    </row>
    <row r="26" spans="1:21" ht="14.25">
      <c r="A26" s="42" t="s">
        <v>76</v>
      </c>
      <c r="B26" s="51">
        <v>150000</v>
      </c>
      <c r="C26" s="54" t="s">
        <v>62</v>
      </c>
      <c r="D26" s="78">
        <v>20000</v>
      </c>
      <c r="E26" s="78">
        <v>140000</v>
      </c>
      <c r="F26" s="78">
        <v>100000</v>
      </c>
      <c r="G26" s="78">
        <v>300000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2"/>
      <c r="S26" s="62"/>
      <c r="T26" s="62"/>
      <c r="U26" s="62"/>
    </row>
    <row r="27" spans="1:21" ht="14.25">
      <c r="A27" s="40" t="s">
        <v>77</v>
      </c>
      <c r="B27" s="51">
        <v>175</v>
      </c>
      <c r="C27" s="54">
        <v>-0.015</v>
      </c>
      <c r="D27" s="78">
        <v>100</v>
      </c>
      <c r="E27" s="78">
        <v>267.66666666666663</v>
      </c>
      <c r="F27" s="78">
        <v>300</v>
      </c>
      <c r="G27" s="78">
        <v>430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2"/>
      <c r="S27" s="62"/>
      <c r="T27" s="62"/>
      <c r="U27" s="62"/>
    </row>
    <row r="28" spans="1:21" ht="14.25">
      <c r="A28" s="40" t="s">
        <v>78</v>
      </c>
      <c r="B28" s="51">
        <v>5</v>
      </c>
      <c r="C28" s="54">
        <v>0.02</v>
      </c>
      <c r="D28" s="78">
        <v>0</v>
      </c>
      <c r="E28" s="78">
        <v>5</v>
      </c>
      <c r="F28" s="78">
        <v>0</v>
      </c>
      <c r="G28" s="78">
        <v>20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2"/>
      <c r="S28" s="62"/>
      <c r="T28" s="62"/>
      <c r="U28" s="62"/>
    </row>
    <row r="29" spans="1:21" ht="14.25">
      <c r="A29" s="40" t="s">
        <v>3</v>
      </c>
      <c r="B29" s="51">
        <v>30</v>
      </c>
      <c r="C29" s="54">
        <v>0.02</v>
      </c>
      <c r="D29" s="78">
        <v>25</v>
      </c>
      <c r="E29" s="78">
        <v>25</v>
      </c>
      <c r="F29" s="78">
        <v>25</v>
      </c>
      <c r="G29" s="78">
        <v>25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2"/>
      <c r="S29" s="62"/>
      <c r="T29" s="62"/>
      <c r="U29" s="62"/>
    </row>
    <row r="30" spans="1:21" ht="14.25">
      <c r="A30" s="40" t="s">
        <v>79</v>
      </c>
      <c r="B30" s="51">
        <v>0</v>
      </c>
      <c r="C30" s="54">
        <v>0.02</v>
      </c>
      <c r="D30" s="78">
        <v>0</v>
      </c>
      <c r="E30" s="78">
        <v>0</v>
      </c>
      <c r="F30" s="78">
        <v>0</v>
      </c>
      <c r="G30" s="78">
        <v>0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2"/>
      <c r="S30" s="62"/>
      <c r="T30" s="62"/>
      <c r="U30" s="63"/>
    </row>
    <row r="31" spans="1:21" ht="14.25">
      <c r="A31" s="40" t="s">
        <v>70</v>
      </c>
      <c r="B31" s="51">
        <v>65000</v>
      </c>
      <c r="C31" s="54">
        <v>0.02</v>
      </c>
      <c r="D31" s="78">
        <v>60000</v>
      </c>
      <c r="E31" s="78">
        <v>202500</v>
      </c>
      <c r="F31" s="78">
        <v>170000</v>
      </c>
      <c r="G31" s="78">
        <v>410000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2"/>
      <c r="S31" s="62"/>
      <c r="T31" s="62"/>
      <c r="U31" s="62"/>
    </row>
    <row r="32" spans="1:21" ht="14.25">
      <c r="A32" s="40" t="s">
        <v>1</v>
      </c>
      <c r="B32" s="51">
        <v>5</v>
      </c>
      <c r="C32" s="54">
        <v>0.02</v>
      </c>
      <c r="D32" s="78">
        <v>0</v>
      </c>
      <c r="E32" s="78">
        <v>2.5</v>
      </c>
      <c r="F32" s="78">
        <v>1</v>
      </c>
      <c r="G32" s="78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2"/>
      <c r="S32" s="62"/>
      <c r="T32" s="62"/>
      <c r="U32" s="62"/>
    </row>
    <row r="33" spans="1:21" ht="14.25">
      <c r="A33" s="40" t="s">
        <v>0</v>
      </c>
      <c r="B33" s="51">
        <v>15</v>
      </c>
      <c r="C33" s="54">
        <v>0.02</v>
      </c>
      <c r="D33" s="78">
        <v>0</v>
      </c>
      <c r="E33" s="78">
        <v>10</v>
      </c>
      <c r="F33" s="78">
        <v>0</v>
      </c>
      <c r="G33" s="78">
        <v>30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2"/>
      <c r="S33" s="62"/>
      <c r="T33" s="62"/>
      <c r="U33" s="62"/>
    </row>
    <row r="34" spans="1:21" ht="14.25">
      <c r="A34" s="40" t="s">
        <v>2</v>
      </c>
      <c r="B34" s="51">
        <v>21</v>
      </c>
      <c r="C34" s="54">
        <v>0.02</v>
      </c>
      <c r="D34" s="78">
        <v>15</v>
      </c>
      <c r="E34" s="78">
        <v>23.2</v>
      </c>
      <c r="F34" s="78">
        <v>20</v>
      </c>
      <c r="G34" s="78">
        <v>40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2"/>
      <c r="S34" s="62"/>
      <c r="T34" s="62"/>
      <c r="U34" s="62"/>
    </row>
    <row r="35" spans="1:21" ht="14.25">
      <c r="A35" s="40" t="s">
        <v>59</v>
      </c>
      <c r="B35" s="52">
        <v>0.088</v>
      </c>
      <c r="C35" s="53"/>
      <c r="D35" s="72"/>
      <c r="E35" s="72"/>
      <c r="F35" s="72"/>
      <c r="G35" s="72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2"/>
      <c r="S35" s="62"/>
      <c r="T35" s="62"/>
      <c r="U35" s="62"/>
    </row>
    <row r="36" spans="1:21" ht="15.75">
      <c r="A36" s="16" t="s">
        <v>48</v>
      </c>
      <c r="B36" s="17">
        <v>1</v>
      </c>
      <c r="C36" s="17">
        <f aca="true" t="shared" si="0" ref="C36:U36">B36+1</f>
        <v>2</v>
      </c>
      <c r="D36" s="17">
        <f t="shared" si="0"/>
        <v>3</v>
      </c>
      <c r="E36" s="17">
        <f t="shared" si="0"/>
        <v>4</v>
      </c>
      <c r="F36" s="17">
        <f t="shared" si="0"/>
        <v>5</v>
      </c>
      <c r="G36" s="17">
        <f t="shared" si="0"/>
        <v>6</v>
      </c>
      <c r="H36" s="17">
        <f t="shared" si="0"/>
        <v>7</v>
      </c>
      <c r="I36" s="17">
        <f t="shared" si="0"/>
        <v>8</v>
      </c>
      <c r="J36" s="17">
        <f t="shared" si="0"/>
        <v>9</v>
      </c>
      <c r="K36" s="17">
        <f t="shared" si="0"/>
        <v>10</v>
      </c>
      <c r="L36" s="17">
        <f t="shared" si="0"/>
        <v>11</v>
      </c>
      <c r="M36" s="17">
        <f t="shared" si="0"/>
        <v>12</v>
      </c>
      <c r="N36" s="17">
        <f t="shared" si="0"/>
        <v>13</v>
      </c>
      <c r="O36" s="17">
        <f t="shared" si="0"/>
        <v>14</v>
      </c>
      <c r="P36" s="17">
        <f t="shared" si="0"/>
        <v>15</v>
      </c>
      <c r="Q36" s="17">
        <f t="shared" si="0"/>
        <v>16</v>
      </c>
      <c r="R36" s="17">
        <f t="shared" si="0"/>
        <v>17</v>
      </c>
      <c r="S36" s="17">
        <f t="shared" si="0"/>
        <v>18</v>
      </c>
      <c r="T36" s="17">
        <f t="shared" si="0"/>
        <v>19</v>
      </c>
      <c r="U36" s="17">
        <f t="shared" si="0"/>
        <v>20</v>
      </c>
    </row>
    <row r="37" spans="1:21" ht="15.75">
      <c r="A37" s="16" t="s">
        <v>41</v>
      </c>
      <c r="B37" s="17">
        <f>B4</f>
        <v>2008</v>
      </c>
      <c r="C37" s="17">
        <f aca="true" t="shared" si="1" ref="C37:U37">B37+1</f>
        <v>2009</v>
      </c>
      <c r="D37" s="17">
        <f t="shared" si="1"/>
        <v>2010</v>
      </c>
      <c r="E37" s="17">
        <f t="shared" si="1"/>
        <v>2011</v>
      </c>
      <c r="F37" s="17">
        <f t="shared" si="1"/>
        <v>2012</v>
      </c>
      <c r="G37" s="17">
        <f t="shared" si="1"/>
        <v>2013</v>
      </c>
      <c r="H37" s="17">
        <f t="shared" si="1"/>
        <v>2014</v>
      </c>
      <c r="I37" s="17">
        <f t="shared" si="1"/>
        <v>2015</v>
      </c>
      <c r="J37" s="17">
        <f t="shared" si="1"/>
        <v>2016</v>
      </c>
      <c r="K37" s="17">
        <f t="shared" si="1"/>
        <v>2017</v>
      </c>
      <c r="L37" s="17">
        <f t="shared" si="1"/>
        <v>2018</v>
      </c>
      <c r="M37" s="17">
        <f t="shared" si="1"/>
        <v>2019</v>
      </c>
      <c r="N37" s="17">
        <f t="shared" si="1"/>
        <v>2020</v>
      </c>
      <c r="O37" s="17">
        <f t="shared" si="1"/>
        <v>2021</v>
      </c>
      <c r="P37" s="17">
        <f t="shared" si="1"/>
        <v>2022</v>
      </c>
      <c r="Q37" s="17">
        <f t="shared" si="1"/>
        <v>2023</v>
      </c>
      <c r="R37" s="17">
        <f t="shared" si="1"/>
        <v>2024</v>
      </c>
      <c r="S37" s="17">
        <f t="shared" si="1"/>
        <v>2025</v>
      </c>
      <c r="T37" s="17">
        <f t="shared" si="1"/>
        <v>2026</v>
      </c>
      <c r="U37" s="17">
        <f t="shared" si="1"/>
        <v>2027</v>
      </c>
    </row>
    <row r="38" ht="18.75">
      <c r="A38" s="18" t="s">
        <v>26</v>
      </c>
    </row>
    <row r="39" spans="1:21" ht="15">
      <c r="A39" s="11" t="s">
        <v>30</v>
      </c>
      <c r="B39" s="12">
        <f>($B5*((1+$C5)^(B$36-1)))</f>
        <v>23000</v>
      </c>
      <c r="C39" s="12">
        <f aca="true" t="shared" si="2" ref="C39:U39">($B5*((1+$C5)^(C$36-1)))</f>
        <v>23460</v>
      </c>
      <c r="D39" s="12">
        <f t="shared" si="2"/>
        <v>23929.2</v>
      </c>
      <c r="E39" s="12">
        <f t="shared" si="2"/>
        <v>24407.784</v>
      </c>
      <c r="F39" s="12">
        <f t="shared" si="2"/>
        <v>24895.93968</v>
      </c>
      <c r="G39" s="12">
        <f t="shared" si="2"/>
        <v>25393.8584736</v>
      </c>
      <c r="H39" s="12">
        <f t="shared" si="2"/>
        <v>25901.735643072003</v>
      </c>
      <c r="I39" s="12">
        <f t="shared" si="2"/>
        <v>26419.770355933437</v>
      </c>
      <c r="J39" s="12">
        <f t="shared" si="2"/>
        <v>26948.165763052108</v>
      </c>
      <c r="K39" s="12">
        <f t="shared" si="2"/>
        <v>27487.129078313148</v>
      </c>
      <c r="L39" s="12">
        <f t="shared" si="2"/>
        <v>28036.871659879413</v>
      </c>
      <c r="M39" s="12">
        <f t="shared" si="2"/>
        <v>28597.609093076997</v>
      </c>
      <c r="N39" s="12">
        <f t="shared" si="2"/>
        <v>29169.56127493854</v>
      </c>
      <c r="O39" s="12">
        <f t="shared" si="2"/>
        <v>29752.95250043731</v>
      </c>
      <c r="P39" s="12">
        <f t="shared" si="2"/>
        <v>30348.01155044606</v>
      </c>
      <c r="Q39" s="12">
        <f t="shared" si="2"/>
        <v>30954.971781454973</v>
      </c>
      <c r="R39" s="12">
        <f t="shared" si="2"/>
        <v>31574.071217084078</v>
      </c>
      <c r="S39" s="12">
        <f t="shared" si="2"/>
        <v>32205.552641425762</v>
      </c>
      <c r="T39" s="12">
        <f t="shared" si="2"/>
        <v>32849.663694254275</v>
      </c>
      <c r="U39" s="12">
        <f t="shared" si="2"/>
        <v>33506.65696813936</v>
      </c>
    </row>
    <row r="40" spans="1:21" ht="15">
      <c r="A40" s="11" t="s">
        <v>60</v>
      </c>
      <c r="B40" s="12">
        <f aca="true" t="shared" si="3" ref="B40:U40">$B6*((1+$C6)^(B$36-1))</f>
        <v>4000</v>
      </c>
      <c r="C40" s="12">
        <f t="shared" si="3"/>
        <v>4088</v>
      </c>
      <c r="D40" s="12">
        <f t="shared" si="3"/>
        <v>4177.936</v>
      </c>
      <c r="E40" s="12">
        <f t="shared" si="3"/>
        <v>4269.850592</v>
      </c>
      <c r="F40" s="12">
        <f t="shared" si="3"/>
        <v>4363.7873050240005</v>
      </c>
      <c r="G40" s="12">
        <f t="shared" si="3"/>
        <v>4459.7906257345285</v>
      </c>
      <c r="H40" s="12">
        <f t="shared" si="3"/>
        <v>4557.906019500687</v>
      </c>
      <c r="I40" s="12">
        <f t="shared" si="3"/>
        <v>4658.179951929703</v>
      </c>
      <c r="J40" s="12">
        <f t="shared" si="3"/>
        <v>4760.659910872157</v>
      </c>
      <c r="K40" s="12">
        <f t="shared" si="3"/>
        <v>4865.394428911344</v>
      </c>
      <c r="L40" s="12">
        <f t="shared" si="3"/>
        <v>4972.433106347394</v>
      </c>
      <c r="M40" s="12">
        <f t="shared" si="3"/>
        <v>5081.826634687037</v>
      </c>
      <c r="N40" s="12">
        <f t="shared" si="3"/>
        <v>5193.626820650152</v>
      </c>
      <c r="O40" s="12">
        <f t="shared" si="3"/>
        <v>5307.886610704455</v>
      </c>
      <c r="P40" s="12">
        <f t="shared" si="3"/>
        <v>5424.660116139952</v>
      </c>
      <c r="Q40" s="12">
        <f t="shared" si="3"/>
        <v>5544.002638695032</v>
      </c>
      <c r="R40" s="12">
        <f t="shared" si="3"/>
        <v>5665.970696746323</v>
      </c>
      <c r="S40" s="12">
        <f t="shared" si="3"/>
        <v>5790.622052074742</v>
      </c>
      <c r="T40" s="12">
        <f t="shared" si="3"/>
        <v>5918.015737220386</v>
      </c>
      <c r="U40" s="12">
        <f t="shared" si="3"/>
        <v>6048.212083439234</v>
      </c>
    </row>
    <row r="41" spans="1:21" ht="15">
      <c r="A41" s="11" t="s">
        <v>31</v>
      </c>
      <c r="B41" s="12">
        <f aca="true" t="shared" si="4" ref="B41:U41">B39*$B$8</f>
        <v>8740</v>
      </c>
      <c r="C41" s="12">
        <f t="shared" si="4"/>
        <v>8914.8</v>
      </c>
      <c r="D41" s="12">
        <f t="shared" si="4"/>
        <v>9093.096</v>
      </c>
      <c r="E41" s="12">
        <f t="shared" si="4"/>
        <v>9274.95792</v>
      </c>
      <c r="F41" s="12">
        <f t="shared" si="4"/>
        <v>9460.4570784</v>
      </c>
      <c r="G41" s="12">
        <f t="shared" si="4"/>
        <v>9649.666219968001</v>
      </c>
      <c r="H41" s="12">
        <f t="shared" si="4"/>
        <v>9842.659544367361</v>
      </c>
      <c r="I41" s="12">
        <f t="shared" si="4"/>
        <v>10039.512735254706</v>
      </c>
      <c r="J41" s="12">
        <f t="shared" si="4"/>
        <v>10240.3029899598</v>
      </c>
      <c r="K41" s="12">
        <f t="shared" si="4"/>
        <v>10445.109049758996</v>
      </c>
      <c r="L41" s="12">
        <f t="shared" si="4"/>
        <v>10654.011230754177</v>
      </c>
      <c r="M41" s="12">
        <f t="shared" si="4"/>
        <v>10867.091455369258</v>
      </c>
      <c r="N41" s="12">
        <f t="shared" si="4"/>
        <v>11084.433284476645</v>
      </c>
      <c r="O41" s="12">
        <f t="shared" si="4"/>
        <v>11306.121950166178</v>
      </c>
      <c r="P41" s="12">
        <f t="shared" si="4"/>
        <v>11532.244389169502</v>
      </c>
      <c r="Q41" s="12">
        <f t="shared" si="4"/>
        <v>11762.88927695289</v>
      </c>
      <c r="R41" s="12">
        <f t="shared" si="4"/>
        <v>11998.14706249195</v>
      </c>
      <c r="S41" s="12">
        <f t="shared" si="4"/>
        <v>12238.11000374179</v>
      </c>
      <c r="T41" s="12">
        <f t="shared" si="4"/>
        <v>12482.872203816625</v>
      </c>
      <c r="U41" s="12">
        <f t="shared" si="4"/>
        <v>12732.529647892956</v>
      </c>
    </row>
    <row r="42" spans="1:21" ht="15">
      <c r="A42" s="11" t="s">
        <v>65</v>
      </c>
      <c r="B42" s="12">
        <f aca="true" t="shared" si="5" ref="B42:U42">B40*$B$8</f>
        <v>1520</v>
      </c>
      <c r="C42" s="12">
        <f t="shared" si="5"/>
        <v>1553.44</v>
      </c>
      <c r="D42" s="12">
        <f t="shared" si="5"/>
        <v>1587.6156799999999</v>
      </c>
      <c r="E42" s="12">
        <f t="shared" si="5"/>
        <v>1622.5432249599999</v>
      </c>
      <c r="F42" s="12">
        <f t="shared" si="5"/>
        <v>1658.2391759091201</v>
      </c>
      <c r="G42" s="12">
        <f t="shared" si="5"/>
        <v>1694.7204377791209</v>
      </c>
      <c r="H42" s="12">
        <f t="shared" si="5"/>
        <v>1732.004287410261</v>
      </c>
      <c r="I42" s="12">
        <f t="shared" si="5"/>
        <v>1770.1083817332872</v>
      </c>
      <c r="J42" s="12">
        <f t="shared" si="5"/>
        <v>1809.0507661314196</v>
      </c>
      <c r="K42" s="12">
        <f t="shared" si="5"/>
        <v>1848.8498829863108</v>
      </c>
      <c r="L42" s="12">
        <f t="shared" si="5"/>
        <v>1889.5245804120095</v>
      </c>
      <c r="M42" s="12">
        <f t="shared" si="5"/>
        <v>1931.0941211810741</v>
      </c>
      <c r="N42" s="12">
        <f t="shared" si="5"/>
        <v>1973.5781918470577</v>
      </c>
      <c r="O42" s="12">
        <f t="shared" si="5"/>
        <v>2016.9969120676928</v>
      </c>
      <c r="P42" s="12">
        <f t="shared" si="5"/>
        <v>2061.370844133182</v>
      </c>
      <c r="Q42" s="12">
        <f t="shared" si="5"/>
        <v>2106.7210027041124</v>
      </c>
      <c r="R42" s="12">
        <f t="shared" si="5"/>
        <v>2153.0688647636025</v>
      </c>
      <c r="S42" s="12">
        <f t="shared" si="5"/>
        <v>2200.436379788402</v>
      </c>
      <c r="T42" s="12">
        <f t="shared" si="5"/>
        <v>2248.8459801437466</v>
      </c>
      <c r="U42" s="12">
        <f t="shared" si="5"/>
        <v>2298.320591706909</v>
      </c>
    </row>
    <row r="43" ht="12.75">
      <c r="A43" s="4"/>
    </row>
    <row r="44" ht="18.75">
      <c r="A44" s="18" t="s">
        <v>27</v>
      </c>
    </row>
    <row r="45" spans="1:21" ht="15">
      <c r="A45" s="11" t="s">
        <v>4</v>
      </c>
      <c r="B45" s="12">
        <f aca="true" t="shared" si="6" ref="B45:U45">IF(B$36&lt;=$B$9,(1/$B$9)*$B$10,$C$6*A47)+(IF(B$36=1,0,$B$11*A$47))</f>
        <v>4285.714285714285</v>
      </c>
      <c r="C45" s="12">
        <f t="shared" si="6"/>
        <v>4585.714285714285</v>
      </c>
      <c r="D45" s="12">
        <f t="shared" si="6"/>
        <v>4885.714285714285</v>
      </c>
      <c r="E45" s="12">
        <f t="shared" si="6"/>
        <v>5185.714285714285</v>
      </c>
      <c r="F45" s="12">
        <f t="shared" si="6"/>
        <v>5485.714285714285</v>
      </c>
      <c r="G45" s="12">
        <f t="shared" si="6"/>
        <v>5785.714285714285</v>
      </c>
      <c r="H45" s="12">
        <f t="shared" si="6"/>
        <v>6085.714285714285</v>
      </c>
      <c r="I45" s="12">
        <f t="shared" si="6"/>
        <v>2760</v>
      </c>
      <c r="J45" s="12">
        <f t="shared" si="6"/>
        <v>2820.72</v>
      </c>
      <c r="K45" s="12">
        <f t="shared" si="6"/>
        <v>2882.77584</v>
      </c>
      <c r="L45" s="12">
        <f t="shared" si="6"/>
        <v>2946.19690848</v>
      </c>
      <c r="M45" s="12">
        <f t="shared" si="6"/>
        <v>3011.0132404665596</v>
      </c>
      <c r="N45" s="12">
        <f t="shared" si="6"/>
        <v>3077.2555317568235</v>
      </c>
      <c r="O45" s="12">
        <f t="shared" si="6"/>
        <v>3144.9551534554735</v>
      </c>
      <c r="P45" s="12">
        <f t="shared" si="6"/>
        <v>3214.1441668314937</v>
      </c>
      <c r="Q45" s="12">
        <f t="shared" si="6"/>
        <v>3284.8553385017863</v>
      </c>
      <c r="R45" s="12">
        <f t="shared" si="6"/>
        <v>3357.122155948826</v>
      </c>
      <c r="S45" s="12">
        <f t="shared" si="6"/>
        <v>3430.9788433797</v>
      </c>
      <c r="T45" s="12">
        <f t="shared" si="6"/>
        <v>3506.460377934053</v>
      </c>
      <c r="U45" s="12">
        <f t="shared" si="6"/>
        <v>3583.6025062486024</v>
      </c>
    </row>
    <row r="46" spans="1:21" ht="15">
      <c r="A46" s="11" t="s">
        <v>19</v>
      </c>
      <c r="B46" s="12">
        <v>0</v>
      </c>
      <c r="C46" s="12">
        <f aca="true" t="shared" si="7" ref="C46:U46">(1-$B$11)*B47</f>
        <v>3985.714285714285</v>
      </c>
      <c r="D46" s="12">
        <f t="shared" si="7"/>
        <v>7971.42857142857</v>
      </c>
      <c r="E46" s="12">
        <f t="shared" si="7"/>
        <v>11957.142857142855</v>
      </c>
      <c r="F46" s="12">
        <f t="shared" si="7"/>
        <v>15942.85714285714</v>
      </c>
      <c r="G46" s="12">
        <f t="shared" si="7"/>
        <v>19928.571428571424</v>
      </c>
      <c r="H46" s="12">
        <f t="shared" si="7"/>
        <v>23914.28571428571</v>
      </c>
      <c r="I46" s="12">
        <f t="shared" si="7"/>
        <v>27899.999999999996</v>
      </c>
      <c r="J46" s="12">
        <f t="shared" si="7"/>
        <v>28513.799999999996</v>
      </c>
      <c r="K46" s="12">
        <f t="shared" si="7"/>
        <v>29141.103599999995</v>
      </c>
      <c r="L46" s="12">
        <f t="shared" si="7"/>
        <v>29782.207879199992</v>
      </c>
      <c r="M46" s="12">
        <f t="shared" si="7"/>
        <v>30437.41645254239</v>
      </c>
      <c r="N46" s="12">
        <f t="shared" si="7"/>
        <v>31107.03961449832</v>
      </c>
      <c r="O46" s="12">
        <f t="shared" si="7"/>
        <v>31791.39448601728</v>
      </c>
      <c r="P46" s="12">
        <f t="shared" si="7"/>
        <v>32490.80516470966</v>
      </c>
      <c r="Q46" s="12">
        <f t="shared" si="7"/>
        <v>33205.60287833327</v>
      </c>
      <c r="R46" s="12">
        <f t="shared" si="7"/>
        <v>33936.126141656605</v>
      </c>
      <c r="S46" s="12">
        <f t="shared" si="7"/>
        <v>34682.72091677305</v>
      </c>
      <c r="T46" s="12">
        <f t="shared" si="7"/>
        <v>35445.74077694205</v>
      </c>
      <c r="U46" s="12">
        <f t="shared" si="7"/>
        <v>36225.54707403478</v>
      </c>
    </row>
    <row r="47" spans="1:21" ht="15">
      <c r="A47" s="11" t="s">
        <v>10</v>
      </c>
      <c r="B47" s="12">
        <f aca="true" t="shared" si="8" ref="B47:U47">SUM(B45:B46)</f>
        <v>4285.714285714285</v>
      </c>
      <c r="C47" s="12">
        <f t="shared" si="8"/>
        <v>8571.42857142857</v>
      </c>
      <c r="D47" s="12">
        <f t="shared" si="8"/>
        <v>12857.142857142855</v>
      </c>
      <c r="E47" s="12">
        <f t="shared" si="8"/>
        <v>17142.85714285714</v>
      </c>
      <c r="F47" s="12">
        <f t="shared" si="8"/>
        <v>21428.571428571424</v>
      </c>
      <c r="G47" s="12">
        <f t="shared" si="8"/>
        <v>25714.28571428571</v>
      </c>
      <c r="H47" s="12">
        <f t="shared" si="8"/>
        <v>29999.999999999996</v>
      </c>
      <c r="I47" s="12">
        <f t="shared" si="8"/>
        <v>30659.999999999996</v>
      </c>
      <c r="J47" s="12">
        <f t="shared" si="8"/>
        <v>31334.519999999997</v>
      </c>
      <c r="K47" s="12">
        <f t="shared" si="8"/>
        <v>32023.879439999993</v>
      </c>
      <c r="L47" s="12">
        <f t="shared" si="8"/>
        <v>32728.404787679992</v>
      </c>
      <c r="M47" s="12">
        <f t="shared" si="8"/>
        <v>33448.42969300895</v>
      </c>
      <c r="N47" s="12">
        <f t="shared" si="8"/>
        <v>34184.29514625514</v>
      </c>
      <c r="O47" s="12">
        <f t="shared" si="8"/>
        <v>34936.349639472755</v>
      </c>
      <c r="P47" s="12">
        <f t="shared" si="8"/>
        <v>35704.94933154115</v>
      </c>
      <c r="Q47" s="12">
        <f t="shared" si="8"/>
        <v>36490.45821683506</v>
      </c>
      <c r="R47" s="12">
        <f t="shared" si="8"/>
        <v>37293.24829760543</v>
      </c>
      <c r="S47" s="12">
        <f t="shared" si="8"/>
        <v>38113.69976015275</v>
      </c>
      <c r="T47" s="12">
        <f t="shared" si="8"/>
        <v>38952.20115487611</v>
      </c>
      <c r="U47" s="12">
        <f t="shared" si="8"/>
        <v>39809.14958028338</v>
      </c>
    </row>
    <row r="48" spans="1:21" ht="15">
      <c r="A48" s="11" t="s">
        <v>15</v>
      </c>
      <c r="B48" s="13">
        <f>(($B15*(1+$C15)^(B$36-1))/1000)*B$47*$B$14</f>
        <v>367.7142857142857</v>
      </c>
      <c r="C48" s="13">
        <f aca="true" t="shared" si="9" ref="C48:U48">(($B15*(1+$C15)^(C$36-1))/1000)*C$47*$B$14</f>
        <v>735.4285714285714</v>
      </c>
      <c r="D48" s="13">
        <f t="shared" si="9"/>
        <v>1103.142857142857</v>
      </c>
      <c r="E48" s="13">
        <f t="shared" si="9"/>
        <v>1470.857142857143</v>
      </c>
      <c r="F48" s="13">
        <f t="shared" si="9"/>
        <v>1838.5714285714282</v>
      </c>
      <c r="G48" s="13">
        <f t="shared" si="9"/>
        <v>2206.285714285714</v>
      </c>
      <c r="H48" s="13">
        <f t="shared" si="9"/>
        <v>2574</v>
      </c>
      <c r="I48" s="13">
        <f t="shared" si="9"/>
        <v>2630.628</v>
      </c>
      <c r="J48" s="13">
        <f t="shared" si="9"/>
        <v>2688.5018160000004</v>
      </c>
      <c r="K48" s="13">
        <f t="shared" si="9"/>
        <v>2747.6488559519994</v>
      </c>
      <c r="L48" s="13">
        <f t="shared" si="9"/>
        <v>2808.0971307829436</v>
      </c>
      <c r="M48" s="13">
        <f t="shared" si="9"/>
        <v>2869.875267660168</v>
      </c>
      <c r="N48" s="13">
        <f t="shared" si="9"/>
        <v>2933.0125235486917</v>
      </c>
      <c r="O48" s="13">
        <f t="shared" si="9"/>
        <v>2997.5387990667623</v>
      </c>
      <c r="P48" s="13">
        <f t="shared" si="9"/>
        <v>3063.484652646231</v>
      </c>
      <c r="Q48" s="13">
        <f t="shared" si="9"/>
        <v>3130.8813150044484</v>
      </c>
      <c r="R48" s="13">
        <f t="shared" si="9"/>
        <v>3199.760703934546</v>
      </c>
      <c r="S48" s="13">
        <f t="shared" si="9"/>
        <v>3270.1554394211057</v>
      </c>
      <c r="T48" s="13">
        <f t="shared" si="9"/>
        <v>3342.09885908837</v>
      </c>
      <c r="U48" s="13">
        <f t="shared" si="9"/>
        <v>3415.6250339883145</v>
      </c>
    </row>
    <row r="49" spans="1:21" ht="15">
      <c r="A49" s="11" t="s">
        <v>16</v>
      </c>
      <c r="B49" s="13">
        <f>(($B16*(1+$C16)^(B$36-1))/1000)*B$47*$B$14</f>
        <v>183.85714285714286</v>
      </c>
      <c r="C49" s="13">
        <f aca="true" t="shared" si="10" ref="C49:U49">(($B16*(1+$C16)^(C$36-1))/1000)*C$47*$B$14</f>
        <v>367.7142857142857</v>
      </c>
      <c r="D49" s="13">
        <f t="shared" si="10"/>
        <v>551.5714285714286</v>
      </c>
      <c r="E49" s="13">
        <f t="shared" si="10"/>
        <v>735.4285714285714</v>
      </c>
      <c r="F49" s="13">
        <f t="shared" si="10"/>
        <v>919.2857142857141</v>
      </c>
      <c r="G49" s="13">
        <f t="shared" si="10"/>
        <v>1103.142857142857</v>
      </c>
      <c r="H49" s="13">
        <f t="shared" si="10"/>
        <v>1287</v>
      </c>
      <c r="I49" s="13">
        <f t="shared" si="10"/>
        <v>1315.314</v>
      </c>
      <c r="J49" s="13">
        <f t="shared" si="10"/>
        <v>1344.2509080000002</v>
      </c>
      <c r="K49" s="13">
        <f t="shared" si="10"/>
        <v>1373.8244279759997</v>
      </c>
      <c r="L49" s="13">
        <f t="shared" si="10"/>
        <v>1404.0485653914718</v>
      </c>
      <c r="M49" s="13">
        <f t="shared" si="10"/>
        <v>1434.937633830084</v>
      </c>
      <c r="N49" s="13">
        <f t="shared" si="10"/>
        <v>1466.5062617743458</v>
      </c>
      <c r="O49" s="13">
        <f t="shared" si="10"/>
        <v>1498.7693995333811</v>
      </c>
      <c r="P49" s="13">
        <f t="shared" si="10"/>
        <v>1531.7423263231155</v>
      </c>
      <c r="Q49" s="13">
        <f t="shared" si="10"/>
        <v>1565.4406575022242</v>
      </c>
      <c r="R49" s="13">
        <f t="shared" si="10"/>
        <v>1599.880351967273</v>
      </c>
      <c r="S49" s="13">
        <f t="shared" si="10"/>
        <v>1635.0777197105529</v>
      </c>
      <c r="T49" s="13">
        <f t="shared" si="10"/>
        <v>1671.049429544185</v>
      </c>
      <c r="U49" s="13">
        <f t="shared" si="10"/>
        <v>1707.8125169941572</v>
      </c>
    </row>
    <row r="50" spans="1:21" ht="15">
      <c r="A50" s="11" t="s">
        <v>66</v>
      </c>
      <c r="B50" s="14">
        <f>B48/(B41*1000)</f>
        <v>4.2072572736188296E-05</v>
      </c>
      <c r="C50" s="14">
        <f aca="true" t="shared" si="11" ref="C50:U50">C48/(C41*1000)</f>
        <v>8.249524065919274E-05</v>
      </c>
      <c r="D50" s="14">
        <f t="shared" si="11"/>
        <v>0.00012131653038116579</v>
      </c>
      <c r="E50" s="14">
        <f t="shared" si="11"/>
        <v>0.00015858369984466118</v>
      </c>
      <c r="F50" s="14">
        <f t="shared" si="11"/>
        <v>0.00019434276941747685</v>
      </c>
      <c r="G50" s="14">
        <f t="shared" si="11"/>
        <v>0.00022863855225585517</v>
      </c>
      <c r="H50" s="14">
        <f t="shared" si="11"/>
        <v>0.0002615146839527755</v>
      </c>
      <c r="I50" s="14">
        <f t="shared" si="11"/>
        <v>0.0002620274578428791</v>
      </c>
      <c r="J50" s="14">
        <f t="shared" si="11"/>
        <v>0.00026254123717198277</v>
      </c>
      <c r="K50" s="14">
        <f t="shared" si="11"/>
        <v>0.00026305602391153563</v>
      </c>
      <c r="L50" s="14">
        <f t="shared" si="11"/>
        <v>0.0002635718200368524</v>
      </c>
      <c r="M50" s="14">
        <f t="shared" si="11"/>
        <v>0.0002640886275271207</v>
      </c>
      <c r="N50" s="14">
        <f t="shared" si="11"/>
        <v>0.0002646064483654091</v>
      </c>
      <c r="O50" s="14">
        <f t="shared" si="11"/>
        <v>0.0002651252845386746</v>
      </c>
      <c r="P50" s="14">
        <f t="shared" si="11"/>
        <v>0.00026564513803777</v>
      </c>
      <c r="Q50" s="14">
        <f t="shared" si="11"/>
        <v>0.00026616601085745195</v>
      </c>
      <c r="R50" s="14">
        <f t="shared" si="11"/>
        <v>0.0002666879049963881</v>
      </c>
      <c r="S50" s="14">
        <f t="shared" si="11"/>
        <v>0.0002672108224571653</v>
      </c>
      <c r="T50" s="14">
        <f t="shared" si="11"/>
        <v>0.000267734765246297</v>
      </c>
      <c r="U50" s="14">
        <f t="shared" si="11"/>
        <v>0.000268259735374231</v>
      </c>
    </row>
    <row r="51" spans="1:21" ht="15">
      <c r="A51" s="11" t="s">
        <v>49</v>
      </c>
      <c r="B51" s="15">
        <f>(($B17*(1+$C17)^(B$36-1))/1000)*B$47*$B$14</f>
        <v>3.0642857142857145</v>
      </c>
      <c r="C51" s="15">
        <f aca="true" t="shared" si="12" ref="C51:U51">(($B17*(1+$C17)^(C$36-1))/1000)*C$47*$B$14</f>
        <v>6.128571428571429</v>
      </c>
      <c r="D51" s="15">
        <f t="shared" si="12"/>
        <v>9.192857142857141</v>
      </c>
      <c r="E51" s="15">
        <f t="shared" si="12"/>
        <v>12.257142857142858</v>
      </c>
      <c r="F51" s="15">
        <f t="shared" si="12"/>
        <v>15.321428571428571</v>
      </c>
      <c r="G51" s="15">
        <f t="shared" si="12"/>
        <v>18.385714285714283</v>
      </c>
      <c r="H51" s="15">
        <f t="shared" si="12"/>
        <v>21.45</v>
      </c>
      <c r="I51" s="15">
        <f t="shared" si="12"/>
        <v>21.9219</v>
      </c>
      <c r="J51" s="15">
        <f t="shared" si="12"/>
        <v>22.4041818</v>
      </c>
      <c r="K51" s="15">
        <f t="shared" si="12"/>
        <v>22.897073799599998</v>
      </c>
      <c r="L51" s="15">
        <f t="shared" si="12"/>
        <v>23.4008094231912</v>
      </c>
      <c r="M51" s="15">
        <f t="shared" si="12"/>
        <v>23.9156272305014</v>
      </c>
      <c r="N51" s="15">
        <f t="shared" si="12"/>
        <v>24.44177102957243</v>
      </c>
      <c r="O51" s="15">
        <f t="shared" si="12"/>
        <v>24.979489992223023</v>
      </c>
      <c r="P51" s="15">
        <f t="shared" si="12"/>
        <v>25.52903877205193</v>
      </c>
      <c r="Q51" s="15">
        <f t="shared" si="12"/>
        <v>26.09067762503707</v>
      </c>
      <c r="R51" s="15">
        <f t="shared" si="12"/>
        <v>26.664672532787883</v>
      </c>
      <c r="S51" s="15">
        <f t="shared" si="12"/>
        <v>27.25129532850922</v>
      </c>
      <c r="T51" s="15">
        <f t="shared" si="12"/>
        <v>27.850823825736416</v>
      </c>
      <c r="U51" s="15">
        <f t="shared" si="12"/>
        <v>28.463541949902623</v>
      </c>
    </row>
    <row r="52" spans="1:21" ht="15">
      <c r="A52" s="11" t="s">
        <v>67</v>
      </c>
      <c r="B52" s="14">
        <f aca="true" t="shared" si="13" ref="B52:U52">B51/B42</f>
        <v>0.0020159774436090227</v>
      </c>
      <c r="C52" s="14">
        <f t="shared" si="13"/>
        <v>0.003945161337786737</v>
      </c>
      <c r="D52" s="14">
        <f t="shared" si="13"/>
        <v>0.005790354213972705</v>
      </c>
      <c r="E52" s="14">
        <f t="shared" si="13"/>
        <v>0.007554278165652586</v>
      </c>
      <c r="F52" s="14">
        <f t="shared" si="13"/>
        <v>0.00923957701278447</v>
      </c>
      <c r="G52" s="14">
        <f t="shared" si="13"/>
        <v>0.010848818410314445</v>
      </c>
      <c r="H52" s="14">
        <f t="shared" si="13"/>
        <v>0.012384495902185445</v>
      </c>
      <c r="I52" s="14">
        <f t="shared" si="13"/>
        <v>0.012384495902185443</v>
      </c>
      <c r="J52" s="14">
        <f t="shared" si="13"/>
        <v>0.012384495902185442</v>
      </c>
      <c r="K52" s="14">
        <f t="shared" si="13"/>
        <v>0.01238449590218544</v>
      </c>
      <c r="L52" s="14">
        <f t="shared" si="13"/>
        <v>0.012384495902185442</v>
      </c>
      <c r="M52" s="14">
        <f t="shared" si="13"/>
        <v>0.012384495902185436</v>
      </c>
      <c r="N52" s="14">
        <f t="shared" si="13"/>
        <v>0.012384495902185436</v>
      </c>
      <c r="O52" s="14">
        <f t="shared" si="13"/>
        <v>0.012384495902185438</v>
      </c>
      <c r="P52" s="14">
        <f t="shared" si="13"/>
        <v>0.012384495902185438</v>
      </c>
      <c r="Q52" s="14">
        <f t="shared" si="13"/>
        <v>0.012384495902185435</v>
      </c>
      <c r="R52" s="14">
        <f t="shared" si="13"/>
        <v>0.012384495902185435</v>
      </c>
      <c r="S52" s="14">
        <f t="shared" si="13"/>
        <v>0.012384495902185435</v>
      </c>
      <c r="T52" s="14">
        <f t="shared" si="13"/>
        <v>0.012384495902185435</v>
      </c>
      <c r="U52" s="14">
        <f t="shared" si="13"/>
        <v>0.012384495902185436</v>
      </c>
    </row>
    <row r="53" spans="1:21" ht="12.7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8.75">
      <c r="A54" s="18" t="s">
        <v>57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2" ht="15">
      <c r="A55" s="11" t="s">
        <v>50</v>
      </c>
      <c r="B55" s="20">
        <f>((($B18*(1+$C18)^(B$36-1))/1000)*B$48*(1+$B$7))-((($B19*(1+$C19)^(B$36-1))/1000)*B$49*(1+$B$7))</f>
        <v>0.0204633</v>
      </c>
      <c r="C55" s="20">
        <f aca="true" t="shared" si="14" ref="C55:U55">((($B18*(1+$C18)^(C$36-1))/1000)*C$48*(1+$B$7))-((($B19*(1+$C19)^(C$36-1))/1000)*C$49*(1+$B$7))</f>
        <v>0.04174513200000001</v>
      </c>
      <c r="D55" s="20">
        <f t="shared" si="14"/>
        <v>0.06387005196</v>
      </c>
      <c r="E55" s="20">
        <f t="shared" si="14"/>
        <v>0.08686327066560001</v>
      </c>
      <c r="F55" s="20">
        <f t="shared" si="14"/>
        <v>0.11075067009863995</v>
      </c>
      <c r="G55" s="20">
        <f t="shared" si="14"/>
        <v>0.13555882020073534</v>
      </c>
      <c r="H55" s="20">
        <f t="shared" si="14"/>
        <v>0.16131499603887509</v>
      </c>
      <c r="I55" s="20">
        <f t="shared" si="14"/>
        <v>0.1681612044707649</v>
      </c>
      <c r="J55" s="20">
        <f t="shared" si="14"/>
        <v>0.17529796598850422</v>
      </c>
      <c r="K55" s="20">
        <f t="shared" si="14"/>
        <v>0.18273761166505625</v>
      </c>
      <c r="L55" s="20">
        <f t="shared" si="14"/>
        <v>0.19049299590412128</v>
      </c>
      <c r="M55" s="20">
        <f t="shared" si="14"/>
        <v>0.1985775186502921</v>
      </c>
      <c r="N55" s="20">
        <f t="shared" si="14"/>
        <v>0.20700514854181054</v>
      </c>
      <c r="O55" s="20">
        <f t="shared" si="14"/>
        <v>0.21579044704592498</v>
      </c>
      <c r="P55" s="20">
        <f t="shared" si="14"/>
        <v>0.22494859361855407</v>
      </c>
      <c r="Q55" s="20">
        <f t="shared" si="14"/>
        <v>0.23449541193172535</v>
      </c>
      <c r="R55" s="20">
        <f t="shared" si="14"/>
        <v>0.24444739721410794</v>
      </c>
      <c r="S55" s="20">
        <f t="shared" si="14"/>
        <v>0.25482174475187463</v>
      </c>
      <c r="T55" s="20">
        <f t="shared" si="14"/>
        <v>0.2656363795991441</v>
      </c>
      <c r="U55" s="20">
        <f t="shared" si="14"/>
        <v>0.2769099875493318</v>
      </c>
      <c r="V55" s="10">
        <f aca="true" t="shared" si="15" ref="V55:V60">NPV(0.088,B55:U55)</f>
        <v>1.2818190653144679</v>
      </c>
    </row>
    <row r="56" spans="1:22" ht="15">
      <c r="A56" s="11" t="s">
        <v>51</v>
      </c>
      <c r="B56" s="20">
        <f aca="true" t="shared" si="16" ref="B56:U56">(($B20*(1+$C20)^(B$36-1))/1000)*(B$51*(1+$B$7))</f>
        <v>0.2598514285714286</v>
      </c>
      <c r="C56" s="20">
        <f t="shared" si="16"/>
        <v>0.5352939428571429</v>
      </c>
      <c r="D56" s="20">
        <f t="shared" si="16"/>
        <v>0.8270291417142855</v>
      </c>
      <c r="E56" s="20">
        <f t="shared" si="16"/>
        <v>1.1357866879542857</v>
      </c>
      <c r="F56" s="20">
        <f t="shared" si="16"/>
        <v>1.4623253607411426</v>
      </c>
      <c r="G56" s="20">
        <f t="shared" si="16"/>
        <v>1.8074341458760521</v>
      </c>
      <c r="H56" s="20">
        <f t="shared" si="16"/>
        <v>2.17193336529439</v>
      </c>
      <c r="I56" s="20">
        <f t="shared" si="16"/>
        <v>2.2863073763107926</v>
      </c>
      <c r="J56" s="20">
        <f t="shared" si="16"/>
        <v>2.4067043227473186</v>
      </c>
      <c r="K56" s="20">
        <f t="shared" si="16"/>
        <v>2.533441372383192</v>
      </c>
      <c r="L56" s="20">
        <f t="shared" si="16"/>
        <v>2.6668523950528913</v>
      </c>
      <c r="M56" s="20">
        <f t="shared" si="16"/>
        <v>2.807288842176376</v>
      </c>
      <c r="N56" s="20">
        <f t="shared" si="16"/>
        <v>2.9551206726053834</v>
      </c>
      <c r="O56" s="20">
        <f t="shared" si="16"/>
        <v>3.1107373272247822</v>
      </c>
      <c r="P56" s="20">
        <f t="shared" si="16"/>
        <v>3.2745487548764403</v>
      </c>
      <c r="Q56" s="20">
        <f t="shared" si="16"/>
        <v>3.446986492308233</v>
      </c>
      <c r="R56" s="20">
        <f t="shared" si="16"/>
        <v>3.6285048009931837</v>
      </c>
      <c r="S56" s="20">
        <f t="shared" si="16"/>
        <v>3.819581863813485</v>
      </c>
      <c r="T56" s="20">
        <f t="shared" si="16"/>
        <v>4.0207210447619035</v>
      </c>
      <c r="U56" s="20">
        <f t="shared" si="16"/>
        <v>4.232452214979065</v>
      </c>
      <c r="V56" s="10">
        <f t="shared" si="15"/>
        <v>17.907637633969586</v>
      </c>
    </row>
    <row r="57" spans="1:22" ht="15">
      <c r="A57" s="11" t="s">
        <v>52</v>
      </c>
      <c r="B57" s="20">
        <f aca="true" t="shared" si="17" ref="B57:U57">(($B21*(1+$C21)^(B$36-1))/1000)*B$51</f>
        <v>0.009192857142857143</v>
      </c>
      <c r="C57" s="20">
        <f t="shared" si="17"/>
        <v>0.018937285714285716</v>
      </c>
      <c r="D57" s="20">
        <f t="shared" si="17"/>
        <v>0.02925810642857142</v>
      </c>
      <c r="E57" s="20">
        <f t="shared" si="17"/>
        <v>0.04018113282857143</v>
      </c>
      <c r="F57" s="20">
        <f t="shared" si="17"/>
        <v>0.051733208516785714</v>
      </c>
      <c r="G57" s="20">
        <f t="shared" si="17"/>
        <v>0.06394224572674712</v>
      </c>
      <c r="H57" s="20">
        <f t="shared" si="17"/>
        <v>0.07683726528164114</v>
      </c>
      <c r="I57" s="20">
        <f t="shared" si="17"/>
        <v>0.08088351567137238</v>
      </c>
      <c r="J57" s="20">
        <f t="shared" si="17"/>
        <v>0.08514284160662683</v>
      </c>
      <c r="K57" s="20">
        <f t="shared" si="17"/>
        <v>0.08962646364563179</v>
      </c>
      <c r="L57" s="20">
        <f t="shared" si="17"/>
        <v>0.09434619322121077</v>
      </c>
      <c r="M57" s="20">
        <f t="shared" si="17"/>
        <v>0.0993144637562397</v>
      </c>
      <c r="N57" s="20">
        <f t="shared" si="17"/>
        <v>0.10454436341764327</v>
      </c>
      <c r="O57" s="20">
        <f t="shared" si="17"/>
        <v>0.11004966959521638</v>
      </c>
      <c r="P57" s="20">
        <f t="shared" si="17"/>
        <v>0.11584488519610048</v>
      </c>
      <c r="Q57" s="20">
        <f t="shared" si="17"/>
        <v>0.12194527685052711</v>
      </c>
      <c r="R57" s="20">
        <f t="shared" si="17"/>
        <v>0.12836691512947584</v>
      </c>
      <c r="S57" s="20">
        <f t="shared" si="17"/>
        <v>0.13512671688019404</v>
      </c>
      <c r="T57" s="20">
        <f t="shared" si="17"/>
        <v>0.14224248979110504</v>
      </c>
      <c r="U57" s="20">
        <f t="shared" si="17"/>
        <v>0.14973297930350468</v>
      </c>
      <c r="V57" s="10">
        <f t="shared" si="15"/>
        <v>0.6335249162960938</v>
      </c>
    </row>
    <row r="58" spans="1:22" ht="15">
      <c r="A58" s="11" t="s">
        <v>53</v>
      </c>
      <c r="B58" s="20">
        <f aca="true" t="shared" si="18" ref="B58:U58">(($B22*(1+$C22)^(B$36-1))/1000)*(B$48-B$49)</f>
        <v>0.0013789285714285713</v>
      </c>
      <c r="C58" s="20">
        <f t="shared" si="18"/>
        <v>0.0028130142857142855</v>
      </c>
      <c r="D58" s="20">
        <f t="shared" si="18"/>
        <v>0.004303911857142857</v>
      </c>
      <c r="E58" s="20">
        <f t="shared" si="18"/>
        <v>0.005853320125714285</v>
      </c>
      <c r="F58" s="20">
        <f t="shared" si="18"/>
        <v>0.007462983160285713</v>
      </c>
      <c r="G58" s="20">
        <f t="shared" si="18"/>
        <v>0.009134691388189713</v>
      </c>
      <c r="H58" s="20">
        <f t="shared" si="18"/>
        <v>0.010870282751945761</v>
      </c>
      <c r="I58" s="20">
        <f t="shared" si="18"/>
        <v>0.011331617551938337</v>
      </c>
      <c r="J58" s="20">
        <f t="shared" si="18"/>
        <v>0.011812531400842602</v>
      </c>
      <c r="K58" s="20">
        <f t="shared" si="18"/>
        <v>0.012313855233494358</v>
      </c>
      <c r="L58" s="20">
        <f t="shared" si="18"/>
        <v>0.01283645524960386</v>
      </c>
      <c r="M58" s="20">
        <f t="shared" si="18"/>
        <v>0.013381234410397043</v>
      </c>
      <c r="N58" s="20">
        <f t="shared" si="18"/>
        <v>0.013949133998774295</v>
      </c>
      <c r="O58" s="20">
        <f t="shared" si="18"/>
        <v>0.014541135245682273</v>
      </c>
      <c r="P58" s="20">
        <f t="shared" si="18"/>
        <v>0.015158261025509028</v>
      </c>
      <c r="Q58" s="20">
        <f t="shared" si="18"/>
        <v>0.01580157762343163</v>
      </c>
      <c r="R58" s="20">
        <f t="shared" si="18"/>
        <v>0.016472196577770073</v>
      </c>
      <c r="S58" s="20">
        <f t="shared" si="18"/>
        <v>0.01717127660053063</v>
      </c>
      <c r="T58" s="20">
        <f t="shared" si="18"/>
        <v>0.01790002557945715</v>
      </c>
      <c r="U58" s="20">
        <f t="shared" si="18"/>
        <v>0.01865970266504931</v>
      </c>
      <c r="V58" s="10">
        <f t="shared" si="15"/>
        <v>0.08637594779747086</v>
      </c>
    </row>
    <row r="59" spans="1:24" ht="15">
      <c r="A59" s="21" t="s">
        <v>54</v>
      </c>
      <c r="B59" s="22">
        <f aca="true" t="shared" si="19" ref="B59:U59">$B$13*(B40*0.95*$B$25*(MIN(1,B$36/$B$9))*$B$24*1000*($B$23*((1+$C$23)^(B$36-1)))/1000000)</f>
        <v>0</v>
      </c>
      <c r="C59" s="22">
        <f t="shared" si="19"/>
        <v>0</v>
      </c>
      <c r="D59" s="22">
        <f t="shared" si="19"/>
        <v>0</v>
      </c>
      <c r="E59" s="22">
        <f t="shared" si="19"/>
        <v>0</v>
      </c>
      <c r="F59" s="22">
        <f t="shared" si="19"/>
        <v>0</v>
      </c>
      <c r="G59" s="22">
        <f t="shared" si="19"/>
        <v>0</v>
      </c>
      <c r="H59" s="22">
        <f t="shared" si="19"/>
        <v>0</v>
      </c>
      <c r="I59" s="22">
        <f t="shared" si="19"/>
        <v>0</v>
      </c>
      <c r="J59" s="22">
        <f t="shared" si="19"/>
        <v>0</v>
      </c>
      <c r="K59" s="22">
        <f t="shared" si="19"/>
        <v>0</v>
      </c>
      <c r="L59" s="22">
        <f t="shared" si="19"/>
        <v>0</v>
      </c>
      <c r="M59" s="22">
        <f t="shared" si="19"/>
        <v>0</v>
      </c>
      <c r="N59" s="22">
        <f t="shared" si="19"/>
        <v>0</v>
      </c>
      <c r="O59" s="22">
        <f t="shared" si="19"/>
        <v>0</v>
      </c>
      <c r="P59" s="22">
        <f t="shared" si="19"/>
        <v>0</v>
      </c>
      <c r="Q59" s="22">
        <f t="shared" si="19"/>
        <v>0</v>
      </c>
      <c r="R59" s="22">
        <f t="shared" si="19"/>
        <v>0</v>
      </c>
      <c r="S59" s="22">
        <f t="shared" si="19"/>
        <v>0</v>
      </c>
      <c r="T59" s="22">
        <f t="shared" si="19"/>
        <v>0</v>
      </c>
      <c r="U59" s="22">
        <f t="shared" si="19"/>
        <v>0</v>
      </c>
      <c r="V59" s="10">
        <f t="shared" si="15"/>
        <v>0</v>
      </c>
      <c r="X59" s="10"/>
    </row>
    <row r="60" spans="1:23" ht="15">
      <c r="A60" s="23" t="s">
        <v>61</v>
      </c>
      <c r="B60" s="24">
        <f aca="true" t="shared" si="20" ref="B60:U60">SUM(B55:B59)</f>
        <v>0.2908865142857144</v>
      </c>
      <c r="C60" s="24">
        <f t="shared" si="20"/>
        <v>0.5987893748571429</v>
      </c>
      <c r="D60" s="24">
        <f t="shared" si="20"/>
        <v>0.9244612119599998</v>
      </c>
      <c r="E60" s="24">
        <f t="shared" si="20"/>
        <v>1.2686844115741716</v>
      </c>
      <c r="F60" s="24">
        <f t="shared" si="20"/>
        <v>1.632272222516854</v>
      </c>
      <c r="G60" s="24">
        <f t="shared" si="20"/>
        <v>2.0160699031917244</v>
      </c>
      <c r="H60" s="24">
        <f t="shared" si="20"/>
        <v>2.420955909366852</v>
      </c>
      <c r="I60" s="24">
        <f t="shared" si="20"/>
        <v>2.546683714004868</v>
      </c>
      <c r="J60" s="24">
        <f t="shared" si="20"/>
        <v>2.6789576617432926</v>
      </c>
      <c r="K60" s="24">
        <f t="shared" si="20"/>
        <v>2.8181193029273746</v>
      </c>
      <c r="L60" s="24">
        <f t="shared" si="20"/>
        <v>2.9645280394278273</v>
      </c>
      <c r="M60" s="24">
        <f t="shared" si="20"/>
        <v>3.118562058993305</v>
      </c>
      <c r="N60" s="24">
        <f t="shared" si="20"/>
        <v>3.2806193185636117</v>
      </c>
      <c r="O60" s="24">
        <f t="shared" si="20"/>
        <v>3.4511185791116055</v>
      </c>
      <c r="P60" s="24">
        <f t="shared" si="20"/>
        <v>3.630500494716604</v>
      </c>
      <c r="Q60" s="24">
        <f t="shared" si="20"/>
        <v>3.8192287587139173</v>
      </c>
      <c r="R60" s="24">
        <f t="shared" si="20"/>
        <v>4.0177913099145375</v>
      </c>
      <c r="S60" s="24">
        <f t="shared" si="20"/>
        <v>4.226701602046084</v>
      </c>
      <c r="T60" s="24">
        <f t="shared" si="20"/>
        <v>4.446499939731609</v>
      </c>
      <c r="U60" s="24">
        <f t="shared" si="20"/>
        <v>4.6777548844969505</v>
      </c>
      <c r="V60" s="10">
        <f t="shared" si="15"/>
        <v>19.90935756337761</v>
      </c>
      <c r="W60" s="43">
        <f>V56/V60</f>
        <v>0.8994583364613381</v>
      </c>
    </row>
    <row r="61" spans="1:2" ht="15.75">
      <c r="A61" s="25" t="s">
        <v>28</v>
      </c>
      <c r="B61" s="26">
        <f>NPV($B$35,B60:U60)</f>
        <v>19.90935756337761</v>
      </c>
    </row>
    <row r="63" ht="18.75">
      <c r="A63" s="18" t="s">
        <v>58</v>
      </c>
    </row>
    <row r="64" spans="1:21" ht="15">
      <c r="A64" s="11" t="s">
        <v>11</v>
      </c>
      <c r="B64" s="20">
        <f>(B26/1000000)</f>
        <v>0.15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</row>
    <row r="65" spans="1:21" ht="15">
      <c r="A65" s="34" t="s">
        <v>71</v>
      </c>
      <c r="B65" s="35">
        <f aca="true" t="shared" si="21" ref="B65:U65">(B$45*(SUM($B$27:$B$30)*((1+$C$27)^(B$36-1))))/1000000</f>
        <v>0.8999999999999999</v>
      </c>
      <c r="C65" s="35">
        <f t="shared" si="21"/>
        <v>0.9485549999999999</v>
      </c>
      <c r="D65" s="35">
        <f t="shared" si="21"/>
        <v>0.99545085</v>
      </c>
      <c r="E65" s="35">
        <f t="shared" si="21"/>
        <v>1.040726399625</v>
      </c>
      <c r="F65" s="35">
        <f t="shared" si="21"/>
        <v>1.0844197063199998</v>
      </c>
      <c r="G65" s="35">
        <f t="shared" si="21"/>
        <v>1.1265680503742344</v>
      </c>
      <c r="H65" s="35">
        <f t="shared" si="21"/>
        <v>1.1672079496729197</v>
      </c>
      <c r="I65" s="35">
        <f t="shared" si="21"/>
        <v>0.5214131625320563</v>
      </c>
      <c r="J65" s="35">
        <f t="shared" si="21"/>
        <v>0.5248909883261451</v>
      </c>
      <c r="K65" s="35">
        <f t="shared" si="21"/>
        <v>0.5283920112182804</v>
      </c>
      <c r="L65" s="35">
        <f t="shared" si="21"/>
        <v>0.5319163859331064</v>
      </c>
      <c r="M65" s="35">
        <f t="shared" si="21"/>
        <v>0.5354642682272802</v>
      </c>
      <c r="N65" s="35">
        <f t="shared" si="21"/>
        <v>0.539035814896356</v>
      </c>
      <c r="O65" s="35">
        <f t="shared" si="21"/>
        <v>0.5426311837817146</v>
      </c>
      <c r="P65" s="35">
        <f t="shared" si="21"/>
        <v>0.5462505337775388</v>
      </c>
      <c r="Q65" s="35">
        <f t="shared" si="21"/>
        <v>0.5498940248378348</v>
      </c>
      <c r="R65" s="35">
        <f t="shared" si="21"/>
        <v>0.5535618179835032</v>
      </c>
      <c r="S65" s="35">
        <f t="shared" si="21"/>
        <v>0.5572540753094531</v>
      </c>
      <c r="T65" s="35">
        <f t="shared" si="21"/>
        <v>0.5609709599917672</v>
      </c>
      <c r="U65" s="35">
        <f t="shared" si="21"/>
        <v>0.5647126362949123</v>
      </c>
    </row>
    <row r="66" spans="1:21" ht="15">
      <c r="A66" s="11" t="s">
        <v>6</v>
      </c>
      <c r="B66" s="20">
        <f aca="true" t="shared" si="22" ref="B66:U66">($B$31*((1+$C$31)^(B$36-1)))/1000000</f>
        <v>0.065</v>
      </c>
      <c r="C66" s="20">
        <f t="shared" si="22"/>
        <v>0.0663</v>
      </c>
      <c r="D66" s="20">
        <f t="shared" si="22"/>
        <v>0.067626</v>
      </c>
      <c r="E66" s="20">
        <f t="shared" si="22"/>
        <v>0.06897851999999999</v>
      </c>
      <c r="F66" s="20">
        <f t="shared" si="22"/>
        <v>0.0703580904</v>
      </c>
      <c r="G66" s="20">
        <f t="shared" si="22"/>
        <v>0.07176525220800001</v>
      </c>
      <c r="H66" s="20">
        <f t="shared" si="22"/>
        <v>0.07320055725216001</v>
      </c>
      <c r="I66" s="20">
        <f t="shared" si="22"/>
        <v>0.07466456839720319</v>
      </c>
      <c r="J66" s="20">
        <f t="shared" si="22"/>
        <v>0.07615785976514725</v>
      </c>
      <c r="K66" s="20">
        <f t="shared" si="22"/>
        <v>0.0776810169604502</v>
      </c>
      <c r="L66" s="20">
        <f t="shared" si="22"/>
        <v>0.07923463729965921</v>
      </c>
      <c r="M66" s="20">
        <f t="shared" si="22"/>
        <v>0.0808193300456524</v>
      </c>
      <c r="N66" s="20">
        <f t="shared" si="22"/>
        <v>0.08243571664656545</v>
      </c>
      <c r="O66" s="20">
        <f t="shared" si="22"/>
        <v>0.08408443097949674</v>
      </c>
      <c r="P66" s="20">
        <f t="shared" si="22"/>
        <v>0.08576611959908668</v>
      </c>
      <c r="Q66" s="20">
        <f t="shared" si="22"/>
        <v>0.08748144199106839</v>
      </c>
      <c r="R66" s="20">
        <f t="shared" si="22"/>
        <v>0.08923107083088978</v>
      </c>
      <c r="S66" s="20">
        <f t="shared" si="22"/>
        <v>0.09101569224750758</v>
      </c>
      <c r="T66" s="20">
        <f t="shared" si="22"/>
        <v>0.09283600609245772</v>
      </c>
      <c r="U66" s="20">
        <f t="shared" si="22"/>
        <v>0.09469272621430688</v>
      </c>
    </row>
    <row r="67" spans="1:21" ht="15">
      <c r="A67" s="36" t="s">
        <v>5</v>
      </c>
      <c r="B67" s="37">
        <f aca="true" t="shared" si="23" ref="B67:U67">(B47*(SUM($B$32:$B$34)*(1+$C$32)^(B$36-1)))/1000000</f>
        <v>0.1757142857142857</v>
      </c>
      <c r="C67" s="37">
        <f t="shared" si="23"/>
        <v>0.35845714285714286</v>
      </c>
      <c r="D67" s="37">
        <f t="shared" si="23"/>
        <v>0.5484394285714284</v>
      </c>
      <c r="E67" s="37">
        <f t="shared" si="23"/>
        <v>0.7458776228571427</v>
      </c>
      <c r="F67" s="37">
        <f t="shared" si="23"/>
        <v>0.9509939691428569</v>
      </c>
      <c r="G67" s="37">
        <f t="shared" si="23"/>
        <v>1.164016618230857</v>
      </c>
      <c r="H67" s="37">
        <f t="shared" si="23"/>
        <v>1.38517977569472</v>
      </c>
      <c r="I67" s="37">
        <f t="shared" si="23"/>
        <v>1.4439668053752035</v>
      </c>
      <c r="J67" s="37">
        <f t="shared" si="23"/>
        <v>1.5052487565953272</v>
      </c>
      <c r="K67" s="37">
        <f t="shared" si="23"/>
        <v>1.5691315138252329</v>
      </c>
      <c r="L67" s="37">
        <f t="shared" si="23"/>
        <v>1.6357254552719755</v>
      </c>
      <c r="M67" s="37">
        <f t="shared" si="23"/>
        <v>1.7051456435937178</v>
      </c>
      <c r="N67" s="37">
        <f t="shared" si="23"/>
        <v>1.7775120247078353</v>
      </c>
      <c r="O67" s="37">
        <f t="shared" si="23"/>
        <v>1.8529496350364358</v>
      </c>
      <c r="P67" s="37">
        <f t="shared" si="23"/>
        <v>1.931588817547382</v>
      </c>
      <c r="Q67" s="37">
        <f t="shared" si="23"/>
        <v>2.0135654469640927</v>
      </c>
      <c r="R67" s="37">
        <f t="shared" si="23"/>
        <v>2.0990211645332493</v>
      </c>
      <c r="S67" s="37">
        <f t="shared" si="23"/>
        <v>2.18810362275604</v>
      </c>
      <c r="T67" s="37">
        <f t="shared" si="23"/>
        <v>2.2809667405058063</v>
      </c>
      <c r="U67" s="37">
        <f t="shared" si="23"/>
        <v>2.3777709689728725</v>
      </c>
    </row>
    <row r="68" spans="1:21" ht="15">
      <c r="A68" s="23" t="s">
        <v>61</v>
      </c>
      <c r="B68" s="24">
        <f aca="true" t="shared" si="24" ref="B68:U68">SUM(B64:B67)</f>
        <v>1.2907142857142855</v>
      </c>
      <c r="C68" s="24">
        <f t="shared" si="24"/>
        <v>1.3733121428571426</v>
      </c>
      <c r="D68" s="24">
        <f t="shared" si="24"/>
        <v>1.6115162785714285</v>
      </c>
      <c r="E68" s="24">
        <f t="shared" si="24"/>
        <v>1.8555825424821426</v>
      </c>
      <c r="F68" s="24">
        <f t="shared" si="24"/>
        <v>2.105771765862857</v>
      </c>
      <c r="G68" s="24">
        <f t="shared" si="24"/>
        <v>2.362349920813091</v>
      </c>
      <c r="H68" s="24">
        <f t="shared" si="24"/>
        <v>2.6255882826197996</v>
      </c>
      <c r="I68" s="24">
        <f t="shared" si="24"/>
        <v>2.040044536304463</v>
      </c>
      <c r="J68" s="24">
        <f t="shared" si="24"/>
        <v>2.1062976046866195</v>
      </c>
      <c r="K68" s="24">
        <f t="shared" si="24"/>
        <v>2.1752045420039634</v>
      </c>
      <c r="L68" s="24">
        <f t="shared" si="24"/>
        <v>2.246876478504741</v>
      </c>
      <c r="M68" s="24">
        <f t="shared" si="24"/>
        <v>2.3214292418666505</v>
      </c>
      <c r="N68" s="24">
        <f t="shared" si="24"/>
        <v>2.398983556250757</v>
      </c>
      <c r="O68" s="24">
        <f t="shared" si="24"/>
        <v>2.4796652497976472</v>
      </c>
      <c r="P68" s="24">
        <f t="shared" si="24"/>
        <v>2.5636054709240077</v>
      </c>
      <c r="Q68" s="24">
        <f t="shared" si="24"/>
        <v>2.650940913792996</v>
      </c>
      <c r="R68" s="24">
        <f t="shared" si="24"/>
        <v>2.7418140533476425</v>
      </c>
      <c r="S68" s="24">
        <f t="shared" si="24"/>
        <v>2.8363733903130006</v>
      </c>
      <c r="T68" s="24">
        <f t="shared" si="24"/>
        <v>2.9347737065900312</v>
      </c>
      <c r="U68" s="24">
        <f t="shared" si="24"/>
        <v>3.0371763314820917</v>
      </c>
    </row>
    <row r="69" spans="1:3" ht="18">
      <c r="A69" s="25" t="s">
        <v>29</v>
      </c>
      <c r="B69" s="26">
        <f>NPV($B$35,B68:U68)</f>
        <v>19.277550482811396</v>
      </c>
      <c r="C69" s="27"/>
    </row>
    <row r="70" spans="1:3" ht="18.75">
      <c r="A70" s="18" t="s">
        <v>21</v>
      </c>
      <c r="B70" s="31">
        <f>B61-B69</f>
        <v>0.6318070805662153</v>
      </c>
      <c r="C70" s="27"/>
    </row>
    <row r="71" spans="1:3" ht="18.75">
      <c r="A71" s="18" t="s">
        <v>8</v>
      </c>
      <c r="B71" s="31">
        <f>B61/B69</f>
        <v>1.0327742407485618</v>
      </c>
      <c r="C71" s="27"/>
    </row>
    <row r="72" spans="1:3" ht="18.75">
      <c r="A72" s="32" t="s">
        <v>9</v>
      </c>
      <c r="B72" s="39">
        <f>-PMT(B35,20,B69)*1000000/(AVERAGE(B51:U51)*1000)</f>
        <v>101.15256245104663</v>
      </c>
      <c r="C72" s="39">
        <f>(B69*1000000)/(NPV(B35,B51:U51)*1000)</f>
        <v>120.9682220703038</v>
      </c>
    </row>
  </sheetData>
  <mergeCells count="3">
    <mergeCell ref="B2:B3"/>
    <mergeCell ref="D2:G2"/>
    <mergeCell ref="H3:U3"/>
  </mergeCells>
  <printOptions/>
  <pageMargins left="0.75" right="0.75" top="1" bottom="1" header="0.5" footer="0.5"/>
  <pageSetup horizontalDpi="300" verticalDpi="300" orientation="portrait" scale="82"/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pacappers</dc:creator>
  <cp:keywords/>
  <dc:description/>
  <cp:lastModifiedBy>Ken Corum</cp:lastModifiedBy>
  <cp:lastPrinted>2008-12-05T17:40:59Z</cp:lastPrinted>
  <dcterms:created xsi:type="dcterms:W3CDTF">2008-02-05T20:24:13Z</dcterms:created>
  <dcterms:modified xsi:type="dcterms:W3CDTF">2008-12-05T17:41:40Z</dcterms:modified>
  <cp:category/>
  <cp:version/>
  <cp:contentType/>
  <cp:contentStatus/>
</cp:coreProperties>
</file>