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45" windowWidth="12120" windowHeight="7965" tabRatio="617" activeTab="0"/>
  </bookViews>
  <sheets>
    <sheet name="MeasureTable" sheetId="1" r:id="rId1"/>
    <sheet name="ProData" sheetId="2" r:id="rId2"/>
    <sheet name="SFResWX" sheetId="3" r:id="rId3"/>
    <sheet name="850SF" sheetId="4" r:id="rId4"/>
    <sheet name="1350SF" sheetId="5" r:id="rId5"/>
    <sheet name="2184SF" sheetId="6" r:id="rId6"/>
    <sheet name="UA Optimizer" sheetId="7" r:id="rId7"/>
    <sheet name="Cost-Effectiveness Level" sheetId="8" r:id="rId8"/>
    <sheet name="Lookup Table" sheetId="9" r:id="rId9"/>
    <sheet name="RESWX ECM Inflation DGP" sheetId="10" r:id="rId10"/>
    <sheet name="UECResWXCst" sheetId="11" r:id="rId11"/>
    <sheet name="PacPUDResWXCst" sheetId="12" r:id="rId12"/>
    <sheet name="Retrofit Cost Data" sheetId="13" r:id="rId13"/>
    <sheet name="Set Up Cost Analysis" sheetId="14" r:id="rId14"/>
    <sheet name="EWEB+PUGET SF AVG" sheetId="15" r:id="rId15"/>
    <sheet name="Summary Table" sheetId="16" r:id="rId16"/>
    <sheet name="ResWX Base Case" sheetId="17" r:id="rId17"/>
  </sheets>
  <definedNames>
    <definedName name="_Key1" hidden="1">#REF!</definedName>
    <definedName name="_Order1" hidden="1">255</definedName>
    <definedName name="_Sort" hidden="1">#REF!</definedName>
    <definedName name="AdminRate">'ProData'!$B$19</definedName>
    <definedName name="BulkLossFac">'ProData'!$B$13</definedName>
    <definedName name="BulkTDCred">'ProData'!$B$14</definedName>
    <definedName name="CECred">'ProData'!$B$18</definedName>
    <definedName name="Chk1">'ProData'!$E$8</definedName>
    <definedName name="Chk10">'ProData'!$E$17</definedName>
    <definedName name="Chk2">'ProData'!$E$9</definedName>
    <definedName name="Chk3">'ProData'!$E$10</definedName>
    <definedName name="Chk4">'ProData'!$E$11</definedName>
    <definedName name="Chk5">'ProData'!$E$12</definedName>
    <definedName name="Chk6">'ProData'!$E$13</definedName>
    <definedName name="Chk7">'ProData'!$E$14</definedName>
    <definedName name="Chk8">'ProData'!$E$15</definedName>
    <definedName name="Chk9">'ProData'!$E$16</definedName>
    <definedName name="COC1">'ProData'!$F$3</definedName>
    <definedName name="COC2">'ProData'!$G$3</definedName>
    <definedName name="COC3">'ProData'!$H$3</definedName>
    <definedName name="COC4">'ProData'!$I$3</definedName>
    <definedName name="CostRefYr">'ProData'!$B$5</definedName>
    <definedName name="COV">'ProData'!$B$20</definedName>
    <definedName name="Disc1">'ProData'!$F$3</definedName>
    <definedName name="Disc2">'ProData'!$G$3</definedName>
    <definedName name="Disc3">'ProData'!$H$3</definedName>
    <definedName name="Disc4">'ProData'!$I$3</definedName>
    <definedName name="DoTab1">'ProData'!$D$8</definedName>
    <definedName name="DoTab10">'ProData'!$D$17</definedName>
    <definedName name="DoTab2">'ProData'!$D$9</definedName>
    <definedName name="DoTab3">'ProData'!$D$10</definedName>
    <definedName name="DoTab4">'ProData'!$D$11</definedName>
    <definedName name="DoTab5">'ProData'!$D$12</definedName>
    <definedName name="DoTab6">'ProData'!$D$13</definedName>
    <definedName name="DoTab7">'ProData'!$D$14</definedName>
    <definedName name="DoTab8">'ProData'!$D$15</definedName>
    <definedName name="DoTab9">'ProData'!$D$16</definedName>
    <definedName name="DoTabData">'ProData'!$D$8:$D$17</definedName>
    <definedName name="ExtCred">'ProData'!$B$17</definedName>
    <definedName name="FinL1">'ProData'!$F$4</definedName>
    <definedName name="FinL2">'ProData'!$G$4</definedName>
    <definedName name="FinL3">'ProData'!$H$4</definedName>
    <definedName name="FinL4">'ProData'!$I$4</definedName>
    <definedName name="Inflation">'ProData'!$B$7</definedName>
    <definedName name="InService">'ProData'!$B$3</definedName>
    <definedName name="Inst_1">'ProData'!$B$9</definedName>
    <definedName name="Inst_2">'ProData'!$B$10</definedName>
    <definedName name="Inst_3">'ProData'!$B$10</definedName>
    <definedName name="Inst_4">'ProData'!$B$10</definedName>
    <definedName name="LastOMYr">'ProData'!$B$12</definedName>
    <definedName name="LocalLossFac">'ProData'!$B$15</definedName>
    <definedName name="LocalTDCred">'ProData'!$B$16</definedName>
    <definedName name="LossFac">'ProData'!$B$13</definedName>
    <definedName name="MargCostTab">'ProData'!$B$22</definedName>
    <definedName name="MCSSDataFile">'ProData'!$B$21</definedName>
    <definedName name="OMShr1">'ProData'!$B$11</definedName>
    <definedName name="PC_Main">[0]!PC_Main</definedName>
    <definedName name="_xlnm.Print_Area" localSheetId="4">'1350SF'!$B$54:$K$77</definedName>
    <definedName name="_xlnm.Print_Area" localSheetId="5">'2184SF'!$B$53:$B$72</definedName>
    <definedName name="_xlnm.Print_Area" localSheetId="3">'850SF'!$B$51:$B$68</definedName>
    <definedName name="_xlnm.Print_Area" localSheetId="14">'EWEB+PUGET SF AVG'!$G$1:$K$39</definedName>
    <definedName name="_xlnm.Print_Area" localSheetId="12">'Retrofit Cost Data'!$A$1:$F$37</definedName>
    <definedName name="_xlnm.Print_Area" localSheetId="13">'Set Up Cost Analysis'!$A$1:$J$28</definedName>
    <definedName name="_xlnm.Print_Area" localSheetId="2">'SFResWX'!$B$47:$B$64</definedName>
    <definedName name="_xlnm.Print_Area" localSheetId="15">'Summary Table'!$A$1:$G$27</definedName>
    <definedName name="Prog_Life">'ProData'!$B$2</definedName>
    <definedName name="PVTZero">'ProData'!$B$4</definedName>
    <definedName name="Real_Disc">'ProData'!$B$6</definedName>
    <definedName name="Real_Escl">'ProData'!$B$8</definedName>
    <definedName name="ResetFlag">'ProData'!$F$7</definedName>
    <definedName name="SaveShapeTab">'ProData'!$B$23</definedName>
    <definedName name="Share1">'ProData'!$F$5</definedName>
    <definedName name="Share2">'ProData'!$G$5</definedName>
    <definedName name="Share3">'ProData'!$H$5</definedName>
    <definedName name="SponNam1">'ProData'!$F$2</definedName>
    <definedName name="SponNam2">'ProData'!$G$2</definedName>
    <definedName name="SponNam3">'ProData'!$H$2</definedName>
    <definedName name="SponNam4">'ProData'!$I$2</definedName>
    <definedName name="TabData">'ProData'!$D$8:$D$16</definedName>
    <definedName name="TDCred">'ProData'!$B$14</definedName>
  </definedNames>
  <calcPr fullCalcOnLoad="1"/>
</workbook>
</file>

<file path=xl/comments1.xml><?xml version="1.0" encoding="utf-8"?>
<comments xmlns="http://schemas.openxmlformats.org/spreadsheetml/2006/main">
  <authors>
    <author>Tom Eckman</author>
  </authors>
  <commentList>
    <comment ref="X3" authorId="0">
      <text>
        <r>
          <rPr>
            <b/>
            <sz val="8"/>
            <rFont val="Tahoma"/>
            <family val="0"/>
          </rPr>
          <t>Tom Eckman:</t>
        </r>
        <r>
          <rPr>
            <sz val="8"/>
            <rFont val="Tahoma"/>
            <family val="0"/>
          </rPr>
          <t xml:space="preserve">
This is the ratio of the average energy use per hour to the peak energy use per hour of individual or groups of end uses of electricity. End uses that have low load factors (e.g. air conditioning) require larger capital investments in distribution systems per unit of energy sold, because these end uses only operate during short periods of the year compared to end uses that have high load factors (e.g., refrigerators) which operating all year long.</t>
        </r>
      </text>
    </comment>
    <comment ref="Y3" authorId="0">
      <text>
        <r>
          <rPr>
            <b/>
            <sz val="8"/>
            <rFont val="Tahoma"/>
            <family val="0"/>
          </rPr>
          <t>Tom Eckman:</t>
        </r>
        <r>
          <rPr>
            <sz val="8"/>
            <rFont val="Tahoma"/>
            <family val="0"/>
          </rPr>
          <t xml:space="preserve">
Reduction in local distribution system peak load resulting from installation of technology, measure or practice</t>
        </r>
      </text>
    </comment>
    <comment ref="Z3" authorId="0">
      <text>
        <r>
          <rPr>
            <b/>
            <sz val="8"/>
            <rFont val="Tahoma"/>
            <family val="0"/>
          </rPr>
          <t>Tom Eckman:</t>
        </r>
        <r>
          <rPr>
            <sz val="8"/>
            <rFont val="Tahoma"/>
            <family val="0"/>
          </rPr>
          <t xml:space="preserve">
Present value cost of deferred capital expenditures for local distribution system</t>
        </r>
      </text>
    </comment>
    <comment ref="AA3" authorId="0">
      <text>
        <r>
          <rPr>
            <b/>
            <sz val="8"/>
            <rFont val="Tahoma"/>
            <family val="0"/>
          </rPr>
          <t>Tom Eckman:</t>
        </r>
        <r>
          <rPr>
            <sz val="8"/>
            <rFont val="Tahoma"/>
            <family val="0"/>
          </rPr>
          <t xml:space="preserve">
Qualitative or quantitative estimate of end-user benefits, excluding electricity savings, e.g. gallons of water saved.</t>
        </r>
      </text>
    </comment>
    <comment ref="AB3" authorId="0">
      <text>
        <r>
          <rPr>
            <b/>
            <sz val="8"/>
            <rFont val="Tahoma"/>
            <family val="0"/>
          </rPr>
          <t>Tom Eckman:</t>
        </r>
        <r>
          <rPr>
            <sz val="8"/>
            <rFont val="Tahoma"/>
            <family val="0"/>
          </rPr>
          <t xml:space="preserve">
Qualitative or quantitative estimate of any non-electric power system benefits associated with the technology, measure or practice, e.g. reduced wastewater treatment costs.</t>
        </r>
      </text>
    </comment>
    <comment ref="AD3" authorId="0">
      <text>
        <r>
          <rPr>
            <b/>
            <sz val="8"/>
            <rFont val="Tahoma"/>
            <family val="0"/>
          </rPr>
          <t>Tom Eckman:</t>
        </r>
        <r>
          <rPr>
            <sz val="8"/>
            <rFont val="Tahoma"/>
            <family val="0"/>
          </rPr>
          <t xml:space="preserve">
Present value of cost of carbon emissions, based on $15/ton.</t>
        </r>
      </text>
    </comment>
    <comment ref="AE3" authorId="0">
      <text>
        <r>
          <rPr>
            <b/>
            <sz val="8"/>
            <rFont val="Tahoma"/>
            <family val="0"/>
          </rPr>
          <t>Tom Eckman:</t>
        </r>
        <r>
          <rPr>
            <sz val="8"/>
            <rFont val="Tahoma"/>
            <family val="0"/>
          </rPr>
          <t xml:space="preserve">
Total present value of all cost associated with the installation and maintenance of the technology, measure or practice over its expected life.</t>
        </r>
      </text>
    </comment>
    <comment ref="AG3" authorId="0">
      <text>
        <r>
          <rPr>
            <b/>
            <sz val="8"/>
            <rFont val="Tahoma"/>
            <family val="0"/>
          </rPr>
          <t>Tom Eckman:</t>
        </r>
        <r>
          <rPr>
            <sz val="8"/>
            <rFont val="Tahoma"/>
            <family val="0"/>
          </rPr>
          <t xml:space="preserve">
Present value of all benefits associated with a technology, measure or practice, including non-power system benefits and environmental externalities benefits.</t>
        </r>
      </text>
    </comment>
    <comment ref="AH3" authorId="0">
      <text>
        <r>
          <rPr>
            <b/>
            <sz val="8"/>
            <rFont val="Tahoma"/>
            <family val="0"/>
          </rPr>
          <t>Tom Eckman:</t>
        </r>
        <r>
          <rPr>
            <sz val="8"/>
            <rFont val="Tahoma"/>
            <family val="0"/>
          </rPr>
          <t xml:space="preserve">
Ratio of present value of total societal benefits to total societal costs of technology, measure or practice.</t>
        </r>
      </text>
    </comment>
    <comment ref="AI3" authorId="0">
      <text>
        <r>
          <rPr>
            <b/>
            <sz val="8"/>
            <rFont val="Tahoma"/>
            <family val="0"/>
          </rPr>
          <t>Tom Eckman:</t>
        </r>
        <r>
          <rPr>
            <sz val="8"/>
            <rFont val="Tahoma"/>
            <family val="0"/>
          </rPr>
          <t xml:space="preserve">
Description of program and or activities that are associated with the technology, measure or practice, such as tax credits, Northwest Energy Efficiency Alliance market transformation programs.</t>
        </r>
      </text>
    </comment>
    <comment ref="AJ3" authorId="0">
      <text>
        <r>
          <rPr>
            <b/>
            <sz val="8"/>
            <rFont val="Tahoma"/>
            <family val="0"/>
          </rPr>
          <t>Tom Eckman:</t>
        </r>
        <r>
          <rPr>
            <sz val="8"/>
            <rFont val="Tahoma"/>
            <family val="0"/>
          </rPr>
          <t xml:space="preserve">
Special notes regarding factors that might impact a particular technology, measure or practices cost, savings or use. For example, potential changes in federal standards or local codes or anticipated improvements in technology.</t>
        </r>
      </text>
    </comment>
    <comment ref="AC3" authorId="0">
      <text>
        <r>
          <rPr>
            <b/>
            <sz val="8"/>
            <rFont val="Tahoma"/>
            <family val="2"/>
          </rPr>
          <t>Tom Eckman:</t>
        </r>
        <r>
          <rPr>
            <sz val="8"/>
            <rFont val="Tahoma"/>
            <family val="2"/>
          </rPr>
          <t xml:space="preserve">
Present value of any monetized non-electric power system benefits, e.g. reduced detergent costs.</t>
        </r>
      </text>
    </comment>
    <comment ref="A3" authorId="0">
      <text>
        <r>
          <rPr>
            <b/>
            <sz val="8"/>
            <rFont val="Tahoma"/>
            <family val="0"/>
          </rPr>
          <t>Tom Eckman:</t>
        </r>
        <r>
          <rPr>
            <sz val="8"/>
            <rFont val="Tahoma"/>
            <family val="0"/>
          </rPr>
          <t xml:space="preserve">
Description of conservation or renewable resource technology, measure or practice.</t>
        </r>
      </text>
    </comment>
    <comment ref="B3" authorId="0">
      <text>
        <r>
          <rPr>
            <b/>
            <sz val="8"/>
            <rFont val="Tahoma"/>
            <family val="0"/>
          </rPr>
          <t>Tom Eckman:</t>
        </r>
        <r>
          <rPr>
            <sz val="8"/>
            <rFont val="Tahoma"/>
            <family val="0"/>
          </rPr>
          <t xml:space="preserve">
Description of program through which technology, measure or practice will be delivered, including reference to relevant quality assurance specifications</t>
        </r>
      </text>
    </comment>
    <comment ref="C3" authorId="0">
      <text>
        <r>
          <rPr>
            <b/>
            <sz val="8"/>
            <rFont val="Tahoma"/>
            <family val="0"/>
          </rPr>
          <t>Tom Eckman:</t>
        </r>
        <r>
          <rPr>
            <sz val="8"/>
            <rFont val="Tahoma"/>
            <family val="0"/>
          </rPr>
          <t xml:space="preserve">
Sector, sub-sector and end-use affected (e.g. single family homes with electric heat</t>
        </r>
      </text>
    </comment>
    <comment ref="D3" authorId="0">
      <text>
        <r>
          <rPr>
            <b/>
            <sz val="8"/>
            <rFont val="Tahoma"/>
            <family val="0"/>
          </rPr>
          <t>Tom Eckman:</t>
        </r>
        <r>
          <rPr>
            <sz val="8"/>
            <rFont val="Tahoma"/>
            <family val="0"/>
          </rPr>
          <t xml:space="preserve">
Climate zone or geographic area in the PNW </t>
        </r>
      </text>
    </comment>
    <comment ref="E3" authorId="0">
      <text>
        <r>
          <rPr>
            <b/>
            <sz val="8"/>
            <rFont val="Tahoma"/>
            <family val="0"/>
          </rPr>
          <t>Tom Eckman:</t>
        </r>
        <r>
          <rPr>
            <sz val="8"/>
            <rFont val="Tahoma"/>
            <family val="0"/>
          </rPr>
          <t xml:space="preserve">
Total capital cost of technology, measure or practice. For conservation this cost is usually the incremental cost of the technology, measure or practice over the less efficient alternative.</t>
        </r>
      </text>
    </comment>
    <comment ref="F3" authorId="0">
      <text>
        <r>
          <rPr>
            <b/>
            <sz val="8"/>
            <rFont val="Tahoma"/>
            <family val="0"/>
          </rPr>
          <t>Tom Eckman:</t>
        </r>
        <r>
          <rPr>
            <sz val="8"/>
            <rFont val="Tahoma"/>
            <family val="0"/>
          </rPr>
          <t xml:space="preserve">
Additional cost over the normal cost of operation and maintenance.</t>
        </r>
      </text>
    </comment>
    <comment ref="G3" authorId="0">
      <text>
        <r>
          <rPr>
            <b/>
            <sz val="8"/>
            <rFont val="Tahoma"/>
            <family val="0"/>
          </rPr>
          <t>Tom Eckman:</t>
        </r>
        <r>
          <rPr>
            <sz val="8"/>
            <rFont val="Tahoma"/>
            <family val="0"/>
          </rPr>
          <t xml:space="preserve">
Present value of the incremental cost of periodic capital replacements needed to maintain technology, measure or practice, e.g. heat pump compressor replacements.</t>
        </r>
      </text>
    </comment>
    <comment ref="H3" authorId="0">
      <text>
        <r>
          <rPr>
            <b/>
            <sz val="8"/>
            <rFont val="Tahoma"/>
            <family val="0"/>
          </rPr>
          <t>Tom Eckman:</t>
        </r>
        <r>
          <rPr>
            <sz val="8"/>
            <rFont val="Tahoma"/>
            <family val="0"/>
          </rPr>
          <t xml:space="preserve">
Expected service life of the technology, measure or practice</t>
        </r>
      </text>
    </comment>
    <comment ref="I3" authorId="0">
      <text>
        <r>
          <rPr>
            <b/>
            <sz val="8"/>
            <rFont val="Tahoma"/>
            <family val="0"/>
          </rPr>
          <t xml:space="preserve">Tom Eckman: If savings are deemed, they can be claimed without further analysis or data. If savings are not deemed they must be estimated using either one of the RTF's "deemed" calculation methods and/or evaluation protocols.  </t>
        </r>
      </text>
    </comment>
    <comment ref="J3" authorId="0">
      <text>
        <r>
          <rPr>
            <b/>
            <sz val="10"/>
            <rFont val="Tahoma"/>
            <family val="2"/>
          </rPr>
          <t>Tom Eckman:</t>
        </r>
        <r>
          <rPr>
            <sz val="10"/>
            <rFont val="Tahoma"/>
            <family val="2"/>
          </rPr>
          <t xml:space="preserve">
Does not include transmission and distribution system line losses.</t>
        </r>
      </text>
    </comment>
    <comment ref="K3" authorId="0">
      <text>
        <r>
          <rPr>
            <b/>
            <sz val="10"/>
            <rFont val="Tahoma"/>
            <family val="2"/>
          </rPr>
          <t>Tom Eckman:</t>
        </r>
        <r>
          <rPr>
            <sz val="10"/>
            <rFont val="Tahoma"/>
            <family val="2"/>
          </rPr>
          <t xml:space="preserve">
Includes transmission and distribution system line losses.</t>
        </r>
      </text>
    </comment>
    <comment ref="L3" authorId="0">
      <text>
        <r>
          <rPr>
            <b/>
            <sz val="8"/>
            <rFont val="Tahoma"/>
            <family val="0"/>
          </rPr>
          <t>Tom Eckman:</t>
        </r>
        <r>
          <rPr>
            <sz val="8"/>
            <rFont val="Tahoma"/>
            <family val="0"/>
          </rPr>
          <t xml:space="preserve">
This is the ratio of the peak demand of individual or groups of end uses of electricity at the regional bulk power transmission system's time of peak demand to the end uses non-coincident peak demand. The Northwest's bulk power transmission system's peak usage occurs during the winter.  Conservation measures and renewable resources that reduce demand on the bulk power transmission system during its time of maximum demand (e.g. space heating conservation savings) are more value than those that those that reduce demand during the summer (e.g. air conditioning conservation savings).</t>
        </r>
      </text>
    </comment>
    <comment ref="M3" authorId="0">
      <text>
        <r>
          <rPr>
            <b/>
            <sz val="8"/>
            <rFont val="Tahoma"/>
            <family val="0"/>
          </rPr>
          <t>Tom Eckman:</t>
        </r>
        <r>
          <rPr>
            <sz val="8"/>
            <rFont val="Tahoma"/>
            <family val="0"/>
          </rPr>
          <t xml:space="preserve">
Bulk transmission peak KW reduction associated with technology, measure or practice</t>
        </r>
      </text>
    </comment>
    <comment ref="N3" authorId="0">
      <text>
        <r>
          <rPr>
            <b/>
            <sz val="8"/>
            <rFont val="Tahoma"/>
            <family val="0"/>
          </rPr>
          <t>Tom Eckman:</t>
        </r>
        <r>
          <rPr>
            <sz val="8"/>
            <rFont val="Tahoma"/>
            <family val="0"/>
          </rPr>
          <t xml:space="preserve">
Present value of incremental cost when financed and amortized based on assumptions on ProData Tab</t>
        </r>
      </text>
    </comment>
    <comment ref="O3" authorId="0">
      <text>
        <r>
          <rPr>
            <b/>
            <sz val="8"/>
            <rFont val="Tahoma"/>
            <family val="0"/>
          </rPr>
          <t>Tom Eckman:</t>
        </r>
        <r>
          <rPr>
            <sz val="8"/>
            <rFont val="Tahoma"/>
            <family val="0"/>
          </rPr>
          <t xml:space="preserve">
Present value of annual O&amp;M when discounted at rate assumed on ProData Tab over Program Life. Includes PV of Periodic O&amp;M.</t>
        </r>
      </text>
    </comment>
    <comment ref="Q3" authorId="0">
      <text>
        <r>
          <rPr>
            <b/>
            <sz val="8"/>
            <rFont val="Tahoma"/>
            <family val="0"/>
          </rPr>
          <t>Tom Eckman:</t>
        </r>
        <r>
          <rPr>
            <sz val="8"/>
            <rFont val="Tahoma"/>
            <family val="0"/>
          </rPr>
          <t xml:space="preserve">
Sum of PV Incremental cost and incremental O&amp;M cost.</t>
        </r>
      </text>
    </comment>
    <comment ref="R3" authorId="0">
      <text>
        <r>
          <rPr>
            <b/>
            <sz val="8"/>
            <rFont val="Tahoma"/>
            <family val="0"/>
          </rPr>
          <t>Tom Eckman:</t>
        </r>
        <r>
          <rPr>
            <sz val="8"/>
            <rFont val="Tahoma"/>
            <family val="0"/>
          </rPr>
          <t xml:space="preserve">
Present value of avoided wholesale electricity supplies over the expected life of the technology, measure or practice.</t>
        </r>
      </text>
    </comment>
    <comment ref="S3" authorId="0">
      <text>
        <r>
          <rPr>
            <b/>
            <sz val="10"/>
            <rFont val="Tahoma"/>
            <family val="2"/>
          </rPr>
          <t>Tom Eckman:</t>
        </r>
        <r>
          <rPr>
            <sz val="10"/>
            <rFont val="Tahoma"/>
            <family val="2"/>
          </rPr>
          <t xml:space="preserve">
Benefit assumes an avoided cost of $3.00 kW year for regional bulk transmission system captial cost deferral due to reduced peak kW demand.</t>
        </r>
      </text>
    </comment>
    <comment ref="U3" authorId="0">
      <text>
        <r>
          <rPr>
            <b/>
            <sz val="8"/>
            <rFont val="Tahoma"/>
            <family val="0"/>
          </rPr>
          <t>Tom Eckman:</t>
        </r>
        <r>
          <rPr>
            <sz val="8"/>
            <rFont val="Tahoma"/>
            <family val="0"/>
          </rPr>
          <t xml:space="preserve">
Sum of the present value of all bulk power system benefits, plus Power Act's Conservation Credit, if appliable.</t>
        </r>
      </text>
    </comment>
    <comment ref="V3" authorId="0">
      <text>
        <r>
          <rPr>
            <b/>
            <sz val="8"/>
            <rFont val="Tahoma"/>
            <family val="0"/>
          </rPr>
          <t>Tom Eckman:</t>
        </r>
        <r>
          <rPr>
            <sz val="8"/>
            <rFont val="Tahoma"/>
            <family val="0"/>
          </rPr>
          <t xml:space="preserve">
Present value of all bulk power system benefits minus present value of all costs associated with technology, measure or practice.</t>
        </r>
      </text>
    </comment>
    <comment ref="W3" authorId="0">
      <text>
        <r>
          <rPr>
            <b/>
            <sz val="8"/>
            <rFont val="Tahoma"/>
            <family val="0"/>
          </rPr>
          <t>Tom Eckman:</t>
        </r>
        <r>
          <rPr>
            <sz val="8"/>
            <rFont val="Tahoma"/>
            <family val="0"/>
          </rPr>
          <t xml:space="preserve">
Ratio of all present value bulk power system benefits to the present value of all costs associated with technology, measure or practice. Ratio's less than one indicate that the technology, measure or practice is not cost-effective from the bulk power system's perspective.</t>
        </r>
      </text>
    </comment>
  </commentList>
</comments>
</file>

<file path=xl/comments2.xml><?xml version="1.0" encoding="utf-8"?>
<comments xmlns="http://schemas.openxmlformats.org/spreadsheetml/2006/main">
  <authors>
    <author>A satisfied Microsoft Office user</author>
  </authors>
  <commentList>
    <comment ref="B7" authorId="0">
      <text>
        <r>
          <rPr>
            <sz val="8"/>
            <rFont val="Tahoma"/>
            <family val="0"/>
          </rPr>
          <t>Currently not used, Hardwired in code to zero until chance to fully implement.</t>
        </r>
      </text>
    </comment>
  </commentList>
</comments>
</file>

<file path=xl/comments7.xml><?xml version="1.0" encoding="utf-8"?>
<comments xmlns="http://schemas.openxmlformats.org/spreadsheetml/2006/main">
  <authors>
    <author>Tom Eckman</author>
  </authors>
  <commentList>
    <comment ref="A117" authorId="0">
      <text>
        <r>
          <rPr>
            <b/>
            <sz val="8"/>
            <rFont val="Tahoma"/>
            <family val="0"/>
          </rPr>
          <t>Tom Eckman:</t>
        </r>
        <r>
          <rPr>
            <sz val="8"/>
            <rFont val="Tahoma"/>
            <family val="0"/>
          </rPr>
          <t xml:space="preserve">
Includes Vault area for 1350 prototype</t>
        </r>
      </text>
    </comment>
    <comment ref="A131" authorId="0">
      <text>
        <r>
          <rPr>
            <b/>
            <sz val="8"/>
            <rFont val="Tahoma"/>
            <family val="0"/>
          </rPr>
          <t>Tom Eckman:</t>
        </r>
        <r>
          <rPr>
            <sz val="8"/>
            <rFont val="Tahoma"/>
            <family val="0"/>
          </rPr>
          <t xml:space="preserve">
Includes Vault area for 1350 prototype</t>
        </r>
      </text>
    </comment>
    <comment ref="A145" authorId="0">
      <text>
        <r>
          <rPr>
            <b/>
            <sz val="8"/>
            <rFont val="Tahoma"/>
            <family val="0"/>
          </rPr>
          <t>Tom Eckman:</t>
        </r>
        <r>
          <rPr>
            <sz val="8"/>
            <rFont val="Tahoma"/>
            <family val="0"/>
          </rPr>
          <t xml:space="preserve">
Includes Vault area for 1350 prototype</t>
        </r>
      </text>
    </comment>
    <comment ref="A159" authorId="0">
      <text>
        <r>
          <rPr>
            <b/>
            <sz val="8"/>
            <rFont val="Tahoma"/>
            <family val="0"/>
          </rPr>
          <t>Tom Eckman:</t>
        </r>
        <r>
          <rPr>
            <sz val="8"/>
            <rFont val="Tahoma"/>
            <family val="0"/>
          </rPr>
          <t xml:space="preserve">
Includes Vault area for 1350 prototype</t>
        </r>
      </text>
    </comment>
    <comment ref="A173" authorId="0">
      <text>
        <r>
          <rPr>
            <b/>
            <sz val="8"/>
            <rFont val="Tahoma"/>
            <family val="0"/>
          </rPr>
          <t>Tom Eckman:</t>
        </r>
        <r>
          <rPr>
            <sz val="8"/>
            <rFont val="Tahoma"/>
            <family val="0"/>
          </rPr>
          <t xml:space="preserve">
Includes Vault area for 1350 prototype</t>
        </r>
      </text>
    </comment>
    <comment ref="A187" authorId="0">
      <text>
        <r>
          <rPr>
            <b/>
            <sz val="8"/>
            <rFont val="Tahoma"/>
            <family val="0"/>
          </rPr>
          <t>Tom Eckman:</t>
        </r>
        <r>
          <rPr>
            <sz val="8"/>
            <rFont val="Tahoma"/>
            <family val="0"/>
          </rPr>
          <t xml:space="preserve">
Includes Vault area for 1350 prototype</t>
        </r>
      </text>
    </comment>
  </commentList>
</comments>
</file>

<file path=xl/comments8.xml><?xml version="1.0" encoding="utf-8"?>
<comments xmlns="http://schemas.openxmlformats.org/spreadsheetml/2006/main">
  <authors>
    <author>Tom Eckman</author>
  </authors>
  <commentList>
    <comment ref="A22" authorId="0">
      <text>
        <r>
          <rPr>
            <b/>
            <sz val="11"/>
            <rFont val="Tahoma"/>
            <family val="2"/>
          </rPr>
          <t>Tom Eckman: This row assumes that the baseline home is missing all measures.</t>
        </r>
        <r>
          <rPr>
            <sz val="8"/>
            <rFont val="Tahoma"/>
            <family val="0"/>
          </rPr>
          <t xml:space="preserve">
</t>
        </r>
      </text>
    </comment>
    <comment ref="A23" authorId="0">
      <text>
        <r>
          <rPr>
            <b/>
            <sz val="11"/>
            <rFont val="Tahoma"/>
            <family val="2"/>
          </rPr>
          <t>Tom Eckman:  This row assumes that the home is only missing the proportion of measures observed as the "pre" weatherization level of insulation based on the square footage reported in C&amp;R D for FY02</t>
        </r>
        <r>
          <rPr>
            <sz val="8"/>
            <rFont val="Tahoma"/>
            <family val="0"/>
          </rPr>
          <t xml:space="preserve">
</t>
        </r>
      </text>
    </comment>
  </commentList>
</comments>
</file>

<file path=xl/sharedStrings.xml><?xml version="1.0" encoding="utf-8"?>
<sst xmlns="http://schemas.openxmlformats.org/spreadsheetml/2006/main" count="1961" uniqueCount="602">
  <si>
    <t>Average UA &amp; Use of UnInsulated (Pre-1979) Stock in 2000</t>
  </si>
  <si>
    <t>Zone 1 Measure Weights (% of Sq.ft. Retrofitted)</t>
  </si>
  <si>
    <t>Zone 2 Measure Weights (% of Sq.ft. Retrofitted)</t>
  </si>
  <si>
    <t>Zone 3 Measure Weights (% of Sq.ft. Retrofitted)</t>
  </si>
  <si>
    <t>PNW Zone Measure Weights (% of Sq.ft. Retrofitted)</t>
  </si>
  <si>
    <t>Electric Marginal Cost Tab</t>
  </si>
  <si>
    <t>Program Parameters</t>
  </si>
  <si>
    <t>Sponsor Parameters</t>
  </si>
  <si>
    <t>Program Life (yrs)</t>
  </si>
  <si>
    <t>Cust</t>
  </si>
  <si>
    <t>Program Start Date</t>
  </si>
  <si>
    <t>Real AT Cost of Cap</t>
  </si>
  <si>
    <t>Present Value Time Zero</t>
  </si>
  <si>
    <t>Financial Life (yrs)</t>
  </si>
  <si>
    <t>Cost Reference Yr</t>
  </si>
  <si>
    <t>Real Discount Rate</t>
  </si>
  <si>
    <t>Inflation Rate (Currently NA)</t>
  </si>
  <si>
    <t>Run Tabs:</t>
  </si>
  <si>
    <t>Capital Real Escalation Rt</t>
  </si>
  <si>
    <t>Externalities Credit (m/kwh)</t>
  </si>
  <si>
    <t>Regional Act C/E Credit (%)</t>
  </si>
  <si>
    <t>Admin Cost (% of First Cost)</t>
  </si>
  <si>
    <t>Cost Coeff of Variation</t>
  </si>
  <si>
    <t>Marg Cost / Save Shape File</t>
  </si>
  <si>
    <t>Savings Shape Tab</t>
  </si>
  <si>
    <t>Spon 1</t>
  </si>
  <si>
    <t>Spon 2</t>
  </si>
  <si>
    <t>Spon 3</t>
  </si>
  <si>
    <t>Weight</t>
  </si>
  <si>
    <t xml:space="preserve">Sponsor Share of First Cost </t>
  </si>
  <si>
    <t xml:space="preserve">Sponsor Share of Replace Cost </t>
  </si>
  <si>
    <t>Sponsor Share of O&amp;M</t>
  </si>
  <si>
    <t>Last Sponsor O&amp;M Yr</t>
  </si>
  <si>
    <t>Bulk Power T&amp;D Credit ($/kw-yr)</t>
  </si>
  <si>
    <t>Bulk Power T&amp;D Loss Factor</t>
  </si>
  <si>
    <t>Local Power T&amp;D Loss Factor</t>
  </si>
  <si>
    <t>Local Power T&amp;D Credit ($/kw-yr)</t>
  </si>
  <si>
    <t>Input Data</t>
  </si>
  <si>
    <t>Periodic O&amp;M</t>
  </si>
  <si>
    <t>Category Name</t>
  </si>
  <si>
    <t>Measure Name</t>
  </si>
  <si>
    <t>Capital Cost ($)</t>
  </si>
  <si>
    <t>Annual O&amp;M ($)</t>
  </si>
  <si>
    <t>Shape Pointer</t>
  </si>
  <si>
    <t>Cost 1 ($)</t>
  </si>
  <si>
    <t xml:space="preserve">Period 1 </t>
  </si>
  <si>
    <t>Cost 2 ($)</t>
  </si>
  <si>
    <t>Period 2</t>
  </si>
  <si>
    <t>Cost 3 ($)</t>
  </si>
  <si>
    <t>Period 3</t>
  </si>
  <si>
    <t>Savings</t>
  </si>
  <si>
    <t>PV Capital</t>
  </si>
  <si>
    <t>PV O&amp;M</t>
  </si>
  <si>
    <t>Total PV Costs</t>
  </si>
  <si>
    <t>Levelized Cost (mills/kwh)</t>
  </si>
  <si>
    <t>PV Benefits</t>
  </si>
  <si>
    <t>Category</t>
  </si>
  <si>
    <t>Measure</t>
  </si>
  <si>
    <t>Utility</t>
  </si>
  <si>
    <t>Non-E Value</t>
  </si>
  <si>
    <t>Exter-nalities</t>
  </si>
  <si>
    <t>Act C-E Credit</t>
  </si>
  <si>
    <t>Total</t>
  </si>
  <si>
    <t>B/C Ratio</t>
  </si>
  <si>
    <t>Busbar Savings</t>
  </si>
  <si>
    <t>PV Cost</t>
  </si>
  <si>
    <t>Levelized Cost</t>
  </si>
  <si>
    <t>Totals for Measures/Categories with Benefits Exceeding Costs</t>
  </si>
  <si>
    <t>Totals Basis</t>
  </si>
  <si>
    <t>First Cost</t>
  </si>
  <si>
    <t>Admin Cost</t>
  </si>
  <si>
    <t>Program Cost</t>
  </si>
  <si>
    <t>Program $/KWa</t>
  </si>
  <si>
    <t>Measures with B/C&gt;1.00</t>
  </si>
  <si>
    <t>Categories with B/C&gt;1.00</t>
  </si>
  <si>
    <t>% of Measures with B/C &gt;1.00</t>
  </si>
  <si>
    <t>Block 1:     x &lt;=10 m/kWh</t>
  </si>
  <si>
    <t>Block 2: 10&lt; x &lt;=20 m/kWh</t>
  </si>
  <si>
    <t>Block 3: 20&lt; x &lt;=30 m/kWh</t>
  </si>
  <si>
    <t>Block 4: 30&lt; x &lt;=40 m/kWh</t>
  </si>
  <si>
    <t>Block 5: 40&lt; x &lt;=50 m/kWh</t>
  </si>
  <si>
    <t>Block 6: 50&lt; x &lt;=60 m/kWh</t>
  </si>
  <si>
    <t xml:space="preserve">Block 7: 60m/kWh &lt; x </t>
  </si>
  <si>
    <t>Measure Input Data</t>
  </si>
  <si>
    <t>PV Bulk Power System Benefits</t>
  </si>
  <si>
    <t>PV Regional Benefits</t>
  </si>
  <si>
    <t>Measure Life</t>
  </si>
  <si>
    <t>Site Savings (kWh)</t>
  </si>
  <si>
    <t>Capital Cost ($/unit)</t>
  </si>
  <si>
    <t>Annual O&amp;M Cost ($/unit)</t>
  </si>
  <si>
    <t>Per. Repl. Cost ($/unit)</t>
  </si>
  <si>
    <t>Load Shape</t>
  </si>
  <si>
    <t>Div. Load Factor</t>
  </si>
  <si>
    <t>Bulk Pwr Coin. Factor</t>
  </si>
  <si>
    <t>Bulk Energy (kWh)</t>
  </si>
  <si>
    <t>Bulk Demand (kw)</t>
  </si>
  <si>
    <t>Local Demand (kW)</t>
  </si>
  <si>
    <t>Energy</t>
  </si>
  <si>
    <t>Bulk T&amp;D Def. Cap.</t>
  </si>
  <si>
    <t>Total System Benefit</t>
  </si>
  <si>
    <t>Total non-Consumer Cost</t>
  </si>
  <si>
    <t>Bulk System B/C Ratio</t>
  </si>
  <si>
    <t>Local T&amp;D Def.Cap.</t>
  </si>
  <si>
    <t>Total Regional Benefit</t>
  </si>
  <si>
    <t>Total Regional Cost</t>
  </si>
  <si>
    <t>Total Regional B/C Ratio</t>
  </si>
  <si>
    <t>Savings Weighted Measure Data</t>
  </si>
  <si>
    <t>PV Costs</t>
  </si>
  <si>
    <t>Lvl Cst</t>
  </si>
  <si>
    <t>Weighted Measure Life</t>
  </si>
  <si>
    <t>Weighted Load Factor</t>
  </si>
  <si>
    <t>Weighted Coinc. Factor</t>
  </si>
  <si>
    <t>PV Annual O&amp;M</t>
  </si>
  <si>
    <t>PV Period. Repl.</t>
  </si>
  <si>
    <t>PV Total Costs</t>
  </si>
  <si>
    <t>Levelized Cost mills/kWh</t>
  </si>
  <si>
    <t>Regional Costs and Bulk Power System Benefits</t>
  </si>
  <si>
    <t>Other Power System Benefits</t>
  </si>
  <si>
    <t>Non-Electric Power Costs/Benefits</t>
  </si>
  <si>
    <t>Total Regional Costs/Benefits (monetizable costs and benefits)</t>
  </si>
  <si>
    <t>Technology, Measure or Practice</t>
  </si>
  <si>
    <t>Delivery Mechanism or Program</t>
  </si>
  <si>
    <t>Application</t>
  </si>
  <si>
    <t>Location</t>
  </si>
  <si>
    <t>Measure Life (years)</t>
  </si>
  <si>
    <t>Annual Savings @ Site (kwh/yr)</t>
  </si>
  <si>
    <t>Annual Savings @ Busbar (kwh/yr)</t>
  </si>
  <si>
    <t>Bulk Transmission System Coincident Factor</t>
  </si>
  <si>
    <t>System Coincident Peak Reduction (KW)</t>
  </si>
  <si>
    <t>Present Value O &amp; M Cost ($/kWh)</t>
  </si>
  <si>
    <t>Total Present Value Cost ($/kWh)</t>
  </si>
  <si>
    <t>Present Value Electric Energy Savings ($/kWh)</t>
  </si>
  <si>
    <t>Data Set Name</t>
  </si>
  <si>
    <t>Savings (kWh/yr.)</t>
  </si>
  <si>
    <t>Phys Life (yr.)</t>
  </si>
  <si>
    <t>Non-E Val ($/yr.)</t>
  </si>
  <si>
    <t>Measure Results (2000 $)</t>
  </si>
  <si>
    <t>Category Totals (2000 $)</t>
  </si>
  <si>
    <t>Present Value of Bulk Transmission System Benefits ($/kWh)</t>
  </si>
  <si>
    <t>Present Value of Region Act's 10% Conservation Credit ($/kWh)</t>
  </si>
  <si>
    <t>Total Present Value Regional Bulk Power System Benefits ($/kWh)</t>
  </si>
  <si>
    <t>Net Present Value ($/kWh)</t>
  </si>
  <si>
    <t>Benefit / Cost Ratio</t>
  </si>
  <si>
    <t>Local Distribution System Load Factor</t>
  </si>
  <si>
    <t>Local Distribution System Peak Load Reduction (kW)</t>
  </si>
  <si>
    <t>Present Value of Local Transmission &amp; Distribution System Benefits ($/kWh)</t>
  </si>
  <si>
    <t>End-user Benefits</t>
  </si>
  <si>
    <t>Societal Benefits</t>
  </si>
  <si>
    <t>Present Value Non-Electric System Benefits ($/kWh)</t>
  </si>
  <si>
    <t>Present Value Environmental Externalities Benefit ($/kWh)</t>
  </si>
  <si>
    <t>Present Value Regional Costs ($/kWh)</t>
  </si>
  <si>
    <t>Present Value Total Societal Benefits ($/kWh)</t>
  </si>
  <si>
    <t>Net Present Value of Regional Costs &amp; Benefits ($/kWh)</t>
  </si>
  <si>
    <t>Related Programs/Activities</t>
  </si>
  <si>
    <t>Comments</t>
  </si>
  <si>
    <t>PV Per. Repl. Cost ($/unit)</t>
  </si>
  <si>
    <t>Incremental Capital Cost ($/unit)</t>
  </si>
  <si>
    <t>Incremental O&amp;M Costs and Schedule ($/unit)</t>
  </si>
  <si>
    <t>Present Value of Periodic Capital Replacement Cost ($/unit)</t>
  </si>
  <si>
    <t>Basis of Savings</t>
  </si>
  <si>
    <t>Present Value Incremental Capital Cost ($/kWh)</t>
  </si>
  <si>
    <t>Present Value of Periodic Capital Replacement Cost ($/kWh)</t>
  </si>
  <si>
    <t>MeasureTable</t>
  </si>
  <si>
    <t>Conservation Load Shapes</t>
  </si>
  <si>
    <t>Deemed</t>
  </si>
  <si>
    <t>Increased comfort, reduced noise</t>
  </si>
  <si>
    <t>Reduced environmental impacts from electricity generation</t>
  </si>
  <si>
    <t>Savings assume that program is operated in accordance with existing Bonneville Power Administration Weatherization program (WeatherWise) specifications, including home qualification and quality assurance process.</t>
  </si>
  <si>
    <t>Regional Average House</t>
  </si>
  <si>
    <t>ResSHWX</t>
  </si>
  <si>
    <t>ATTIC R11</t>
  </si>
  <si>
    <t>WALL R11</t>
  </si>
  <si>
    <t>ATTIC R19</t>
  </si>
  <si>
    <t>FLOOR R11</t>
  </si>
  <si>
    <t>FLOOR R19</t>
  </si>
  <si>
    <t>ATTIC R30</t>
  </si>
  <si>
    <t>FLOOR R30</t>
  </si>
  <si>
    <t>ATTIC R38</t>
  </si>
  <si>
    <t>ATTIC R49</t>
  </si>
  <si>
    <t>FLOOR R38</t>
  </si>
  <si>
    <t>DOOR R5</t>
  </si>
  <si>
    <t>Life (yr.)</t>
  </si>
  <si>
    <t>Capital Cost</t>
  </si>
  <si>
    <t>Annual O&amp;M</t>
  </si>
  <si>
    <t>BSMT WALL R11</t>
  </si>
  <si>
    <t>BSMT WALL R21</t>
  </si>
  <si>
    <t>850 sq ft Prototype Use</t>
  </si>
  <si>
    <t>1350 sq ft Prototype Use</t>
  </si>
  <si>
    <t>2184 sq ft Prototype Use</t>
  </si>
  <si>
    <t>Prototype</t>
  </si>
  <si>
    <t>Portland</t>
  </si>
  <si>
    <t>Seattle</t>
  </si>
  <si>
    <t>Spokane</t>
  </si>
  <si>
    <t>Missoula</t>
  </si>
  <si>
    <t>UA</t>
  </si>
  <si>
    <t>Region</t>
  </si>
  <si>
    <t>Uo</t>
  </si>
  <si>
    <t>850SF</t>
  </si>
  <si>
    <t>1350SF</t>
  </si>
  <si>
    <t>2184SF</t>
  </si>
  <si>
    <t>Delta UA</t>
  </si>
  <si>
    <t>Delta Cost</t>
  </si>
  <si>
    <t>$/Delta UA</t>
  </si>
  <si>
    <t>WALL R0</t>
  </si>
  <si>
    <t>FLOOR R0</t>
  </si>
  <si>
    <t>DOOR R2.5</t>
  </si>
  <si>
    <t>BSMT WALL R0</t>
  </si>
  <si>
    <t>Heating Zone 1</t>
  </si>
  <si>
    <t>Heating Zone 2</t>
  </si>
  <si>
    <t>Heating Zone 3</t>
  </si>
  <si>
    <t>Location Climate Data</t>
  </si>
  <si>
    <t xml:space="preserve">Spokane </t>
  </si>
  <si>
    <t>Case Weights =&gt;</t>
  </si>
  <si>
    <t>850 sq ft</t>
  </si>
  <si>
    <t>1350 sq ft</t>
  </si>
  <si>
    <t>2184sq ft</t>
  </si>
  <si>
    <t>Base</t>
  </si>
  <si>
    <t>Prototype Size (sq.ft.)</t>
  </si>
  <si>
    <t>Avg.Size</t>
  </si>
  <si>
    <t>Prototype Weight</t>
  </si>
  <si>
    <t>Average Existing UA - Based on ELCAP Sample data - Large Prototype assumed to have unheated basement</t>
  </si>
  <si>
    <t>Envelope Area</t>
  </si>
  <si>
    <t>ELCAP Base Sample UA's</t>
  </si>
  <si>
    <t>Mean R-Value</t>
  </si>
  <si>
    <t>Weighted R-Value</t>
  </si>
  <si>
    <t>Pre-60</t>
  </si>
  <si>
    <t>1960/70</t>
  </si>
  <si>
    <t>1970/78</t>
  </si>
  <si>
    <t>Weighted Uo</t>
  </si>
  <si>
    <t>Weighted Uo of Pre-79 Stock</t>
  </si>
  <si>
    <t>Conductive UA  of Pre-79</t>
  </si>
  <si>
    <t>Average Total UA for Pre-79 Stock</t>
  </si>
  <si>
    <t>Average Use of Pre-79 Stock (kWh/yr)</t>
  </si>
  <si>
    <t>Wall R11</t>
  </si>
  <si>
    <t>Total UA</t>
  </si>
  <si>
    <t>Mean Use (kwh/yr)</t>
  </si>
  <si>
    <t>Mean Use (kwh/sq ft/yr)</t>
  </si>
  <si>
    <t>Incremental Cost</t>
  </si>
  <si>
    <t>Average</t>
  </si>
  <si>
    <t>Glass</t>
  </si>
  <si>
    <t>Weighted Average</t>
  </si>
  <si>
    <t>Boise</t>
  </si>
  <si>
    <t>PNW Region</t>
  </si>
  <si>
    <t>$/sf</t>
  </si>
  <si>
    <t>SFResWX</t>
  </si>
  <si>
    <t>UA Optimizer</t>
  </si>
  <si>
    <t>Lookup Table</t>
  </si>
  <si>
    <t>Windows</t>
  </si>
  <si>
    <t>The Northwest Energy Efficiency Alliance has sponsored a market transformation program to increase the use of Energy Star windows (Class 35 &amp; below). In some areas of the region the use of class 35 windows (required to meet the Long Term SGC specifications and both the site built and manufactured home weatherization program specifications exceeds 50%.</t>
  </si>
  <si>
    <t>Residential Weatherization Measure Cost - Inflation Adjustment</t>
  </si>
  <si>
    <t>Data Based on BPA Data Gathering Reports 1985-92</t>
  </si>
  <si>
    <t>Installed Cost /Sq Ft - Single Family</t>
  </si>
  <si>
    <t>Measure Category</t>
  </si>
  <si>
    <t>Code</t>
  </si>
  <si>
    <t>Attic Insulation</t>
  </si>
  <si>
    <t>M-1</t>
  </si>
  <si>
    <t>Underfloor - Crawl</t>
  </si>
  <si>
    <t>M-4</t>
  </si>
  <si>
    <t>Underfloor-BSMT</t>
  </si>
  <si>
    <t>M-5</t>
  </si>
  <si>
    <t>Basement Wall-Int</t>
  </si>
  <si>
    <t>M-9</t>
  </si>
  <si>
    <t>Wall- Exterior</t>
  </si>
  <si>
    <t>M-12</t>
  </si>
  <si>
    <t>Duct Insulation</t>
  </si>
  <si>
    <t>M-13</t>
  </si>
  <si>
    <t>Storm Windows</t>
  </si>
  <si>
    <t>M-15</t>
  </si>
  <si>
    <t>Sash Mounted Storms</t>
  </si>
  <si>
    <t>M-16</t>
  </si>
  <si>
    <t>Replacement Windows</t>
  </si>
  <si>
    <t>M-17</t>
  </si>
  <si>
    <t>Sliding Glass Doors</t>
  </si>
  <si>
    <t>M-19</t>
  </si>
  <si>
    <t>Mean Cost 89/90</t>
  </si>
  <si>
    <t>90$ to 95$</t>
  </si>
  <si>
    <t>Umatilla Electric Cooperative</t>
  </si>
  <si>
    <t>Weatherization Bid Cost Samples</t>
  </si>
  <si>
    <t>Bid</t>
  </si>
  <si>
    <t>Attic</t>
  </si>
  <si>
    <t>Square</t>
  </si>
  <si>
    <t>Cost Per</t>
  </si>
  <si>
    <t>Floor</t>
  </si>
  <si>
    <t>Date</t>
  </si>
  <si>
    <t>Insulation</t>
  </si>
  <si>
    <t>Feet</t>
  </si>
  <si>
    <t>Ft. 2</t>
  </si>
  <si>
    <t>Quantity</t>
  </si>
  <si>
    <t>Unit</t>
  </si>
  <si>
    <t>Totals</t>
  </si>
  <si>
    <t>0% INTEREST LOAN PROGRAM MEASURES</t>
  </si>
  <si>
    <t>WALLS</t>
  </si>
  <si>
    <t>SQ. FT.</t>
  </si>
  <si>
    <t>TOTAL</t>
  </si>
  <si>
    <t>CEILING</t>
  </si>
  <si>
    <t>INSULATION</t>
  </si>
  <si>
    <t>VENTS</t>
  </si>
  <si>
    <t>MISC.</t>
  </si>
  <si>
    <t>FLOOR</t>
  </si>
  <si>
    <t>COST</t>
  </si>
  <si>
    <t>R-11</t>
  </si>
  <si>
    <t>R-19</t>
  </si>
  <si>
    <t>AVERAGE</t>
  </si>
  <si>
    <t>R-27</t>
  </si>
  <si>
    <t>R-30</t>
  </si>
  <si>
    <t>R-25</t>
  </si>
  <si>
    <t>R-38</t>
  </si>
  <si>
    <t>*Miscellaneous includes baffles, kitchen &amp; bathroom fans, etc.</t>
  </si>
  <si>
    <t>*All jobs completed 1995 - 1997 (random sample)</t>
  </si>
  <si>
    <t>EWEB Retrofit Costs</t>
  </si>
  <si>
    <t>Single Family</t>
  </si>
  <si>
    <t>Multifamily</t>
  </si>
  <si>
    <t>$/SQ FT</t>
  </si>
  <si>
    <t>Attic R-0 to R-19</t>
  </si>
  <si>
    <t>NA</t>
  </si>
  <si>
    <t>Attic R-0 to R-25</t>
  </si>
  <si>
    <t>Attic R-0 to R-30</t>
  </si>
  <si>
    <t>Attic R-0 to R-38</t>
  </si>
  <si>
    <t>Underfloor R-0 to R-19</t>
  </si>
  <si>
    <t>Underfloor R-0 to R-25</t>
  </si>
  <si>
    <t>Underfloor R-0 to R-30</t>
  </si>
  <si>
    <t>Wall R-0 to R-11</t>
  </si>
  <si>
    <t>Window Prime Replacement w/U-0.4</t>
  </si>
  <si>
    <t>Puget Retrofit Costs</t>
  </si>
  <si>
    <t>Low-Income</t>
  </si>
  <si>
    <t>$/Sq ft</t>
  </si>
  <si>
    <t>Attic R-11 to R-38</t>
  </si>
  <si>
    <t>Attic R-13 to R-38</t>
  </si>
  <si>
    <t>Attic R-19 to R-38</t>
  </si>
  <si>
    <t>Wall R-0 to R-13</t>
  </si>
  <si>
    <t>Note: Window Cost from Nov. 3, 1993 Memo to Tech. Collaborative from Mary Smith</t>
  </si>
  <si>
    <t>Ducts R-0 to R-11</t>
  </si>
  <si>
    <t>Ducts R-2 to R-11</t>
  </si>
  <si>
    <t>Ducts R-3 to R-11</t>
  </si>
  <si>
    <t>Set Up Cost Analysis Using Puget Power Data</t>
  </si>
  <si>
    <t>Estimated Variable Cost</t>
  </si>
  <si>
    <t>Increment</t>
  </si>
  <si>
    <t>N</t>
  </si>
  <si>
    <t>Sq Ft</t>
  </si>
  <si>
    <t xml:space="preserve">Cost </t>
  </si>
  <si>
    <t>$/Sq Ft</t>
  </si>
  <si>
    <t>R Added</t>
  </si>
  <si>
    <t>$/SqFt/R</t>
  </si>
  <si>
    <t>$/SQ Ft</t>
  </si>
  <si>
    <t>Actual Bill</t>
  </si>
  <si>
    <t>Residual</t>
  </si>
  <si>
    <t>R0-R38</t>
  </si>
  <si>
    <t>R6-R38</t>
  </si>
  <si>
    <t>R7-R38</t>
  </si>
  <si>
    <t>R9-R38</t>
  </si>
  <si>
    <t>R11-R38</t>
  </si>
  <si>
    <t>R13-R38</t>
  </si>
  <si>
    <t>R19-R38</t>
  </si>
  <si>
    <t>Linear Fit Through Cost Data Reported</t>
  </si>
  <si>
    <t xml:space="preserve">Average Incremental Cost </t>
  </si>
  <si>
    <t>Excluding R0 to R38 and R6 to R38</t>
  </si>
  <si>
    <t>Slope ($/Sq Ft/R)</t>
  </si>
  <si>
    <t>R-Squared</t>
  </si>
  <si>
    <t xml:space="preserve">Estimated Incremental Cost </t>
  </si>
  <si>
    <t>R-Added</t>
  </si>
  <si>
    <t>w/Linear Fit</t>
  </si>
  <si>
    <t>W/Average</t>
  </si>
  <si>
    <t>R0 to R19</t>
  </si>
  <si>
    <t>R19 to R30</t>
  </si>
  <si>
    <t>R30 to R38</t>
  </si>
  <si>
    <t>R0 to R38</t>
  </si>
  <si>
    <t>Floor Insulation</t>
  </si>
  <si>
    <t>Incremental</t>
  </si>
  <si>
    <t>$/Sq Ft/R</t>
  </si>
  <si>
    <t>R0 to R25</t>
  </si>
  <si>
    <t>R0 to R30</t>
  </si>
  <si>
    <t>Average Incremental Cost ($/Sq Ft/R)</t>
  </si>
  <si>
    <t>Excluding R0 to R19</t>
  </si>
  <si>
    <t>Fixed Cost</t>
  </si>
  <si>
    <t>R0 to R11</t>
  </si>
  <si>
    <t>R11 to R19</t>
  </si>
  <si>
    <t>WSEO/Ecotope Cost for New Windows</t>
  </si>
  <si>
    <t>Total Hard Cost</t>
  </si>
  <si>
    <t>NFRC 101-92 U @ 15 mph</t>
  </si>
  <si>
    <t>U @ 7.5 mph</t>
  </si>
  <si>
    <t>Actual R-Value</t>
  </si>
  <si>
    <t>Cumulative Cost</t>
  </si>
  <si>
    <t>Incremental Delta UA</t>
  </si>
  <si>
    <t>WINDOW CL65</t>
  </si>
  <si>
    <t>WINDOW CL50</t>
  </si>
  <si>
    <t>WINDOW CL40</t>
  </si>
  <si>
    <t>WINDOW CL35</t>
  </si>
  <si>
    <t>WINDOW CL25</t>
  </si>
  <si>
    <t>WINDOW CL20</t>
  </si>
  <si>
    <t>SUM</t>
  </si>
  <si>
    <t>Combined Data</t>
  </si>
  <si>
    <t xml:space="preserve">Puget </t>
  </si>
  <si>
    <t>EWEB</t>
  </si>
  <si>
    <t>Less Cost of CL40</t>
  </si>
  <si>
    <t>Multifamily Discount due to volume, computed as ratio of total MF CL 40 cost/Total SF CL 40 cost</t>
  </si>
  <si>
    <t>Installation Cost/sq ft</t>
  </si>
  <si>
    <t>Installation Cost</t>
  </si>
  <si>
    <t>Total Installed Cost</t>
  </si>
  <si>
    <t>Cumulative $/Delta UA</t>
  </si>
  <si>
    <t>Single Pane</t>
  </si>
  <si>
    <t>Storm  Window Cost</t>
  </si>
  <si>
    <t>Incremental Cost Over Storm</t>
  </si>
  <si>
    <t>SF</t>
  </si>
  <si>
    <t>MF</t>
  </si>
  <si>
    <t>Single Family Retrofit Costs</t>
  </si>
  <si>
    <t>Multifamily Retrofit Costs</t>
  </si>
  <si>
    <t>Puget</t>
  </si>
  <si>
    <t>1994$</t>
  </si>
  <si>
    <t>1991 Plan</t>
  </si>
  <si>
    <t>Attic R-19 to R-30</t>
  </si>
  <si>
    <t>Attic R-30 to R-38</t>
  </si>
  <si>
    <t>Underfloor R-19 to R-25</t>
  </si>
  <si>
    <t>Underfloor R-25 to R-30</t>
  </si>
  <si>
    <t>Na</t>
  </si>
  <si>
    <t>BPA 1992 DGP</t>
  </si>
  <si>
    <t>$/Lin Ft</t>
  </si>
  <si>
    <t>1996 Plan</t>
  </si>
  <si>
    <t>Mean</t>
  </si>
  <si>
    <t>Underfloor R-19 to R-30</t>
  </si>
  <si>
    <t>Window Prime Replacement w/U-0.40</t>
  </si>
  <si>
    <t>RESWX ECM Inflation DGP</t>
  </si>
  <si>
    <t>2000$</t>
  </si>
  <si>
    <t>92&gt;2000$</t>
  </si>
  <si>
    <t>1996 &gt; 2000$</t>
  </si>
  <si>
    <t>PacPUD</t>
  </si>
  <si>
    <t>Existing Single Family Residence w/Electric Heat as defined by WeatherWise Specifications</t>
  </si>
  <si>
    <t>R0 - R19</t>
  </si>
  <si>
    <t>R0 - R25</t>
  </si>
  <si>
    <t>R0 - R30</t>
  </si>
  <si>
    <t>R19 - R30</t>
  </si>
  <si>
    <t>R19 - R25</t>
  </si>
  <si>
    <t>Floors</t>
  </si>
  <si>
    <t>Attics</t>
  </si>
  <si>
    <t>R0 - R38</t>
  </si>
  <si>
    <t>R19 - R38</t>
  </si>
  <si>
    <t>Walls</t>
  </si>
  <si>
    <t>R0 - R11</t>
  </si>
  <si>
    <t>Mean (PSE/EWEB/PacPUD&amp;96Plan</t>
  </si>
  <si>
    <t>Optomize macro = "Ctl - O"</t>
  </si>
  <si>
    <t>Single Family Weatherization - Energy Star Prime Window Replacement (Cost and Savings are per sq.ft. of glazed area replaced) - Heating Zone 1</t>
  </si>
  <si>
    <t>Single Family Weatherization - Energy Star Prime Window Replacement (Cost and Savings are per sq.ft. of glazed area replaced) - Heating Zone 2</t>
  </si>
  <si>
    <t>Single Family Weatherization - Energy Star Prime Window Replacement (Cost and Savings are per sq.ft. of glazed area replaced) - Heating Zone 3</t>
  </si>
  <si>
    <t>Single Family Weatherization - Infiltration Control (Cost and Savings per sq.ft. of floor area for each  0.1 ach reduction) - Heating Zone 1</t>
  </si>
  <si>
    <t>Single Family Weatherization - Infiltration Control (Cost and Savings per sq.ft. of floor area for each  0.1 ach reduction) - Heating Zone 2</t>
  </si>
  <si>
    <t>Single Family Weatherization - Infiltration Control (Cost and Savings per sq.ft. of floor area for each  0.1 ach reduction) - Heating Zone 3</t>
  </si>
  <si>
    <t>Single Family Weatherization - R0 to R11 Wall Insulation (Cost and Savings are per sq.ft. of wall area insulated) - Heating Zone 1</t>
  </si>
  <si>
    <t>Single Family Weatherization - R0 to R11 Wall Insulation (Cost and Savings are per sq.ft. of wall area insulated) - Heating Zone 2</t>
  </si>
  <si>
    <t>Single Family Weatherization - R0 to R11 Wall Insulation (Cost and Savings are per sq.ft. of wall area insulated) - Heating Zone 3</t>
  </si>
  <si>
    <t>Single Family Weatherization - R0 to R19 Attic Insulation (Cost and Savings are per sq.ft. of attic area insulated) - Heating Zone 1</t>
  </si>
  <si>
    <t>Single Family Weatherization - R0 to R19 Attic Insulation (Cost and Savings are per sq.ft. of attic area insulated) - Heating Zone 2</t>
  </si>
  <si>
    <t>Single Family Weatherization - R0 to R19 Attic Insulation (Cost and Savings are per sq.ft. of attic area insulated) - Heating Zone 3</t>
  </si>
  <si>
    <t>Single Family Weatherization - R0 to R19 Floor Insulation (Cost and Savings are per sq.ft. of floor area insulated) - Heating Zone 1</t>
  </si>
  <si>
    <t>Single Family Weatherization - R0 to R19 Floor Insulation (Cost and Savings are per sq.ft. of floor area insulated) - Heating Zone 2</t>
  </si>
  <si>
    <t>Single Family Weatherization - R0 to R19 Floor Insulation (Cost and Savings are per sq.ft. of floor area insulated) - Heating Zone 3</t>
  </si>
  <si>
    <t>Single Family Weatherization - R19 to R30 Floor Insulation (Cost and Savings are per sq.ft. of floor area insulated) - Heating Zone 1</t>
  </si>
  <si>
    <t>Single Family Weatherization - R19 to R30 Floor Insulation (Cost and Savings are per sq.ft. of floor area insulated) - Heating Zone 2</t>
  </si>
  <si>
    <t>Single Family Weatherization - R19 to R30 Floor Insulation (Cost and Savings are per sq.ft. of floor area insulated) - Heating Zone 3</t>
  </si>
  <si>
    <t>Single Family Weatherization - R19 to R38 Attic Insulation (Cost and Savings are per sq.ft. of attic area insulated) - Heating Zone 1</t>
  </si>
  <si>
    <t>Single Family Weatherization - R19 to R38 Attic Insulation (Cost and Savings are per sq.ft. of attic area insulated) - Heating Zone 2</t>
  </si>
  <si>
    <t>Single Family Weatherization - R19 to R38 Attic Insulation (Cost and Savings are per sq.ft. of attic area insulated) - Heating Zone 3</t>
  </si>
  <si>
    <t>Select Climate Zone</t>
  </si>
  <si>
    <t>Heating Zone Weight Data</t>
  </si>
  <si>
    <t>*After selecting "Case", Procost must be re-run to update cost-effectiveness calculation for selected case.</t>
  </si>
  <si>
    <t>Building UA</t>
  </si>
  <si>
    <t>Annual Use/Unit (kWh/yr))</t>
  </si>
  <si>
    <t>Annual Savings/Unit (kWh/yr)</t>
  </si>
  <si>
    <t>Cost Effective UA &amp; Use</t>
  </si>
  <si>
    <t>Weighted Use/Unit</t>
  </si>
  <si>
    <t>Weighted Savings/Unit</t>
  </si>
  <si>
    <t>Case Cost Effective UA &amp; Use of Weatherized Unit=&gt;</t>
  </si>
  <si>
    <t>CE?</t>
  </si>
  <si>
    <t>Incremental Cost (2000$)</t>
  </si>
  <si>
    <t>Remaining Potential in "UnWeatherized" Pre-1979 Stock, in 2025</t>
  </si>
  <si>
    <t>Pre-Weatherization Use (kWh/yr)</t>
  </si>
  <si>
    <t>Post Weatherization Use (kWh/yr)</t>
  </si>
  <si>
    <t>Savings (kWh/yr)</t>
  </si>
  <si>
    <t>Conservation Measure</t>
  </si>
  <si>
    <t>Prototype Component Area</t>
  </si>
  <si>
    <t>Delta Cost (2000$/SF)</t>
  </si>
  <si>
    <t>Total Incremental Cost (2000$)</t>
  </si>
  <si>
    <t>ATTIC R0</t>
  </si>
  <si>
    <t>VAULT R0</t>
  </si>
  <si>
    <t>VAULT R11</t>
  </si>
  <si>
    <t>VAULT R19</t>
  </si>
  <si>
    <t>VAULT R30</t>
  </si>
  <si>
    <t>VAULT R38</t>
  </si>
  <si>
    <t>VAULT R49</t>
  </si>
  <si>
    <t>CLASS 120 WINDOW</t>
  </si>
  <si>
    <t>CLASS 35 PRIME WINDOW (Energy Star)</t>
  </si>
  <si>
    <t xml:space="preserve">CLASS 25 PRIME WINDOW </t>
  </si>
  <si>
    <t>INFILTRATION @ O.35 ACH</t>
  </si>
  <si>
    <t>INFILTRATION @ O.45 ACH</t>
  </si>
  <si>
    <t xml:space="preserve">Component </t>
  </si>
  <si>
    <t>Infiltration Load @ 0.45 ACH</t>
  </si>
  <si>
    <t>Weighted Avg.Size</t>
  </si>
  <si>
    <t xml:space="preserve">Uninsulated Pre-1979 UA </t>
  </si>
  <si>
    <t>Installed Cost (2000$)</t>
  </si>
  <si>
    <t>Use (kWh/yr)</t>
  </si>
  <si>
    <t>5th Plan Draft 092802</t>
  </si>
  <si>
    <t>Cost-Effectiveness Level</t>
  </si>
  <si>
    <t>CLASS 25 PRIME WINDOW</t>
  </si>
  <si>
    <t>This section calculates the cost-effective UA for weatherization from the "Pre-Weatherzation Base</t>
  </si>
  <si>
    <t>Cumulative Cost ($2000)</t>
  </si>
  <si>
    <t>This section calculates the cumulative incremental cost/unit of achieving the cost-effective UA over the Pre-79 PreWeatherization Base</t>
  </si>
  <si>
    <t>Incremental Cost over "UnInsulated Pre-1979" Unit @ CE UA</t>
  </si>
  <si>
    <t>Ref. No.</t>
  </si>
  <si>
    <t>Total Units</t>
  </si>
  <si>
    <t>Measure Description</t>
  </si>
  <si>
    <t>REE00090</t>
  </si>
  <si>
    <t>REE00042</t>
  </si>
  <si>
    <t>REE00084</t>
  </si>
  <si>
    <t>REE00003</t>
  </si>
  <si>
    <t>REE00081</t>
  </si>
  <si>
    <t>REE00087</t>
  </si>
  <si>
    <t>REE00092</t>
  </si>
  <si>
    <t>REE00049</t>
  </si>
  <si>
    <t>REE00091</t>
  </si>
  <si>
    <t>REE00085</t>
  </si>
  <si>
    <t>REE00002</t>
  </si>
  <si>
    <t>REE00041</t>
  </si>
  <si>
    <t>REE00051</t>
  </si>
  <si>
    <t>REE00001</t>
  </si>
  <si>
    <t>REE00040</t>
  </si>
  <si>
    <t>REE00086</t>
  </si>
  <si>
    <t>REE00082</t>
  </si>
  <si>
    <t>REE00089</t>
  </si>
  <si>
    <t>REE00083</t>
  </si>
  <si>
    <t>REE00050</t>
  </si>
  <si>
    <t>REE00088</t>
  </si>
  <si>
    <t>Attic R0 to R19</t>
  </si>
  <si>
    <t>Attic R19 to R38</t>
  </si>
  <si>
    <t>Floor R0 to R19</t>
  </si>
  <si>
    <t>Floor R19 to R30</t>
  </si>
  <si>
    <t>Wall R0 to R11</t>
  </si>
  <si>
    <t>Infiltration 0.45 ach to 0.35 ach</t>
  </si>
  <si>
    <t>Energy Star Prime Window Replacements</t>
  </si>
  <si>
    <t>Share of ResWx Measures Installed</t>
  </si>
  <si>
    <t>Pre-ResWX U-Value</t>
  </si>
  <si>
    <t>Post-ResWX U-Value</t>
  </si>
  <si>
    <t>Subtotal Attics</t>
  </si>
  <si>
    <t>Component</t>
  </si>
  <si>
    <t>Wall</t>
  </si>
  <si>
    <t>Vault</t>
  </si>
  <si>
    <t>Door</t>
  </si>
  <si>
    <t>Wall - Below Grade</t>
  </si>
  <si>
    <t>Infiltration</t>
  </si>
  <si>
    <t>Pre-ResWxX UA</t>
  </si>
  <si>
    <t>Post-ResWxX UA</t>
  </si>
  <si>
    <t xml:space="preserve">UA of Retrofitted Components </t>
  </si>
  <si>
    <t>Change in UA</t>
  </si>
  <si>
    <t>Cost-Effective UA</t>
  </si>
  <si>
    <t>C&amp;RD Delta UA</t>
  </si>
  <si>
    <t>Pre-ResWX UA</t>
  </si>
  <si>
    <t>Single Family Weatherization - Zone 1</t>
  </si>
  <si>
    <t>Single Family Weatherization - Zone 2</t>
  </si>
  <si>
    <t>Single Family Weatherization - Zone 3</t>
  </si>
  <si>
    <t>Single Family Weatherization - PNW Average Climate</t>
  </si>
  <si>
    <t>Single family unit must meet WeatherWise Program &amp; Specifications for the installation of this measure.</t>
  </si>
  <si>
    <t>UECResWXCst</t>
  </si>
  <si>
    <t>Total Cost</t>
  </si>
  <si>
    <t xml:space="preserve">Average Pre-79 PreWeatherizarion UA in 2000 </t>
  </si>
  <si>
    <t>Use @ Cost Effectiveness Limit in 2025</t>
  </si>
  <si>
    <t>UA Change - Based on C&amp;R Discount Program FY02 ResWX Measure Reports</t>
  </si>
  <si>
    <t>Measures Installed in C&amp;RD during FY02</t>
  </si>
  <si>
    <t>=</t>
  </si>
  <si>
    <t>Weighted Total</t>
  </si>
  <si>
    <t>BASE CASE WINDOW - CLASS 50</t>
  </si>
  <si>
    <t>RETROFITTED AVERAGE WINDOW - CLASS 50</t>
  </si>
  <si>
    <t>Incremental Cost over "Un-Weatherized Pre-1979" Unit @ CE UA</t>
  </si>
  <si>
    <t>Incremental Savings - Zone 1</t>
  </si>
  <si>
    <t>Incremental Savings - Zone 2</t>
  </si>
  <si>
    <t>Incremental Savings - Zone 3</t>
  </si>
  <si>
    <t>Incremental Savings - PNW</t>
  </si>
  <si>
    <t>Total Savings</t>
  </si>
  <si>
    <t>Weighted Total Savings</t>
  </si>
  <si>
    <t>Remaining Potential in "UnWeatherized" Pre-1979 Stock, in 2025 with Cost and Savings based on Measures Reported in C&amp;RD for FY02</t>
  </si>
  <si>
    <t>Prototype Measure Optimization</t>
  </si>
  <si>
    <t xml:space="preserve">C&amp;RD Measure Reports </t>
  </si>
  <si>
    <t>Select Cost and Saving Method =&gt;</t>
  </si>
  <si>
    <t>Pre-Weatherization UA &amp; Use w/100% Measures</t>
  </si>
  <si>
    <t>Pre-Weaherization UA &amp; Use  Adj. For C&amp;RD</t>
  </si>
  <si>
    <t>Cost/Unit Using UA vs Cumuative Cost Curve Fit</t>
  </si>
  <si>
    <t>Weighted Cost/Unit</t>
  </si>
  <si>
    <t>Incremental Cost Using C&amp;R D Measure Reports</t>
  </si>
  <si>
    <t>BOISE</t>
  </si>
  <si>
    <t>MISSOULA</t>
  </si>
  <si>
    <t>PORTLAND</t>
  </si>
  <si>
    <t>SEATTLE</t>
  </si>
  <si>
    <t>SPOKANE</t>
  </si>
  <si>
    <t>Bldg SF</t>
  </si>
  <si>
    <t>UA/SF</t>
  </si>
  <si>
    <t>Loacation</t>
  </si>
  <si>
    <t>AC Load/SF</t>
  </si>
  <si>
    <t>AC Load Total (kWh)</t>
  </si>
  <si>
    <t>UA @ CE</t>
  </si>
  <si>
    <t>Post-ResWX Air Conditioning Load Curves</t>
  </si>
  <si>
    <t>Pre-ResWX Air Conditioning Load Curves</t>
  </si>
  <si>
    <t>Pre-ResWX</t>
  </si>
  <si>
    <t>Weighted Average AC Loads</t>
  </si>
  <si>
    <t>ProCost Results, Version 1.70a: JPH 03/07/01, 08:13 PM 1/13/2003</t>
  </si>
  <si>
    <t>PNW Average Climate</t>
  </si>
  <si>
    <t>R:\TE\New Plan\Residential Resource Assessment\Space Conditioning\MC_AND_LOADSHAPE.XLS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</si>
</sst>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Red]\-0.0"/>
    <numFmt numFmtId="168" formatCode="_(&quot;$&quot;* #,##0_);_(&quot;$&quot;* \(#,##0\);_(&quot;$&quot;* &quot;-&quot;??_);_(@_)"/>
    <numFmt numFmtId="169" formatCode="_(* #,##0_);_(* \(#,##0\);_(* &quot;-&quot;??_);_(@_)"/>
    <numFmt numFmtId="170" formatCode="&quot;$&quot;#,##0"/>
    <numFmt numFmtId="171" formatCode="&quot;$&quot;#,##0.00"/>
    <numFmt numFmtId="172" formatCode="\ \ \ General"/>
    <numFmt numFmtId="173" formatCode="\ \ \ @"/>
    <numFmt numFmtId="174" formatCode="0%\ \ \ "/>
    <numFmt numFmtId="175" formatCode="00000"/>
    <numFmt numFmtId="176" formatCode="0.00000%"/>
    <numFmt numFmtId="177" formatCode="General_)"/>
    <numFmt numFmtId="178" formatCode="_(* #,##0.0_);_(* \(#,##0.0\);_(* &quot;-&quot;??_);_(@_)"/>
    <numFmt numFmtId="179" formatCode="0.00000000"/>
    <numFmt numFmtId="180" formatCode="0.0000000"/>
    <numFmt numFmtId="181" formatCode="0.000000"/>
    <numFmt numFmtId="182" formatCode="0.00000"/>
    <numFmt numFmtId="183" formatCode="0.0000"/>
    <numFmt numFmtId="184" formatCode="_(&quot;$&quot;* #,##0.0_);_(&quot;$&quot;* \(#,##0.0\);_(&quot;$&quot;* &quot;-&quot;??_);_(@_)"/>
    <numFmt numFmtId="185" formatCode="_(&quot;$&quot;* #,##0.000_);_(&quot;$&quot;* \(#,##0.000\);_(&quot;$&quot;* &quot;-&quot;??_);_(@_)"/>
    <numFmt numFmtId="186" formatCode="&quot;$&quot;#,##0.000_);\(&quot;$&quot;#,##0.00\)"/>
    <numFmt numFmtId="187" formatCode="&quot;$&quot;#,##0.0000\);[Red]\(&quot;$&quot;#,##0.00\)"/>
    <numFmt numFmtId="188" formatCode="&quot;$&quot;#,##0.0000;\(&quot;$&quot;#,##0.00\)"/>
    <numFmt numFmtId="189" formatCode="&quot;$&quot;#,##0.0000\);\(&quot;$&quot;#,##0.00\)"/>
    <numFmt numFmtId="190" formatCode="&quot;$&quot;#,##0.0000_);\(&quot;$&quot;#,##0.00\)"/>
    <numFmt numFmtId="191" formatCode="&quot;$&quot;#,##0.0"/>
    <numFmt numFmtId="192" formatCode="0.000000000"/>
    <numFmt numFmtId="193" formatCode="0.0000000000"/>
    <numFmt numFmtId="194" formatCode="_(* #,##0.0000_);_(* \(#,##0.0000\);_(* &quot;-&quot;????_);_(@_)"/>
  </numFmts>
  <fonts count="41">
    <font>
      <sz val="10"/>
      <name val="Arial"/>
      <family val="0"/>
    </font>
    <font>
      <b/>
      <i/>
      <sz val="10"/>
      <color indexed="9"/>
      <name val="Arial"/>
      <family val="2"/>
    </font>
    <font>
      <sz val="11"/>
      <color indexed="8"/>
      <name val="Arial"/>
      <family val="2"/>
    </font>
    <font>
      <sz val="11"/>
      <color indexed="9"/>
      <name val="Arial"/>
      <family val="2"/>
    </font>
    <font>
      <b/>
      <sz val="11"/>
      <color indexed="9"/>
      <name val="Arial"/>
      <family val="2"/>
    </font>
    <font>
      <sz val="11"/>
      <name val="Arial"/>
      <family val="2"/>
    </font>
    <font>
      <b/>
      <sz val="10"/>
      <color indexed="9"/>
      <name val="Arial"/>
      <family val="2"/>
    </font>
    <font>
      <b/>
      <i/>
      <sz val="11"/>
      <name val="Arial"/>
      <family val="2"/>
    </font>
    <font>
      <sz val="8"/>
      <name val="Tahoma"/>
      <family val="0"/>
    </font>
    <font>
      <u val="single"/>
      <sz val="10"/>
      <color indexed="12"/>
      <name val="Arial"/>
      <family val="0"/>
    </font>
    <font>
      <u val="single"/>
      <sz val="12"/>
      <color indexed="36"/>
      <name val="Arial"/>
      <family val="0"/>
    </font>
    <font>
      <sz val="10"/>
      <color indexed="12"/>
      <name val="Arial"/>
      <family val="2"/>
    </font>
    <font>
      <sz val="10"/>
      <color indexed="8"/>
      <name val="Arial"/>
      <family val="2"/>
    </font>
    <font>
      <sz val="10"/>
      <color indexed="22"/>
      <name val="Arial"/>
      <family val="2"/>
    </font>
    <font>
      <sz val="10"/>
      <color indexed="9"/>
      <name val="Arial"/>
      <family val="2"/>
    </font>
    <font>
      <sz val="10"/>
      <color indexed="10"/>
      <name val="Arial"/>
      <family val="2"/>
    </font>
    <font>
      <b/>
      <sz val="8"/>
      <name val="Tahoma"/>
      <family val="0"/>
    </font>
    <font>
      <b/>
      <sz val="10"/>
      <name val="Arial"/>
      <family val="2"/>
    </font>
    <font>
      <b/>
      <sz val="11"/>
      <name val="Arial"/>
      <family val="2"/>
    </font>
    <font>
      <b/>
      <sz val="8"/>
      <name val="Arial"/>
      <family val="2"/>
    </font>
    <font>
      <sz val="8"/>
      <name val="Arial"/>
      <family val="0"/>
    </font>
    <font>
      <b/>
      <sz val="10"/>
      <name val="Tahoma"/>
      <family val="2"/>
    </font>
    <font>
      <sz val="10"/>
      <name val="Tahoma"/>
      <family val="2"/>
    </font>
    <font>
      <sz val="12"/>
      <name val="Arial"/>
      <family val="0"/>
    </font>
    <font>
      <sz val="12"/>
      <name val="Courier"/>
      <family val="0"/>
    </font>
    <font>
      <sz val="11"/>
      <color indexed="12"/>
      <name val="Arial"/>
      <family val="2"/>
    </font>
    <font>
      <sz val="12"/>
      <name val="MS Sans Serif"/>
      <family val="0"/>
    </font>
    <font>
      <sz val="14"/>
      <name val="Arial"/>
      <family val="2"/>
    </font>
    <font>
      <sz val="12"/>
      <name val="Times New Roman"/>
      <family val="1"/>
    </font>
    <font>
      <b/>
      <sz val="12"/>
      <name val="MS Sans Serif"/>
      <family val="0"/>
    </font>
    <font>
      <b/>
      <sz val="12"/>
      <name val="Arial"/>
      <family val="0"/>
    </font>
    <font>
      <b/>
      <sz val="8.5"/>
      <name val="Arial"/>
      <family val="2"/>
    </font>
    <font>
      <sz val="10"/>
      <name val="MS Sans Serif"/>
      <family val="0"/>
    </font>
    <font>
      <b/>
      <sz val="11"/>
      <color indexed="12"/>
      <name val="Arial"/>
      <family val="2"/>
    </font>
    <font>
      <b/>
      <sz val="10"/>
      <color indexed="12"/>
      <name val="Arial"/>
      <family val="2"/>
    </font>
    <font>
      <b/>
      <sz val="10"/>
      <color indexed="36"/>
      <name val="Arial"/>
      <family val="2"/>
    </font>
    <font>
      <vertAlign val="superscript"/>
      <sz val="9.25"/>
      <name val="Arial"/>
      <family val="0"/>
    </font>
    <font>
      <sz val="9.25"/>
      <name val="Arial"/>
      <family val="0"/>
    </font>
    <font>
      <sz val="8.75"/>
      <name val="Arial"/>
      <family val="0"/>
    </font>
    <font>
      <vertAlign val="superscript"/>
      <sz val="8.75"/>
      <name val="Arial"/>
      <family val="0"/>
    </font>
    <font>
      <b/>
      <sz val="11"/>
      <name val="Tahoma"/>
      <family val="2"/>
    </font>
  </fonts>
  <fills count="20">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lightTrellis">
        <bgColor indexed="9"/>
      </patternFill>
    </fill>
    <fill>
      <patternFill patternType="solid">
        <fgColor indexed="26"/>
        <bgColor indexed="64"/>
      </patternFill>
    </fill>
    <fill>
      <patternFill patternType="solid">
        <fgColor indexed="22"/>
        <bgColor indexed="64"/>
      </patternFill>
    </fill>
    <fill>
      <patternFill patternType="solid">
        <fgColor indexed="61"/>
        <bgColor indexed="64"/>
      </patternFill>
    </fill>
    <fill>
      <patternFill patternType="solid">
        <fgColor indexed="31"/>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46"/>
        <bgColor indexed="64"/>
      </patternFill>
    </fill>
    <fill>
      <patternFill patternType="solid">
        <fgColor indexed="5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1"/>
        <bgColor indexed="64"/>
      </patternFill>
    </fill>
  </fills>
  <borders count="77">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thin"/>
      <top style="thin"/>
      <bottom style="thin"/>
    </border>
    <border>
      <left style="medium"/>
      <right style="thin"/>
      <top style="thin"/>
      <bottom>
        <color indexed="63"/>
      </bottom>
    </border>
    <border>
      <left style="thin"/>
      <right style="medium"/>
      <top style="medium"/>
      <bottom>
        <color indexed="63"/>
      </botto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medium"/>
      <top style="medium"/>
      <bottom style="thin"/>
    </border>
    <border>
      <left style="medium"/>
      <right style="medium"/>
      <top style="thin"/>
      <bottom style="thin"/>
    </border>
    <border>
      <left style="thin"/>
      <right style="thin"/>
      <top>
        <color indexed="63"/>
      </top>
      <bottom style="medium"/>
    </border>
    <border>
      <left style="medium"/>
      <right style="medium"/>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right style="thin"/>
      <top>
        <color indexed="63"/>
      </top>
      <bottom style="medium"/>
    </border>
    <border>
      <left style="medium"/>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style="medium"/>
      <right style="medium">
        <color indexed="54"/>
      </right>
      <top style="medium"/>
      <bottom>
        <color indexed="63"/>
      </bottom>
    </border>
    <border>
      <left style="thin"/>
      <right>
        <color indexed="63"/>
      </right>
      <top style="medium"/>
      <bottom style="medium"/>
    </border>
    <border>
      <left>
        <color indexed="63"/>
      </left>
      <right>
        <color indexed="63"/>
      </right>
      <top style="thin"/>
      <bottom style="medium"/>
    </border>
    <border>
      <left style="thin"/>
      <right style="medium"/>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style="medium"/>
      <right style="thin"/>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thin"/>
      <top style="medium"/>
      <bottom>
        <color indexed="63"/>
      </bottom>
    </border>
    <border>
      <left>
        <color indexed="63"/>
      </left>
      <right>
        <color indexed="63"/>
      </right>
      <top>
        <color indexed="63"/>
      </top>
      <bottom style="medium"/>
    </border>
    <border>
      <left style="medium">
        <color indexed="54"/>
      </left>
      <right>
        <color indexed="63"/>
      </right>
      <top style="medium"/>
      <bottom style="medium"/>
    </border>
    <border>
      <left>
        <color indexed="63"/>
      </left>
      <right style="medium">
        <color indexed="54"/>
      </right>
      <top style="medium"/>
      <bottom style="medium"/>
    </border>
    <border>
      <left>
        <color indexed="63"/>
      </left>
      <right>
        <color indexed="63"/>
      </right>
      <top style="medium"/>
      <bottom style="thin"/>
    </border>
    <border>
      <left>
        <color indexed="63"/>
      </left>
      <right style="medium"/>
      <top style="medium"/>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 borderId="0" applyNumberFormat="0" applyAlignment="0">
      <protection/>
    </xf>
    <xf numFmtId="0" fontId="0" fillId="3" borderId="0" applyNumberFormat="0" applyAlignment="0">
      <protection/>
    </xf>
    <xf numFmtId="0" fontId="10" fillId="0" borderId="0" applyNumberFormat="0" applyFill="0" applyBorder="0" applyAlignment="0" applyProtection="0"/>
    <xf numFmtId="0" fontId="9" fillId="0" borderId="0" applyNumberFormat="0" applyFill="0" applyBorder="0" applyAlignment="0" applyProtection="0"/>
    <xf numFmtId="0" fontId="32" fillId="0" borderId="0">
      <alignment/>
      <protection/>
    </xf>
    <xf numFmtId="0" fontId="23" fillId="0" borderId="0">
      <alignment/>
      <protection/>
    </xf>
    <xf numFmtId="0" fontId="23" fillId="0" borderId="0">
      <alignment/>
      <protection/>
    </xf>
    <xf numFmtId="0" fontId="23" fillId="0" borderId="0">
      <alignment/>
      <protection/>
    </xf>
    <xf numFmtId="177" fontId="24" fillId="0" borderId="0">
      <alignment/>
      <protection/>
    </xf>
    <xf numFmtId="0" fontId="23" fillId="0" borderId="0">
      <alignment/>
      <protection/>
    </xf>
    <xf numFmtId="0" fontId="23"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809">
    <xf numFmtId="0" fontId="0" fillId="0" borderId="0" xfId="0" applyAlignment="1">
      <alignment/>
    </xf>
    <xf numFmtId="0" fontId="1" fillId="4" borderId="1" xfId="0" applyFont="1" applyFill="1" applyBorder="1" applyAlignment="1" quotePrefix="1">
      <alignment horizontal="centerContinuous" vertical="center"/>
    </xf>
    <xf numFmtId="0" fontId="2" fillId="4" borderId="2" xfId="0" applyFont="1" applyFill="1" applyBorder="1" applyAlignment="1">
      <alignment horizontal="centerContinuous" vertical="center"/>
    </xf>
    <xf numFmtId="0" fontId="5" fillId="0" borderId="0" xfId="0" applyFont="1" applyAlignment="1">
      <alignment/>
    </xf>
    <xf numFmtId="0" fontId="0" fillId="0" borderId="0" xfId="0" applyFont="1" applyBorder="1" applyAlignment="1">
      <alignment/>
    </xf>
    <xf numFmtId="0" fontId="0" fillId="0" borderId="0" xfId="0" applyFont="1" applyAlignment="1">
      <alignment/>
    </xf>
    <xf numFmtId="0" fontId="1" fillId="4" borderId="0" xfId="0" applyFont="1" applyFill="1" applyBorder="1" applyAlignment="1">
      <alignment/>
    </xf>
    <xf numFmtId="0" fontId="0" fillId="3"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7" fillId="0" borderId="0" xfId="0" applyFont="1" applyAlignment="1">
      <alignment horizontal="center" wrapText="1"/>
    </xf>
    <xf numFmtId="0" fontId="5" fillId="0" borderId="0" xfId="0" applyFont="1" applyFill="1" applyAlignment="1">
      <alignment/>
    </xf>
    <xf numFmtId="0" fontId="0" fillId="3" borderId="0" xfId="0" applyFont="1" applyFill="1" applyBorder="1" applyAlignment="1">
      <alignment/>
    </xf>
    <xf numFmtId="0" fontId="0" fillId="0" borderId="0" xfId="0" applyFont="1" applyAlignment="1" quotePrefix="1">
      <alignment horizontal="left"/>
    </xf>
    <xf numFmtId="0" fontId="0" fillId="0" borderId="0" xfId="0" applyFont="1" applyFill="1" applyBorder="1" applyAlignment="1" quotePrefix="1">
      <alignment horizontal="left"/>
    </xf>
    <xf numFmtId="0" fontId="0" fillId="0" borderId="0" xfId="0" applyAlignment="1" quotePrefix="1">
      <alignment horizontal="left"/>
    </xf>
    <xf numFmtId="0" fontId="0" fillId="0" borderId="0" xfId="0" applyBorder="1" applyAlignment="1">
      <alignment/>
    </xf>
    <xf numFmtId="0" fontId="0" fillId="3" borderId="3" xfId="20" applyBorder="1" applyAlignment="1">
      <alignment/>
      <protection/>
    </xf>
    <xf numFmtId="0" fontId="0" fillId="2" borderId="3" xfId="19" applyBorder="1" applyAlignment="1">
      <alignment horizontal="right"/>
      <protection/>
    </xf>
    <xf numFmtId="10" fontId="0" fillId="2" borderId="3" xfId="19" applyNumberFormat="1" applyBorder="1" applyAlignment="1">
      <alignment horizontal="right"/>
      <protection/>
    </xf>
    <xf numFmtId="164" fontId="0" fillId="2" borderId="3" xfId="19" applyNumberFormat="1" applyBorder="1" applyAlignment="1">
      <alignment horizontal="right"/>
      <protection/>
    </xf>
    <xf numFmtId="9" fontId="0" fillId="2" borderId="3" xfId="19" applyNumberFormat="1" applyBorder="1" applyAlignment="1">
      <alignment horizontal="right"/>
      <protection/>
    </xf>
    <xf numFmtId="2" fontId="0" fillId="2" borderId="3" xfId="19" applyNumberFormat="1" applyBorder="1" applyAlignment="1">
      <alignment horizontal="right"/>
      <protection/>
    </xf>
    <xf numFmtId="165" fontId="0" fillId="2" borderId="3" xfId="19" applyNumberFormat="1" applyBorder="1" applyAlignment="1">
      <alignment horizontal="right"/>
      <protection/>
    </xf>
    <xf numFmtId="9" fontId="0" fillId="2" borderId="3" xfId="19" applyBorder="1" applyAlignment="1">
      <alignment horizontal="right"/>
      <protection/>
    </xf>
    <xf numFmtId="0" fontId="1" fillId="4" borderId="3" xfId="0" applyFont="1" applyFill="1" applyBorder="1" applyAlignment="1" quotePrefix="1">
      <alignment horizontal="centerContinuous" vertical="center"/>
    </xf>
    <xf numFmtId="0" fontId="3" fillId="4" borderId="3" xfId="0" applyFont="1" applyFill="1" applyBorder="1" applyAlignment="1">
      <alignment horizontal="centerContinuous" vertical="center"/>
    </xf>
    <xf numFmtId="0" fontId="4" fillId="4" borderId="3" xfId="0" applyFont="1" applyFill="1" applyBorder="1" applyAlignment="1" quotePrefix="1">
      <alignment horizontal="centerContinuous" vertical="center"/>
    </xf>
    <xf numFmtId="0" fontId="0" fillId="3" borderId="3" xfId="20" applyBorder="1" applyAlignment="1">
      <alignment horizontal="center" wrapText="1"/>
      <protection/>
    </xf>
    <xf numFmtId="0" fontId="0" fillId="5" borderId="3" xfId="0" applyFont="1" applyFill="1" applyBorder="1" applyAlignment="1">
      <alignment horizontal="right"/>
    </xf>
    <xf numFmtId="0" fontId="0" fillId="3" borderId="3" xfId="20" applyBorder="1" applyAlignment="1">
      <alignment horizontal="left"/>
      <protection/>
    </xf>
    <xf numFmtId="0" fontId="0" fillId="3" borderId="3" xfId="0" applyFont="1" applyFill="1" applyBorder="1" applyAlignment="1">
      <alignment horizontal="left"/>
    </xf>
    <xf numFmtId="0" fontId="0" fillId="3" borderId="3" xfId="0" applyFont="1" applyFill="1" applyBorder="1" applyAlignment="1" quotePrefix="1">
      <alignment horizontal="left"/>
    </xf>
    <xf numFmtId="0" fontId="0" fillId="3" borderId="3" xfId="0" applyFont="1" applyFill="1" applyBorder="1" applyAlignment="1">
      <alignment/>
    </xf>
    <xf numFmtId="0" fontId="0" fillId="3" borderId="3" xfId="20" applyFont="1" applyBorder="1" applyAlignment="1">
      <alignment/>
      <protection/>
    </xf>
    <xf numFmtId="9" fontId="0" fillId="2" borderId="4" xfId="19" applyBorder="1" applyAlignment="1">
      <alignment horizontal="right"/>
      <protection/>
    </xf>
    <xf numFmtId="0" fontId="7" fillId="0" borderId="0" xfId="0" applyFont="1" applyAlignment="1">
      <alignment/>
    </xf>
    <xf numFmtId="0" fontId="0" fillId="0" borderId="0" xfId="0" applyFont="1" applyAlignment="1">
      <alignment/>
    </xf>
    <xf numFmtId="5" fontId="0" fillId="0" borderId="0" xfId="0" applyNumberFormat="1" applyFont="1" applyAlignment="1">
      <alignment horizontal="right"/>
    </xf>
    <xf numFmtId="165" fontId="0" fillId="0" borderId="0" xfId="0" applyNumberFormat="1" applyFont="1" applyAlignment="1">
      <alignment/>
    </xf>
    <xf numFmtId="0" fontId="6" fillId="4" borderId="5" xfId="0" applyFont="1" applyFill="1" applyBorder="1" applyAlignment="1">
      <alignment horizontal="centerContinuous"/>
    </xf>
    <xf numFmtId="0" fontId="11" fillId="4" borderId="6" xfId="0" applyFont="1" applyFill="1" applyBorder="1" applyAlignment="1">
      <alignment/>
    </xf>
    <xf numFmtId="0" fontId="11" fillId="4" borderId="6" xfId="0" applyFont="1" applyFill="1" applyBorder="1" applyAlignment="1">
      <alignment horizontal="centerContinuous"/>
    </xf>
    <xf numFmtId="0" fontId="11" fillId="4" borderId="7" xfId="0" applyFont="1" applyFill="1" applyBorder="1" applyAlignment="1">
      <alignment horizontal="centerContinuous"/>
    </xf>
    <xf numFmtId="0" fontId="12" fillId="6" borderId="3" xfId="0" applyFont="1" applyFill="1" applyBorder="1" applyAlignment="1">
      <alignment horizontal="centerContinuous"/>
    </xf>
    <xf numFmtId="0" fontId="13" fillId="6" borderId="3" xfId="0" applyFont="1" applyFill="1" applyBorder="1" applyAlignment="1">
      <alignment horizontal="centerContinuous"/>
    </xf>
    <xf numFmtId="0" fontId="12" fillId="7" borderId="8" xfId="0" applyFont="1" applyFill="1" applyBorder="1" applyAlignment="1">
      <alignment horizontal="center" wrapText="1"/>
    </xf>
    <xf numFmtId="0" fontId="12" fillId="7" borderId="9" xfId="0" applyFont="1" applyFill="1" applyBorder="1" applyAlignment="1">
      <alignment horizontal="center" wrapText="1"/>
    </xf>
    <xf numFmtId="2" fontId="11" fillId="0" borderId="0" xfId="0" applyNumberFormat="1" applyFont="1" applyAlignment="1">
      <alignment/>
    </xf>
    <xf numFmtId="165" fontId="0" fillId="0" borderId="0" xfId="0" applyNumberFormat="1" applyAlignment="1">
      <alignment/>
    </xf>
    <xf numFmtId="0" fontId="14" fillId="8" borderId="10" xfId="0" applyFont="1" applyFill="1" applyBorder="1" applyAlignment="1">
      <alignment horizontal="centerContinuous" wrapText="1"/>
    </xf>
    <xf numFmtId="0" fontId="14" fillId="8" borderId="11" xfId="0" applyFont="1" applyFill="1" applyBorder="1" applyAlignment="1">
      <alignment horizontal="centerContinuous" wrapText="1"/>
    </xf>
    <xf numFmtId="0" fontId="12" fillId="9" borderId="12" xfId="0" applyFont="1" applyFill="1" applyBorder="1" applyAlignment="1">
      <alignment horizontal="centerContinuous" wrapText="1"/>
    </xf>
    <xf numFmtId="0" fontId="12" fillId="9" borderId="11" xfId="0" applyFont="1" applyFill="1" applyBorder="1" applyAlignment="1">
      <alignment horizontal="centerContinuous" wrapText="1"/>
    </xf>
    <xf numFmtId="165" fontId="12" fillId="9" borderId="12" xfId="0" applyNumberFormat="1" applyFont="1" applyFill="1" applyBorder="1" applyAlignment="1">
      <alignment horizontal="centerContinuous" wrapText="1"/>
    </xf>
    <xf numFmtId="165" fontId="12" fillId="9" borderId="11" xfId="0" applyNumberFormat="1" applyFont="1" applyFill="1" applyBorder="1" applyAlignment="1">
      <alignment horizontal="centerContinuous" wrapText="1"/>
    </xf>
    <xf numFmtId="165" fontId="12" fillId="9" borderId="10" xfId="0" applyNumberFormat="1" applyFont="1" applyFill="1" applyBorder="1" applyAlignment="1">
      <alignment horizontal="centerContinuous" wrapText="1"/>
    </xf>
    <xf numFmtId="0" fontId="12" fillId="3" borderId="3" xfId="0" applyFont="1" applyFill="1" applyBorder="1" applyAlignment="1">
      <alignment horizontal="center" wrapText="1"/>
    </xf>
    <xf numFmtId="0" fontId="12" fillId="3" borderId="7" xfId="0" applyFont="1" applyFill="1" applyBorder="1" applyAlignment="1">
      <alignment horizontal="center" wrapText="1"/>
    </xf>
    <xf numFmtId="165" fontId="12" fillId="3" borderId="7" xfId="0" applyNumberFormat="1" applyFont="1" applyFill="1" applyBorder="1" applyAlignment="1">
      <alignment horizontal="center" wrapText="1"/>
    </xf>
    <xf numFmtId="2" fontId="0" fillId="0" borderId="0" xfId="0" applyNumberFormat="1" applyAlignment="1">
      <alignment/>
    </xf>
    <xf numFmtId="167" fontId="0" fillId="0" borderId="0" xfId="0" applyNumberFormat="1" applyAlignment="1">
      <alignment/>
    </xf>
    <xf numFmtId="0" fontId="12" fillId="10" borderId="12" xfId="0" applyFont="1" applyFill="1" applyBorder="1" applyAlignment="1">
      <alignment horizontal="centerContinuous" wrapText="1"/>
    </xf>
    <xf numFmtId="165" fontId="12" fillId="10" borderId="10" xfId="0" applyNumberFormat="1" applyFont="1" applyFill="1" applyBorder="1" applyAlignment="1">
      <alignment horizontal="centerContinuous" wrapText="1"/>
    </xf>
    <xf numFmtId="165" fontId="12" fillId="10" borderId="11" xfId="0" applyNumberFormat="1" applyFont="1" applyFill="1" applyBorder="1" applyAlignment="1">
      <alignment horizontal="centerContinuous" wrapText="1"/>
    </xf>
    <xf numFmtId="0" fontId="12" fillId="2" borderId="12" xfId="0" applyFont="1" applyFill="1" applyBorder="1" applyAlignment="1">
      <alignment horizontal="centerContinuous" wrapText="1"/>
    </xf>
    <xf numFmtId="0" fontId="12" fillId="2" borderId="10" xfId="0" applyFont="1" applyFill="1" applyBorder="1" applyAlignment="1">
      <alignment horizontal="centerContinuous" wrapText="1"/>
    </xf>
    <xf numFmtId="165" fontId="12" fillId="2" borderId="10" xfId="0" applyNumberFormat="1" applyFont="1" applyFill="1" applyBorder="1" applyAlignment="1">
      <alignment horizontal="centerContinuous" wrapText="1"/>
    </xf>
    <xf numFmtId="165" fontId="12" fillId="2" borderId="11" xfId="0" applyNumberFormat="1" applyFont="1" applyFill="1" applyBorder="1" applyAlignment="1">
      <alignment horizontal="centerContinuous" wrapText="1"/>
    </xf>
    <xf numFmtId="2" fontId="15" fillId="0" borderId="0" xfId="0" applyNumberFormat="1" applyFont="1" applyAlignment="1">
      <alignment/>
    </xf>
    <xf numFmtId="165" fontId="15" fillId="0" borderId="0" xfId="0" applyNumberFormat="1" applyFont="1" applyAlignment="1">
      <alignment/>
    </xf>
    <xf numFmtId="0" fontId="12" fillId="10" borderId="11" xfId="0" applyFont="1" applyFill="1" applyBorder="1" applyAlignment="1">
      <alignment horizontal="centerContinuous" wrapText="1"/>
    </xf>
    <xf numFmtId="165" fontId="12" fillId="10" borderId="12" xfId="0" applyNumberFormat="1" applyFont="1" applyFill="1" applyBorder="1" applyAlignment="1">
      <alignment horizontal="centerContinuous" wrapText="1"/>
    </xf>
    <xf numFmtId="165" fontId="12" fillId="10" borderId="13" xfId="0" applyNumberFormat="1" applyFont="1" applyFill="1" applyBorder="1" applyAlignment="1">
      <alignment horizontal="centerContinuous" wrapText="1"/>
    </xf>
    <xf numFmtId="0" fontId="5" fillId="11" borderId="14" xfId="0" applyFont="1" applyFill="1" applyBorder="1" applyAlignment="1">
      <alignment vertical="justify"/>
    </xf>
    <xf numFmtId="0" fontId="5" fillId="11" borderId="15" xfId="0" applyFont="1" applyFill="1" applyBorder="1" applyAlignment="1">
      <alignment vertical="justify"/>
    </xf>
    <xf numFmtId="0" fontId="5" fillId="0" borderId="0" xfId="0" applyFont="1" applyAlignment="1">
      <alignment vertical="justify"/>
    </xf>
    <xf numFmtId="0" fontId="19" fillId="11" borderId="16" xfId="0" applyFont="1" applyFill="1" applyBorder="1" applyAlignment="1">
      <alignment horizontal="left" wrapText="1"/>
    </xf>
    <xf numFmtId="0" fontId="19" fillId="11" borderId="17" xfId="0" applyFont="1" applyFill="1" applyBorder="1" applyAlignment="1">
      <alignment horizontal="left" wrapText="1"/>
    </xf>
    <xf numFmtId="0" fontId="19" fillId="11" borderId="10" xfId="0" applyFont="1" applyFill="1" applyBorder="1" applyAlignment="1">
      <alignment horizontal="left" wrapText="1"/>
    </xf>
    <xf numFmtId="0" fontId="17" fillId="0" borderId="0" xfId="0" applyFont="1" applyAlignment="1">
      <alignment/>
    </xf>
    <xf numFmtId="175" fontId="20" fillId="0" borderId="18" xfId="0" applyNumberFormat="1" applyFont="1" applyBorder="1" applyAlignment="1">
      <alignment horizontal="left" vertical="top" wrapText="1"/>
    </xf>
    <xf numFmtId="168" fontId="20" fillId="0" borderId="18" xfId="17" applyNumberFormat="1" applyFont="1" applyBorder="1" applyAlignment="1">
      <alignment horizontal="center" vertical="top" wrapText="1"/>
    </xf>
    <xf numFmtId="1" fontId="20" fillId="0" borderId="18" xfId="0" applyNumberFormat="1" applyFont="1" applyBorder="1" applyAlignment="1">
      <alignment horizontal="center" vertical="top" wrapText="1"/>
    </xf>
    <xf numFmtId="44" fontId="20" fillId="0" borderId="18" xfId="17" applyFont="1" applyBorder="1" applyAlignment="1">
      <alignment horizontal="left" vertical="top" wrapText="1"/>
    </xf>
    <xf numFmtId="2" fontId="20" fillId="0" borderId="18" xfId="0" applyNumberFormat="1" applyFont="1" applyBorder="1" applyAlignment="1">
      <alignment horizontal="center" vertical="top" wrapText="1"/>
    </xf>
    <xf numFmtId="0" fontId="14" fillId="8" borderId="12" xfId="0" applyFont="1" applyFill="1" applyBorder="1" applyAlignment="1">
      <alignment horizontal="left" wrapText="1"/>
    </xf>
    <xf numFmtId="0" fontId="0" fillId="3" borderId="3" xfId="20" applyFont="1" applyBorder="1" applyAlignment="1">
      <alignment/>
      <protection/>
    </xf>
    <xf numFmtId="175" fontId="19" fillId="0" borderId="9" xfId="0" applyNumberFormat="1" applyFont="1" applyBorder="1" applyAlignment="1">
      <alignment horizontal="left" vertical="top" wrapText="1"/>
    </xf>
    <xf numFmtId="44" fontId="20" fillId="0" borderId="18" xfId="17" applyNumberFormat="1" applyFont="1" applyBorder="1" applyAlignment="1">
      <alignment horizontal="left" vertical="top" wrapText="1"/>
    </xf>
    <xf numFmtId="165" fontId="20" fillId="0" borderId="18" xfId="0" applyNumberFormat="1" applyFont="1" applyBorder="1" applyAlignment="1">
      <alignment horizontal="center" vertical="top" wrapText="1"/>
    </xf>
    <xf numFmtId="0" fontId="20" fillId="0" borderId="18" xfId="0" applyFont="1" applyBorder="1" applyAlignment="1">
      <alignment horizontal="left" vertical="top" wrapText="1"/>
    </xf>
    <xf numFmtId="0" fontId="0" fillId="3" borderId="3" xfId="20" applyFont="1" applyBorder="1" applyAlignment="1">
      <alignment horizontal="left"/>
      <protection/>
    </xf>
    <xf numFmtId="168" fontId="0" fillId="0" borderId="0" xfId="17" applyNumberFormat="1" applyAlignment="1">
      <alignment/>
    </xf>
    <xf numFmtId="0" fontId="18" fillId="11" borderId="19" xfId="0" applyFont="1" applyFill="1" applyBorder="1" applyAlignment="1">
      <alignment horizontal="center" wrapText="1"/>
    </xf>
    <xf numFmtId="0" fontId="20" fillId="0" borderId="3" xfId="0" applyFont="1" applyBorder="1" applyAlignment="1">
      <alignment wrapText="1"/>
    </xf>
    <xf numFmtId="0" fontId="0" fillId="0" borderId="0" xfId="0" applyFont="1" applyAlignment="1">
      <alignment wrapText="1"/>
    </xf>
    <xf numFmtId="177" fontId="0" fillId="0" borderId="0" xfId="34" applyNumberFormat="1" applyFont="1" applyAlignment="1" applyProtection="1">
      <alignment horizontal="left"/>
      <protection/>
    </xf>
    <xf numFmtId="1" fontId="0" fillId="0" borderId="0" xfId="30" applyNumberFormat="1">
      <alignment/>
      <protection/>
    </xf>
    <xf numFmtId="5" fontId="0" fillId="0" borderId="0" xfId="34" applyNumberFormat="1">
      <alignment/>
      <protection/>
    </xf>
    <xf numFmtId="2" fontId="0" fillId="0" borderId="0" xfId="30" applyNumberFormat="1">
      <alignment/>
      <protection/>
    </xf>
    <xf numFmtId="2" fontId="0" fillId="0" borderId="0" xfId="30" applyNumberFormat="1" applyFont="1">
      <alignment/>
      <protection/>
    </xf>
    <xf numFmtId="165" fontId="11" fillId="0" borderId="0" xfId="0" applyNumberFormat="1" applyFont="1" applyAlignment="1">
      <alignment/>
    </xf>
    <xf numFmtId="165" fontId="0" fillId="0" borderId="0" xfId="0" applyNumberFormat="1" applyFont="1" applyAlignment="1">
      <alignment horizontal="right"/>
    </xf>
    <xf numFmtId="177" fontId="0" fillId="0" borderId="0" xfId="34" applyNumberFormat="1" applyAlignment="1" applyProtection="1">
      <alignment horizontal="left"/>
      <protection/>
    </xf>
    <xf numFmtId="5" fontId="0" fillId="0" borderId="0" xfId="0" applyNumberFormat="1" applyAlignment="1">
      <alignment/>
    </xf>
    <xf numFmtId="0" fontId="6" fillId="4" borderId="1" xfId="0" applyFont="1" applyFill="1" applyBorder="1" applyAlignment="1">
      <alignment horizontal="centerContinuous"/>
    </xf>
    <xf numFmtId="0" fontId="13" fillId="4" borderId="1" xfId="0" applyFont="1" applyFill="1" applyBorder="1" applyAlignment="1">
      <alignment horizontal="centerContinuous"/>
    </xf>
    <xf numFmtId="0" fontId="13" fillId="4" borderId="4" xfId="0" applyFont="1" applyFill="1" applyBorder="1" applyAlignment="1">
      <alignment horizontal="centerContinuous"/>
    </xf>
    <xf numFmtId="0" fontId="5" fillId="0" borderId="0" xfId="26" applyFont="1">
      <alignment/>
      <protection/>
    </xf>
    <xf numFmtId="1" fontId="5" fillId="0" borderId="0" xfId="0" applyNumberFormat="1" applyFont="1" applyAlignment="1">
      <alignment/>
    </xf>
    <xf numFmtId="0" fontId="25" fillId="0" borderId="0" xfId="0" applyFont="1" applyAlignment="1">
      <alignment/>
    </xf>
    <xf numFmtId="1" fontId="5" fillId="12" borderId="0" xfId="29" applyNumberFormat="1" applyFont="1" applyFill="1">
      <alignment/>
      <protection/>
    </xf>
    <xf numFmtId="9" fontId="0" fillId="0" borderId="3" xfId="35" applyFont="1" applyBorder="1" applyAlignment="1">
      <alignment/>
    </xf>
    <xf numFmtId="9" fontId="17" fillId="11" borderId="3" xfId="35" applyFont="1" applyFill="1" applyBorder="1" applyAlignment="1">
      <alignment/>
    </xf>
    <xf numFmtId="1" fontId="5" fillId="0" borderId="3" xfId="0" applyNumberFormat="1" applyFont="1" applyBorder="1" applyAlignment="1">
      <alignment/>
    </xf>
    <xf numFmtId="0" fontId="17" fillId="0" borderId="0" xfId="0" applyFont="1" applyAlignment="1">
      <alignment/>
    </xf>
    <xf numFmtId="44" fontId="0" fillId="0" borderId="0" xfId="17" applyAlignment="1">
      <alignment/>
    </xf>
    <xf numFmtId="44" fontId="20" fillId="0" borderId="18" xfId="17" applyNumberFormat="1" applyFont="1" applyBorder="1" applyAlignment="1">
      <alignment horizontal="center" vertical="top" wrapText="1"/>
    </xf>
    <xf numFmtId="178" fontId="20" fillId="0" borderId="18" xfId="15" applyNumberFormat="1" applyFont="1" applyBorder="1" applyAlignment="1">
      <alignment horizontal="center" vertical="top" wrapText="1"/>
    </xf>
    <xf numFmtId="0" fontId="26" fillId="0" borderId="0" xfId="31">
      <alignment/>
      <protection/>
    </xf>
    <xf numFmtId="0" fontId="26" fillId="0" borderId="0" xfId="31" applyAlignment="1" quotePrefix="1">
      <alignment horizontal="left"/>
      <protection/>
    </xf>
    <xf numFmtId="44" fontId="26" fillId="0" borderId="0" xfId="17" applyAlignment="1">
      <alignment/>
    </xf>
    <xf numFmtId="44" fontId="26" fillId="0" borderId="12" xfId="17" applyBorder="1" applyAlignment="1">
      <alignment/>
    </xf>
    <xf numFmtId="44" fontId="26" fillId="0" borderId="11" xfId="17" applyBorder="1" applyAlignment="1">
      <alignment/>
    </xf>
    <xf numFmtId="44" fontId="26" fillId="0" borderId="0" xfId="31" applyNumberFormat="1">
      <alignment/>
      <protection/>
    </xf>
    <xf numFmtId="0" fontId="17" fillId="0" borderId="0" xfId="33" applyFont="1">
      <alignment/>
      <protection/>
    </xf>
    <xf numFmtId="0" fontId="0" fillId="0" borderId="0" xfId="33">
      <alignment/>
      <protection/>
    </xf>
    <xf numFmtId="14" fontId="17" fillId="0" borderId="0" xfId="33" applyNumberFormat="1" applyFont="1">
      <alignment/>
      <protection/>
    </xf>
    <xf numFmtId="14" fontId="0" fillId="0" borderId="0" xfId="33" applyNumberFormat="1">
      <alignment/>
      <protection/>
    </xf>
    <xf numFmtId="0" fontId="17" fillId="0" borderId="1" xfId="33" applyFont="1" applyBorder="1">
      <alignment/>
      <protection/>
    </xf>
    <xf numFmtId="0" fontId="17" fillId="0" borderId="20" xfId="33" applyFont="1" applyBorder="1">
      <alignment/>
      <protection/>
    </xf>
    <xf numFmtId="0" fontId="17" fillId="0" borderId="2" xfId="33" applyFont="1" applyBorder="1">
      <alignment/>
      <protection/>
    </xf>
    <xf numFmtId="0" fontId="17" fillId="0" borderId="21" xfId="33" applyFont="1" applyBorder="1">
      <alignment/>
      <protection/>
    </xf>
    <xf numFmtId="0" fontId="17" fillId="0" borderId="0" xfId="33" applyFont="1" applyBorder="1">
      <alignment/>
      <protection/>
    </xf>
    <xf numFmtId="0" fontId="17" fillId="0" borderId="22" xfId="33" applyFont="1" applyBorder="1">
      <alignment/>
      <protection/>
    </xf>
    <xf numFmtId="170" fontId="0" fillId="0" borderId="21" xfId="33" applyNumberFormat="1" applyBorder="1">
      <alignment/>
      <protection/>
    </xf>
    <xf numFmtId="0" fontId="0" fillId="0" borderId="0" xfId="33" applyBorder="1">
      <alignment/>
      <protection/>
    </xf>
    <xf numFmtId="171" fontId="0" fillId="0" borderId="22" xfId="33" applyNumberFormat="1" applyBorder="1">
      <alignment/>
      <protection/>
    </xf>
    <xf numFmtId="170" fontId="0" fillId="0" borderId="22" xfId="33" applyNumberFormat="1" applyBorder="1">
      <alignment/>
      <protection/>
    </xf>
    <xf numFmtId="0" fontId="0" fillId="0" borderId="22" xfId="33" applyBorder="1">
      <alignment/>
      <protection/>
    </xf>
    <xf numFmtId="170" fontId="17" fillId="0" borderId="8" xfId="33" applyNumberFormat="1" applyFont="1" applyBorder="1">
      <alignment/>
      <protection/>
    </xf>
    <xf numFmtId="170" fontId="17" fillId="0" borderId="23" xfId="33" applyNumberFormat="1" applyFont="1" applyBorder="1">
      <alignment/>
      <protection/>
    </xf>
    <xf numFmtId="171" fontId="17" fillId="0" borderId="18" xfId="33" applyNumberFormat="1" applyFont="1" applyBorder="1">
      <alignment/>
      <protection/>
    </xf>
    <xf numFmtId="170" fontId="17" fillId="0" borderId="18" xfId="33" applyNumberFormat="1" applyFont="1" applyBorder="1">
      <alignment/>
      <protection/>
    </xf>
    <xf numFmtId="171" fontId="0" fillId="0" borderId="0" xfId="33" applyNumberFormat="1">
      <alignment/>
      <protection/>
    </xf>
    <xf numFmtId="170" fontId="17" fillId="0" borderId="0" xfId="33" applyNumberFormat="1" applyFont="1">
      <alignment/>
      <protection/>
    </xf>
    <xf numFmtId="170" fontId="0" fillId="0" borderId="0" xfId="33" applyNumberFormat="1">
      <alignment/>
      <protection/>
    </xf>
    <xf numFmtId="0" fontId="0" fillId="0" borderId="0" xfId="32">
      <alignment/>
      <protection/>
    </xf>
    <xf numFmtId="0" fontId="17" fillId="0" borderId="4" xfId="32" applyFont="1" applyBorder="1" applyAlignment="1">
      <alignment horizontal="center" vertical="center"/>
      <protection/>
    </xf>
    <xf numFmtId="0" fontId="17" fillId="0" borderId="2" xfId="32" applyFont="1" applyBorder="1" applyAlignment="1">
      <alignment horizontal="center" vertical="center"/>
      <protection/>
    </xf>
    <xf numFmtId="0" fontId="17" fillId="0" borderId="3" xfId="32" applyFont="1" applyBorder="1" applyAlignment="1">
      <alignment horizontal="center" vertical="center"/>
      <protection/>
    </xf>
    <xf numFmtId="0" fontId="17" fillId="0" borderId="9" xfId="32" applyFont="1" applyBorder="1" applyAlignment="1">
      <alignment horizontal="center" vertical="center"/>
      <protection/>
    </xf>
    <xf numFmtId="0" fontId="0" fillId="11" borderId="3" xfId="32" applyFill="1" applyBorder="1" applyAlignment="1">
      <alignment horizontal="center"/>
      <protection/>
    </xf>
    <xf numFmtId="3" fontId="0" fillId="0" borderId="3" xfId="32" applyNumberFormat="1" applyBorder="1" applyAlignment="1">
      <alignment horizontal="right"/>
      <protection/>
    </xf>
    <xf numFmtId="170" fontId="0" fillId="0" borderId="9" xfId="32" applyNumberFormat="1" applyBorder="1" applyAlignment="1">
      <alignment horizontal="right"/>
      <protection/>
    </xf>
    <xf numFmtId="171" fontId="0" fillId="0" borderId="9" xfId="32" applyNumberFormat="1" applyBorder="1" applyAlignment="1">
      <alignment horizontal="right"/>
      <protection/>
    </xf>
    <xf numFmtId="170" fontId="0" fillId="0" borderId="3" xfId="32" applyNumberFormat="1" applyBorder="1" applyAlignment="1">
      <alignment horizontal="right"/>
      <protection/>
    </xf>
    <xf numFmtId="170" fontId="0" fillId="0" borderId="3" xfId="32" applyNumberFormat="1" applyBorder="1">
      <alignment/>
      <protection/>
    </xf>
    <xf numFmtId="171" fontId="0" fillId="0" borderId="3" xfId="32" applyNumberFormat="1" applyBorder="1">
      <alignment/>
      <protection/>
    </xf>
    <xf numFmtId="171" fontId="0" fillId="0" borderId="3" xfId="32" applyNumberFormat="1" applyBorder="1" applyAlignment="1">
      <alignment horizontal="right"/>
      <protection/>
    </xf>
    <xf numFmtId="0" fontId="17" fillId="13" borderId="9" xfId="32" applyFont="1" applyFill="1" applyBorder="1">
      <alignment/>
      <protection/>
    </xf>
    <xf numFmtId="3" fontId="0" fillId="13" borderId="3" xfId="32" applyNumberFormat="1" applyFill="1" applyBorder="1" applyAlignment="1">
      <alignment horizontal="right"/>
      <protection/>
    </xf>
    <xf numFmtId="170" fontId="0" fillId="13" borderId="3" xfId="32" applyNumberFormat="1" applyFill="1" applyBorder="1" applyAlignment="1">
      <alignment horizontal="right"/>
      <protection/>
    </xf>
    <xf numFmtId="44" fontId="0" fillId="13" borderId="3" xfId="17" applyFill="1" applyBorder="1" applyAlignment="1">
      <alignment horizontal="right"/>
    </xf>
    <xf numFmtId="16" fontId="0" fillId="11" borderId="3" xfId="32" applyNumberFormat="1" applyFill="1" applyBorder="1" applyAlignment="1">
      <alignment horizontal="center"/>
      <protection/>
    </xf>
    <xf numFmtId="0" fontId="0" fillId="0" borderId="3" xfId="32" applyBorder="1" applyAlignment="1">
      <alignment horizontal="right"/>
      <protection/>
    </xf>
    <xf numFmtId="0" fontId="0" fillId="0" borderId="4" xfId="32" applyFill="1" applyBorder="1" applyAlignment="1">
      <alignment horizontal="center"/>
      <protection/>
    </xf>
    <xf numFmtId="0" fontId="0" fillId="0" borderId="0" xfId="32" applyFill="1" applyBorder="1" applyAlignment="1">
      <alignment horizontal="right"/>
      <protection/>
    </xf>
    <xf numFmtId="170" fontId="0" fillId="0" borderId="0" xfId="32" applyNumberFormat="1" applyFill="1" applyBorder="1" applyAlignment="1">
      <alignment horizontal="right"/>
      <protection/>
    </xf>
    <xf numFmtId="171" fontId="0" fillId="0" borderId="0" xfId="32" applyNumberFormat="1" applyFill="1" applyBorder="1" applyAlignment="1">
      <alignment horizontal="right"/>
      <protection/>
    </xf>
    <xf numFmtId="0" fontId="0" fillId="0" borderId="9" xfId="32" applyBorder="1">
      <alignment/>
      <protection/>
    </xf>
    <xf numFmtId="170" fontId="0" fillId="0" borderId="0" xfId="32" applyNumberFormat="1">
      <alignment/>
      <protection/>
    </xf>
    <xf numFmtId="171" fontId="0" fillId="0" borderId="0" xfId="32" applyNumberFormat="1">
      <alignment/>
      <protection/>
    </xf>
    <xf numFmtId="3" fontId="17" fillId="13" borderId="7" xfId="32" applyNumberFormat="1" applyFont="1" applyFill="1" applyBorder="1">
      <alignment/>
      <protection/>
    </xf>
    <xf numFmtId="170" fontId="17" fillId="13" borderId="3" xfId="32" applyNumberFormat="1" applyFont="1" applyFill="1" applyBorder="1">
      <alignment/>
      <protection/>
    </xf>
    <xf numFmtId="171" fontId="17" fillId="13" borderId="3" xfId="32" applyNumberFormat="1" applyFont="1" applyFill="1" applyBorder="1">
      <alignment/>
      <protection/>
    </xf>
    <xf numFmtId="0" fontId="17" fillId="0" borderId="0" xfId="32" applyFont="1">
      <alignment/>
      <protection/>
    </xf>
    <xf numFmtId="0" fontId="0" fillId="11" borderId="4" xfId="32" applyFill="1" applyBorder="1" applyAlignment="1">
      <alignment horizontal="center"/>
      <protection/>
    </xf>
    <xf numFmtId="3" fontId="0" fillId="0" borderId="4" xfId="32" applyNumberFormat="1" applyBorder="1" applyAlignment="1">
      <alignment horizontal="right"/>
      <protection/>
    </xf>
    <xf numFmtId="170" fontId="0" fillId="0" borderId="4" xfId="32" applyNumberFormat="1" applyBorder="1" applyAlignment="1">
      <alignment horizontal="right"/>
      <protection/>
    </xf>
    <xf numFmtId="0" fontId="17" fillId="13" borderId="3" xfId="32" applyFont="1" applyFill="1" applyBorder="1">
      <alignment/>
      <protection/>
    </xf>
    <xf numFmtId="168" fontId="0" fillId="13" borderId="3" xfId="17" applyNumberFormat="1" applyFill="1" applyBorder="1" applyAlignment="1">
      <alignment horizontal="right"/>
    </xf>
    <xf numFmtId="0" fontId="0" fillId="0" borderId="0" xfId="32" applyBorder="1">
      <alignment/>
      <protection/>
    </xf>
    <xf numFmtId="0" fontId="17" fillId="0" borderId="3" xfId="32" applyFont="1" applyBorder="1">
      <alignment/>
      <protection/>
    </xf>
    <xf numFmtId="3" fontId="17" fillId="0" borderId="3" xfId="32" applyNumberFormat="1" applyFont="1" applyBorder="1" applyAlignment="1">
      <alignment horizontal="right"/>
      <protection/>
    </xf>
    <xf numFmtId="171" fontId="17" fillId="0" borderId="3" xfId="32" applyNumberFormat="1" applyFont="1" applyBorder="1">
      <alignment/>
      <protection/>
    </xf>
    <xf numFmtId="171" fontId="17" fillId="0" borderId="3" xfId="32" applyNumberFormat="1" applyFont="1" applyBorder="1" applyAlignment="1">
      <alignment horizontal="right"/>
      <protection/>
    </xf>
    <xf numFmtId="3" fontId="0" fillId="0" borderId="0" xfId="32" applyNumberFormat="1">
      <alignment/>
      <protection/>
    </xf>
    <xf numFmtId="170" fontId="17" fillId="0" borderId="3" xfId="32" applyNumberFormat="1" applyFont="1" applyBorder="1">
      <alignment/>
      <protection/>
    </xf>
    <xf numFmtId="170" fontId="17" fillId="0" borderId="3" xfId="32" applyNumberFormat="1" applyFont="1" applyBorder="1" applyAlignment="1">
      <alignment horizontal="right"/>
      <protection/>
    </xf>
    <xf numFmtId="0" fontId="28" fillId="0" borderId="0" xfId="31" applyFont="1">
      <alignment/>
      <protection/>
    </xf>
    <xf numFmtId="0" fontId="28" fillId="0" borderId="0" xfId="31" applyFont="1" applyAlignment="1" quotePrefix="1">
      <alignment horizontal="left"/>
      <protection/>
    </xf>
    <xf numFmtId="0" fontId="28" fillId="0" borderId="0" xfId="31" applyFont="1" applyAlignment="1">
      <alignment horizontal="left"/>
      <protection/>
    </xf>
    <xf numFmtId="0" fontId="23" fillId="0" borderId="0" xfId="31" applyFont="1">
      <alignment/>
      <protection/>
    </xf>
    <xf numFmtId="0" fontId="26" fillId="0" borderId="0" xfId="31" applyAlignment="1">
      <alignment horizontal="left"/>
      <protection/>
    </xf>
    <xf numFmtId="0" fontId="28" fillId="0" borderId="0" xfId="31" applyFont="1" applyAlignment="1" quotePrefix="1">
      <alignment horizontal="right"/>
      <protection/>
    </xf>
    <xf numFmtId="44" fontId="28" fillId="0" borderId="0" xfId="17" applyFont="1" applyAlignment="1">
      <alignment/>
    </xf>
    <xf numFmtId="0" fontId="28" fillId="0" borderId="0" xfId="31" applyFont="1" applyAlignment="1">
      <alignment horizontal="left" vertical="top" wrapText="1"/>
      <protection/>
    </xf>
    <xf numFmtId="0" fontId="23" fillId="0" borderId="0" xfId="31" applyFont="1" applyAlignment="1">
      <alignment horizontal="left" wrapText="1"/>
      <protection/>
    </xf>
    <xf numFmtId="44" fontId="23" fillId="0" borderId="0" xfId="17" applyFont="1" applyAlignment="1">
      <alignment/>
    </xf>
    <xf numFmtId="5" fontId="26" fillId="0" borderId="0" xfId="17" applyNumberFormat="1" applyAlignment="1">
      <alignment/>
    </xf>
    <xf numFmtId="1" fontId="26" fillId="0" borderId="0" xfId="17" applyNumberFormat="1" applyAlignment="1">
      <alignment/>
    </xf>
    <xf numFmtId="186" fontId="26" fillId="0" borderId="0" xfId="31" applyNumberFormat="1">
      <alignment/>
      <protection/>
    </xf>
    <xf numFmtId="5" fontId="26" fillId="0" borderId="0" xfId="31" applyNumberFormat="1">
      <alignment/>
      <protection/>
    </xf>
    <xf numFmtId="188" fontId="26" fillId="0" borderId="0" xfId="17" applyNumberFormat="1" applyAlignment="1">
      <alignment/>
    </xf>
    <xf numFmtId="0" fontId="26" fillId="0" borderId="0" xfId="31" applyAlignment="1" quotePrefix="1">
      <alignment horizontal="left" vertical="top" wrapText="1"/>
      <protection/>
    </xf>
    <xf numFmtId="186" fontId="29" fillId="0" borderId="0" xfId="17" applyNumberFormat="1" applyFont="1" applyAlignment="1">
      <alignment/>
    </xf>
    <xf numFmtId="186" fontId="29" fillId="0" borderId="0" xfId="31" applyNumberFormat="1" applyFont="1">
      <alignment/>
      <protection/>
    </xf>
    <xf numFmtId="166" fontId="26" fillId="0" borderId="0" xfId="31" applyNumberFormat="1">
      <alignment/>
      <protection/>
    </xf>
    <xf numFmtId="1" fontId="26" fillId="0" borderId="0" xfId="31" applyNumberFormat="1">
      <alignment/>
      <protection/>
    </xf>
    <xf numFmtId="186" fontId="26" fillId="0" borderId="0" xfId="17" applyNumberFormat="1" applyAlignment="1">
      <alignment/>
    </xf>
    <xf numFmtId="190" fontId="26" fillId="0" borderId="0" xfId="31" applyNumberFormat="1">
      <alignment/>
      <protection/>
    </xf>
    <xf numFmtId="190" fontId="29" fillId="0" borderId="0" xfId="31" applyNumberFormat="1" applyFont="1">
      <alignment/>
      <protection/>
    </xf>
    <xf numFmtId="0" fontId="17" fillId="0" borderId="0" xfId="31" applyFont="1">
      <alignment/>
      <protection/>
    </xf>
    <xf numFmtId="0" fontId="17" fillId="0" borderId="0" xfId="31" applyFont="1" applyAlignment="1">
      <alignment horizontal="left" vertical="top" wrapText="1"/>
      <protection/>
    </xf>
    <xf numFmtId="0" fontId="17" fillId="0" borderId="0" xfId="31" applyFont="1" applyAlignment="1" quotePrefix="1">
      <alignment horizontal="left" vertical="top" wrapText="1"/>
      <protection/>
    </xf>
    <xf numFmtId="0" fontId="0" fillId="0" borderId="0" xfId="31" applyFont="1" applyAlignment="1" applyProtection="1">
      <alignment horizontal="left"/>
      <protection/>
    </xf>
    <xf numFmtId="44" fontId="0" fillId="0" borderId="0" xfId="17" applyFont="1" applyAlignment="1" applyProtection="1" quotePrefix="1">
      <alignment horizontal="left"/>
      <protection/>
    </xf>
    <xf numFmtId="2" fontId="0" fillId="0" borderId="0" xfId="17" applyNumberFormat="1" applyFont="1" applyAlignment="1" applyProtection="1" quotePrefix="1">
      <alignment horizontal="right"/>
      <protection/>
    </xf>
    <xf numFmtId="166" fontId="0" fillId="0" borderId="0" xfId="31" applyNumberFormat="1" applyFont="1">
      <alignment/>
      <protection/>
    </xf>
    <xf numFmtId="165" fontId="0" fillId="0" borderId="0" xfId="31" applyNumberFormat="1" applyFont="1">
      <alignment/>
      <protection/>
    </xf>
    <xf numFmtId="0" fontId="0" fillId="0" borderId="0" xfId="31" applyFont="1">
      <alignment/>
      <protection/>
    </xf>
    <xf numFmtId="44" fontId="0" fillId="0" borderId="0" xfId="17" applyFont="1" applyAlignment="1">
      <alignment/>
    </xf>
    <xf numFmtId="44" fontId="0" fillId="0" borderId="0" xfId="31" applyNumberFormat="1" applyFont="1">
      <alignment/>
      <protection/>
    </xf>
    <xf numFmtId="0" fontId="0" fillId="0" borderId="0" xfId="31" applyFont="1" applyAlignment="1">
      <alignment horizontal="left"/>
      <protection/>
    </xf>
    <xf numFmtId="2" fontId="0" fillId="0" borderId="0" xfId="17" applyNumberFormat="1" applyFont="1" applyAlignment="1">
      <alignment horizontal="right"/>
    </xf>
    <xf numFmtId="165" fontId="17" fillId="0" borderId="0" xfId="31" applyNumberFormat="1" applyFont="1">
      <alignment/>
      <protection/>
    </xf>
    <xf numFmtId="44" fontId="17" fillId="0" borderId="0" xfId="17" applyFont="1" applyAlignment="1">
      <alignment/>
    </xf>
    <xf numFmtId="166" fontId="17" fillId="0" borderId="0" xfId="31" applyNumberFormat="1" applyFont="1">
      <alignment/>
      <protection/>
    </xf>
    <xf numFmtId="0" fontId="29" fillId="0" borderId="0" xfId="31" applyFont="1">
      <alignment/>
      <protection/>
    </xf>
    <xf numFmtId="0" fontId="29" fillId="0" borderId="0" xfId="31" applyFont="1" applyAlignment="1">
      <alignment horizontal="left" vertical="top" wrapText="1"/>
      <protection/>
    </xf>
    <xf numFmtId="44" fontId="29" fillId="0" borderId="0" xfId="17" applyFont="1" applyAlignment="1">
      <alignment/>
    </xf>
    <xf numFmtId="9" fontId="26" fillId="0" borderId="0" xfId="35" applyAlignment="1">
      <alignment/>
    </xf>
    <xf numFmtId="0" fontId="17" fillId="0" borderId="24" xfId="31" applyFont="1" applyBorder="1">
      <alignment/>
      <protection/>
    </xf>
    <xf numFmtId="0" fontId="17" fillId="0" borderId="25" xfId="31" applyFont="1" applyBorder="1" applyAlignment="1">
      <alignment horizontal="left" vertical="top" wrapText="1"/>
      <protection/>
    </xf>
    <xf numFmtId="0" fontId="26" fillId="0" borderId="25" xfId="31" applyBorder="1">
      <alignment/>
      <protection/>
    </xf>
    <xf numFmtId="0" fontId="26" fillId="0" borderId="26" xfId="31" applyBorder="1">
      <alignment/>
      <protection/>
    </xf>
    <xf numFmtId="44" fontId="26" fillId="0" borderId="3" xfId="31" applyNumberFormat="1" applyBorder="1">
      <alignment/>
      <protection/>
    </xf>
    <xf numFmtId="166" fontId="0" fillId="0" borderId="3" xfId="31" applyNumberFormat="1" applyFont="1" applyBorder="1">
      <alignment/>
      <protection/>
    </xf>
    <xf numFmtId="44" fontId="0" fillId="0" borderId="3" xfId="17" applyFont="1" applyBorder="1" applyAlignment="1">
      <alignment/>
    </xf>
    <xf numFmtId="165" fontId="26" fillId="0" borderId="3" xfId="31" applyNumberFormat="1" applyBorder="1">
      <alignment/>
      <protection/>
    </xf>
    <xf numFmtId="0" fontId="29" fillId="0" borderId="0" xfId="31" applyFont="1" applyAlignment="1" quotePrefix="1">
      <alignment horizontal="left"/>
      <protection/>
    </xf>
    <xf numFmtId="0" fontId="29" fillId="0" borderId="0" xfId="31" applyFont="1" applyAlignment="1">
      <alignment horizontal="left"/>
      <protection/>
    </xf>
    <xf numFmtId="44" fontId="26" fillId="0" borderId="0" xfId="17" applyFont="1" applyAlignment="1">
      <alignment/>
    </xf>
    <xf numFmtId="44" fontId="29" fillId="0" borderId="0" xfId="31" applyNumberFormat="1" applyFont="1">
      <alignment/>
      <protection/>
    </xf>
    <xf numFmtId="0" fontId="26" fillId="0" borderId="0" xfId="31" applyAlignment="1">
      <alignment horizontal="left" vertical="top" wrapText="1"/>
      <protection/>
    </xf>
    <xf numFmtId="44" fontId="29" fillId="0" borderId="0" xfId="17" applyFont="1" applyAlignment="1">
      <alignment horizontal="left"/>
    </xf>
    <xf numFmtId="44" fontId="30" fillId="0" borderId="0" xfId="17" applyFont="1" applyAlignment="1">
      <alignment/>
    </xf>
    <xf numFmtId="0" fontId="29" fillId="0" borderId="0" xfId="31" applyFont="1" applyAlignment="1">
      <alignment horizontal="center"/>
      <protection/>
    </xf>
    <xf numFmtId="2" fontId="26" fillId="0" borderId="0" xfId="31" applyNumberFormat="1">
      <alignment/>
      <protection/>
    </xf>
    <xf numFmtId="169" fontId="0" fillId="0" borderId="0" xfId="0" applyNumberFormat="1" applyAlignment="1">
      <alignment/>
    </xf>
    <xf numFmtId="0" fontId="26" fillId="0" borderId="0" xfId="31" applyFont="1">
      <alignment/>
      <protection/>
    </xf>
    <xf numFmtId="0" fontId="26" fillId="0" borderId="0" xfId="31" applyFont="1" applyAlignment="1">
      <alignment wrapText="1"/>
      <protection/>
    </xf>
    <xf numFmtId="0" fontId="0" fillId="0" borderId="0" xfId="32" applyFont="1">
      <alignment/>
      <protection/>
    </xf>
    <xf numFmtId="0" fontId="0" fillId="0" borderId="3" xfId="0" applyBorder="1" applyAlignment="1">
      <alignment/>
    </xf>
    <xf numFmtId="2" fontId="0" fillId="0" borderId="3" xfId="0" applyNumberFormat="1" applyFont="1" applyBorder="1" applyAlignment="1">
      <alignment/>
    </xf>
    <xf numFmtId="9" fontId="0" fillId="0" borderId="0" xfId="35" applyAlignment="1">
      <alignment/>
    </xf>
    <xf numFmtId="0" fontId="17" fillId="11" borderId="27" xfId="0" applyFont="1" applyFill="1" applyBorder="1" applyAlignment="1">
      <alignment horizontal="right"/>
    </xf>
    <xf numFmtId="0" fontId="17" fillId="11" borderId="28" xfId="0" applyFont="1" applyFill="1" applyBorder="1" applyAlignment="1">
      <alignment horizontal="right"/>
    </xf>
    <xf numFmtId="0" fontId="18" fillId="3" borderId="1" xfId="26" applyFont="1" applyFill="1" applyBorder="1">
      <alignment/>
      <protection/>
    </xf>
    <xf numFmtId="0" fontId="17" fillId="11" borderId="12" xfId="24" applyFont="1" applyFill="1" applyBorder="1" applyAlignment="1">
      <alignment horizontal="center"/>
      <protection/>
    </xf>
    <xf numFmtId="0" fontId="17" fillId="11" borderId="24" xfId="29" applyFont="1" applyFill="1" applyBorder="1">
      <alignment/>
      <protection/>
    </xf>
    <xf numFmtId="0" fontId="17" fillId="11" borderId="25" xfId="29" applyFont="1" applyFill="1" applyBorder="1">
      <alignment/>
      <protection/>
    </xf>
    <xf numFmtId="0" fontId="0" fillId="11" borderId="29" xfId="0" applyFont="1" applyFill="1" applyBorder="1" applyAlignment="1">
      <alignment/>
    </xf>
    <xf numFmtId="0" fontId="17" fillId="12" borderId="16" xfId="29" applyFont="1" applyFill="1" applyBorder="1">
      <alignment/>
      <protection/>
    </xf>
    <xf numFmtId="9" fontId="17" fillId="12" borderId="30" xfId="35" applyFont="1" applyFill="1" applyBorder="1" applyAlignment="1">
      <alignment/>
    </xf>
    <xf numFmtId="9" fontId="17" fillId="12" borderId="26" xfId="35" applyFont="1" applyFill="1" applyBorder="1" applyAlignment="1">
      <alignment/>
    </xf>
    <xf numFmtId="0" fontId="17" fillId="11" borderId="31" xfId="24" applyFont="1" applyFill="1" applyBorder="1" applyAlignment="1">
      <alignment horizontal="left"/>
      <protection/>
    </xf>
    <xf numFmtId="9" fontId="17" fillId="11" borderId="9" xfId="35" applyFont="1" applyFill="1" applyBorder="1" applyAlignment="1">
      <alignment/>
    </xf>
    <xf numFmtId="9" fontId="17" fillId="11" borderId="32" xfId="35" applyFont="1" applyFill="1" applyBorder="1" applyAlignment="1">
      <alignment/>
    </xf>
    <xf numFmtId="0" fontId="17" fillId="11" borderId="27" xfId="24" applyFont="1" applyFill="1" applyBorder="1" applyAlignment="1">
      <alignment horizontal="right"/>
      <protection/>
    </xf>
    <xf numFmtId="9" fontId="17" fillId="11" borderId="33" xfId="35" applyFont="1" applyFill="1" applyBorder="1" applyAlignment="1">
      <alignment/>
    </xf>
    <xf numFmtId="9" fontId="17" fillId="11" borderId="4" xfId="35" applyFont="1" applyFill="1" applyBorder="1" applyAlignment="1">
      <alignment/>
    </xf>
    <xf numFmtId="9" fontId="17" fillId="11" borderId="34" xfId="35" applyFont="1" applyFill="1" applyBorder="1" applyAlignment="1">
      <alignment/>
    </xf>
    <xf numFmtId="0" fontId="17" fillId="3" borderId="35" xfId="0" applyFont="1" applyFill="1" applyBorder="1" applyAlignment="1">
      <alignment/>
    </xf>
    <xf numFmtId="1" fontId="17" fillId="3" borderId="36" xfId="35" applyNumberFormat="1" applyFont="1" applyFill="1" applyBorder="1" applyAlignment="1">
      <alignment/>
    </xf>
    <xf numFmtId="9" fontId="17" fillId="3" borderId="37" xfId="35" applyFont="1" applyFill="1" applyBorder="1" applyAlignment="1">
      <alignment/>
    </xf>
    <xf numFmtId="0" fontId="17" fillId="0" borderId="0" xfId="0" applyFont="1" applyFill="1" applyBorder="1" applyAlignment="1">
      <alignment/>
    </xf>
    <xf numFmtId="1" fontId="17" fillId="0" borderId="0" xfId="35" applyNumberFormat="1" applyFont="1" applyFill="1" applyBorder="1" applyAlignment="1">
      <alignment/>
    </xf>
    <xf numFmtId="9" fontId="17" fillId="0" borderId="0" xfId="35" applyFont="1" applyFill="1" applyBorder="1" applyAlignment="1">
      <alignment/>
    </xf>
    <xf numFmtId="0" fontId="0" fillId="14" borderId="0" xfId="0" applyFont="1" applyFill="1" applyBorder="1" applyAlignment="1">
      <alignment/>
    </xf>
    <xf numFmtId="1" fontId="17" fillId="14" borderId="12" xfId="34" applyNumberFormat="1" applyFont="1" applyFill="1" applyBorder="1" applyAlignment="1" quotePrefix="1">
      <alignment horizontal="left" wrapText="1"/>
      <protection/>
    </xf>
    <xf numFmtId="1" fontId="17" fillId="14" borderId="13" xfId="34" applyNumberFormat="1" applyFont="1" applyFill="1" applyBorder="1" applyAlignment="1">
      <alignment horizontal="center" wrapText="1"/>
      <protection/>
    </xf>
    <xf numFmtId="1" fontId="17" fillId="12" borderId="12" xfId="34" applyNumberFormat="1" applyFont="1" applyFill="1" applyBorder="1" applyAlignment="1">
      <alignment horizontal="right" wrapText="1"/>
      <protection/>
    </xf>
    <xf numFmtId="1" fontId="17" fillId="12" borderId="24" xfId="34" applyNumberFormat="1" applyFont="1" applyFill="1" applyBorder="1" applyAlignment="1">
      <alignment horizontal="left"/>
      <protection/>
    </xf>
    <xf numFmtId="1" fontId="17" fillId="12" borderId="38" xfId="34" applyNumberFormat="1" applyFont="1" applyFill="1" applyBorder="1" applyAlignment="1">
      <alignment horizontal="left"/>
      <protection/>
    </xf>
    <xf numFmtId="169" fontId="17" fillId="12" borderId="13" xfId="15" applyNumberFormat="1" applyFont="1" applyFill="1" applyBorder="1" applyAlignment="1">
      <alignment/>
    </xf>
    <xf numFmtId="169" fontId="17" fillId="12" borderId="16" xfId="15" applyNumberFormat="1" applyFont="1" applyFill="1" applyBorder="1" applyAlignment="1">
      <alignment/>
    </xf>
    <xf numFmtId="169" fontId="17" fillId="12" borderId="11" xfId="15" applyNumberFormat="1" applyFont="1" applyFill="1" applyBorder="1" applyAlignment="1">
      <alignment/>
    </xf>
    <xf numFmtId="1" fontId="0" fillId="0" borderId="27" xfId="0" applyNumberFormat="1" applyFont="1" applyBorder="1" applyAlignment="1">
      <alignment/>
    </xf>
    <xf numFmtId="1" fontId="0" fillId="0" borderId="3" xfId="0" applyNumberFormat="1" applyFont="1" applyBorder="1" applyAlignment="1">
      <alignment/>
    </xf>
    <xf numFmtId="0" fontId="0" fillId="0" borderId="33" xfId="0" applyFont="1" applyBorder="1" applyAlignment="1">
      <alignment/>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5" borderId="13" xfId="34" applyNumberFormat="1" applyFont="1" applyFill="1" applyBorder="1" applyAlignment="1">
      <alignment horizontal="center" wrapText="1"/>
      <protection/>
    </xf>
    <xf numFmtId="0" fontId="17" fillId="11" borderId="39" xfId="24" applyFont="1" applyFill="1" applyBorder="1" applyAlignment="1">
      <alignment horizontal="right"/>
      <protection/>
    </xf>
    <xf numFmtId="169" fontId="0" fillId="0" borderId="31" xfId="15" applyNumberFormat="1" applyFont="1" applyBorder="1" applyAlignment="1">
      <alignment/>
    </xf>
    <xf numFmtId="169" fontId="0" fillId="0" borderId="9" xfId="15" applyNumberFormat="1" applyFont="1" applyBorder="1" applyAlignment="1">
      <alignment/>
    </xf>
    <xf numFmtId="0" fontId="17" fillId="11" borderId="40" xfId="24" applyFont="1" applyFill="1" applyBorder="1" applyAlignment="1">
      <alignment horizontal="right"/>
      <protection/>
    </xf>
    <xf numFmtId="169" fontId="0" fillId="0" borderId="27" xfId="15" applyNumberFormat="1" applyFont="1" applyBorder="1" applyAlignment="1">
      <alignment/>
    </xf>
    <xf numFmtId="169" fontId="0" fillId="0" borderId="3" xfId="15" applyNumberFormat="1" applyFont="1" applyBorder="1" applyAlignment="1">
      <alignment/>
    </xf>
    <xf numFmtId="168" fontId="0" fillId="0" borderId="33" xfId="17" applyNumberFormat="1" applyFont="1" applyBorder="1" applyAlignment="1">
      <alignment/>
    </xf>
    <xf numFmtId="0" fontId="17" fillId="11" borderId="40" xfId="0" applyFont="1" applyFill="1" applyBorder="1" applyAlignment="1">
      <alignment horizontal="right"/>
    </xf>
    <xf numFmtId="0" fontId="17" fillId="11" borderId="41" xfId="0" applyFont="1" applyFill="1" applyBorder="1" applyAlignment="1">
      <alignment horizontal="right"/>
    </xf>
    <xf numFmtId="0" fontId="17" fillId="12" borderId="12" xfId="0" applyFont="1" applyFill="1" applyBorder="1" applyAlignment="1">
      <alignment horizontal="right"/>
    </xf>
    <xf numFmtId="169" fontId="17" fillId="12" borderId="16" xfId="0" applyNumberFormat="1" applyFont="1" applyFill="1" applyBorder="1" applyAlignment="1">
      <alignment/>
    </xf>
    <xf numFmtId="169" fontId="17" fillId="12" borderId="30" xfId="0" applyNumberFormat="1" applyFont="1" applyFill="1" applyBorder="1" applyAlignment="1">
      <alignment/>
    </xf>
    <xf numFmtId="168" fontId="17" fillId="12" borderId="26" xfId="0" applyNumberFormat="1" applyFont="1" applyFill="1" applyBorder="1" applyAlignment="1">
      <alignment/>
    </xf>
    <xf numFmtId="0" fontId="17" fillId="11" borderId="13" xfId="24" applyFont="1" applyFill="1" applyBorder="1" applyAlignment="1">
      <alignment horizontal="center"/>
      <protection/>
    </xf>
    <xf numFmtId="0" fontId="17" fillId="0" borderId="38" xfId="0" applyFont="1" applyBorder="1" applyAlignment="1">
      <alignment/>
    </xf>
    <xf numFmtId="0" fontId="17" fillId="0" borderId="14" xfId="0" applyFont="1" applyBorder="1" applyAlignment="1">
      <alignment/>
    </xf>
    <xf numFmtId="0" fontId="17" fillId="3" borderId="42" xfId="26" applyFont="1" applyFill="1" applyBorder="1">
      <alignment/>
      <protection/>
    </xf>
    <xf numFmtId="0" fontId="17" fillId="3" borderId="27" xfId="26" applyFont="1" applyFill="1" applyBorder="1">
      <alignment/>
      <protection/>
    </xf>
    <xf numFmtId="169" fontId="17" fillId="0" borderId="3" xfId="15" applyNumberFormat="1" applyFont="1" applyBorder="1" applyAlignment="1">
      <alignment/>
    </xf>
    <xf numFmtId="169" fontId="17" fillId="0" borderId="33" xfId="15" applyNumberFormat="1" applyFont="1" applyBorder="1" applyAlignment="1">
      <alignment/>
    </xf>
    <xf numFmtId="0" fontId="17" fillId="3" borderId="35" xfId="26" applyFont="1" applyFill="1" applyBorder="1">
      <alignment/>
      <protection/>
    </xf>
    <xf numFmtId="9" fontId="17" fillId="0" borderId="36" xfId="26" applyNumberFormat="1" applyFont="1" applyBorder="1">
      <alignment/>
      <protection/>
    </xf>
    <xf numFmtId="9" fontId="17" fillId="0" borderId="37" xfId="35" applyFont="1" applyBorder="1" applyAlignment="1">
      <alignment/>
    </xf>
    <xf numFmtId="0" fontId="0" fillId="16" borderId="27" xfId="25" applyFont="1" applyFill="1" applyBorder="1" applyAlignment="1" applyProtection="1" quotePrefix="1">
      <alignment horizontal="left"/>
      <protection/>
    </xf>
    <xf numFmtId="0" fontId="0" fillId="0" borderId="27" xfId="25" applyFont="1" applyBorder="1" applyAlignment="1" applyProtection="1" quotePrefix="1">
      <alignment horizontal="left"/>
      <protection/>
    </xf>
    <xf numFmtId="0" fontId="32" fillId="0" borderId="27" xfId="23" applyFont="1" applyBorder="1">
      <alignment/>
      <protection/>
    </xf>
    <xf numFmtId="166" fontId="0" fillId="16" borderId="3" xfId="25" applyNumberFormat="1" applyFont="1" applyFill="1" applyBorder="1">
      <alignment/>
      <protection/>
    </xf>
    <xf numFmtId="166" fontId="0" fillId="0" borderId="3" xfId="25" applyNumberFormat="1" applyFont="1" applyBorder="1">
      <alignment/>
      <protection/>
    </xf>
    <xf numFmtId="166" fontId="0" fillId="0" borderId="3" xfId="26" applyNumberFormat="1" applyFont="1" applyBorder="1">
      <alignment/>
      <protection/>
    </xf>
    <xf numFmtId="166" fontId="0" fillId="0" borderId="36" xfId="26" applyNumberFormat="1" applyFont="1" applyBorder="1">
      <alignment/>
      <protection/>
    </xf>
    <xf numFmtId="1" fontId="0" fillId="0" borderId="9" xfId="26" applyNumberFormat="1" applyFont="1" applyBorder="1">
      <alignment/>
      <protection/>
    </xf>
    <xf numFmtId="177" fontId="0" fillId="0" borderId="3" xfId="26" applyNumberFormat="1" applyFont="1" applyBorder="1" applyAlignment="1" applyProtection="1" quotePrefix="1">
      <alignment horizontal="center"/>
      <protection/>
    </xf>
    <xf numFmtId="1" fontId="0" fillId="0" borderId="3" xfId="26" applyNumberFormat="1" applyFont="1" applyBorder="1">
      <alignment/>
      <protection/>
    </xf>
    <xf numFmtId="44" fontId="0" fillId="13" borderId="43" xfId="17" applyFont="1" applyFill="1" applyBorder="1" applyAlignment="1">
      <alignment/>
    </xf>
    <xf numFmtId="168" fontId="0" fillId="0" borderId="7" xfId="17" applyNumberFormat="1" applyFont="1" applyBorder="1" applyAlignment="1">
      <alignment/>
    </xf>
    <xf numFmtId="168" fontId="0" fillId="0" borderId="3" xfId="17" applyNumberFormat="1" applyFont="1" applyBorder="1" applyAlignment="1">
      <alignment/>
    </xf>
    <xf numFmtId="0" fontId="0" fillId="0" borderId="27" xfId="26" applyFont="1" applyBorder="1" applyAlignment="1" applyProtection="1" quotePrefix="1">
      <alignment horizontal="left"/>
      <protection/>
    </xf>
    <xf numFmtId="0" fontId="0" fillId="0" borderId="35" xfId="26" applyFont="1" applyBorder="1" applyAlignment="1" quotePrefix="1">
      <alignment horizontal="left"/>
      <protection/>
    </xf>
    <xf numFmtId="177" fontId="0" fillId="0" borderId="36" xfId="26" applyNumberFormat="1" applyFont="1" applyBorder="1" applyAlignment="1" applyProtection="1" quotePrefix="1">
      <alignment horizontal="center"/>
      <protection/>
    </xf>
    <xf numFmtId="1" fontId="0" fillId="0" borderId="36" xfId="26" applyNumberFormat="1" applyFont="1" applyBorder="1">
      <alignment/>
      <protection/>
    </xf>
    <xf numFmtId="1" fontId="0" fillId="0" borderId="44" xfId="26" applyNumberFormat="1" applyFont="1" applyBorder="1">
      <alignment/>
      <protection/>
    </xf>
    <xf numFmtId="44" fontId="0" fillId="13" borderId="45" xfId="17" applyFont="1" applyFill="1" applyBorder="1" applyAlignment="1">
      <alignment/>
    </xf>
    <xf numFmtId="168" fontId="0" fillId="0" borderId="46" xfId="17" applyNumberFormat="1" applyFont="1" applyBorder="1" applyAlignment="1">
      <alignment/>
    </xf>
    <xf numFmtId="168" fontId="0" fillId="0" borderId="36" xfId="17" applyNumberFormat="1" applyFont="1" applyBorder="1" applyAlignment="1">
      <alignment/>
    </xf>
    <xf numFmtId="168" fontId="0" fillId="0" borderId="37" xfId="17" applyNumberFormat="1" applyFont="1" applyBorder="1" applyAlignment="1">
      <alignment/>
    </xf>
    <xf numFmtId="177" fontId="0" fillId="16" borderId="3" xfId="26" applyNumberFormat="1" applyFont="1" applyFill="1" applyBorder="1" applyAlignment="1" applyProtection="1" quotePrefix="1">
      <alignment horizontal="center"/>
      <protection/>
    </xf>
    <xf numFmtId="1" fontId="0" fillId="16" borderId="3" xfId="26" applyNumberFormat="1" applyFont="1" applyFill="1" applyBorder="1">
      <alignment/>
      <protection/>
    </xf>
    <xf numFmtId="44" fontId="0" fillId="16" borderId="43" xfId="17" applyFont="1" applyFill="1" applyBorder="1" applyAlignment="1">
      <alignment/>
    </xf>
    <xf numFmtId="168" fontId="0" fillId="16" borderId="3" xfId="17" applyNumberFormat="1" applyFont="1" applyFill="1" applyBorder="1" applyAlignment="1">
      <alignment/>
    </xf>
    <xf numFmtId="168" fontId="0" fillId="16" borderId="33" xfId="17" applyNumberFormat="1" applyFont="1" applyFill="1" applyBorder="1" applyAlignment="1">
      <alignment/>
    </xf>
    <xf numFmtId="1" fontId="0" fillId="16" borderId="3" xfId="26" applyNumberFormat="1" applyFont="1" applyFill="1" applyBorder="1" applyAlignment="1" applyProtection="1" quotePrefix="1">
      <alignment horizontal="center"/>
      <protection/>
    </xf>
    <xf numFmtId="1" fontId="0" fillId="0" borderId="3" xfId="26" applyNumberFormat="1" applyFont="1" applyBorder="1" applyAlignment="1" applyProtection="1" quotePrefix="1">
      <alignment horizontal="center"/>
      <protection/>
    </xf>
    <xf numFmtId="1" fontId="0" fillId="0" borderId="36" xfId="26" applyNumberFormat="1" applyFont="1" applyBorder="1" applyAlignment="1" applyProtection="1" quotePrefix="1">
      <alignment horizontal="center"/>
      <protection/>
    </xf>
    <xf numFmtId="0" fontId="18" fillId="0" borderId="47" xfId="0" applyFont="1" applyBorder="1" applyAlignment="1">
      <alignment/>
    </xf>
    <xf numFmtId="0" fontId="18" fillId="0" borderId="48" xfId="0" applyFont="1" applyBorder="1" applyAlignment="1">
      <alignment/>
    </xf>
    <xf numFmtId="0" fontId="18" fillId="0" borderId="48" xfId="26" applyFont="1" applyBorder="1">
      <alignment/>
      <protection/>
    </xf>
    <xf numFmtId="0" fontId="18" fillId="0" borderId="42" xfId="26" applyFont="1" applyBorder="1">
      <alignment/>
      <protection/>
    </xf>
    <xf numFmtId="9" fontId="33" fillId="0" borderId="35" xfId="0" applyNumberFormat="1" applyFont="1" applyBorder="1" applyAlignment="1">
      <alignment/>
    </xf>
    <xf numFmtId="9" fontId="33" fillId="0" borderId="36" xfId="0" applyNumberFormat="1" applyFont="1" applyBorder="1" applyAlignment="1">
      <alignment/>
    </xf>
    <xf numFmtId="0" fontId="18" fillId="0" borderId="36" xfId="26" applyFont="1" applyBorder="1">
      <alignment/>
      <protection/>
    </xf>
    <xf numFmtId="0" fontId="18" fillId="0" borderId="37" xfId="26" applyFont="1" applyBorder="1">
      <alignment/>
      <protection/>
    </xf>
    <xf numFmtId="0" fontId="25" fillId="13" borderId="3" xfId="0" applyFont="1" applyFill="1" applyBorder="1" applyAlignment="1">
      <alignment/>
    </xf>
    <xf numFmtId="177" fontId="18" fillId="0" borderId="9" xfId="27" applyFont="1" applyBorder="1">
      <alignment/>
      <protection/>
    </xf>
    <xf numFmtId="1" fontId="18" fillId="0" borderId="31" xfId="27" applyNumberFormat="1" applyFont="1" applyBorder="1">
      <alignment/>
      <protection/>
    </xf>
    <xf numFmtId="0" fontId="18" fillId="0" borderId="32" xfId="26" applyFont="1" applyBorder="1">
      <alignment/>
      <protection/>
    </xf>
    <xf numFmtId="1" fontId="5" fillId="0" borderId="27" xfId="0" applyNumberFormat="1" applyFont="1" applyBorder="1" applyAlignment="1">
      <alignment/>
    </xf>
    <xf numFmtId="1" fontId="5" fillId="12" borderId="33" xfId="29" applyNumberFormat="1" applyFont="1" applyFill="1" applyBorder="1">
      <alignment/>
      <protection/>
    </xf>
    <xf numFmtId="1" fontId="5" fillId="0" borderId="35" xfId="0" applyNumberFormat="1" applyFont="1" applyBorder="1" applyAlignment="1">
      <alignment/>
    </xf>
    <xf numFmtId="1" fontId="5" fillId="0" borderId="36" xfId="0" applyNumberFormat="1" applyFont="1" applyBorder="1" applyAlignment="1">
      <alignment/>
    </xf>
    <xf numFmtId="0" fontId="25" fillId="13" borderId="36" xfId="0" applyFont="1" applyFill="1" applyBorder="1" applyAlignment="1">
      <alignment/>
    </xf>
    <xf numFmtId="1" fontId="5" fillId="12" borderId="37" xfId="29" applyNumberFormat="1" applyFont="1" applyFill="1" applyBorder="1">
      <alignment/>
      <protection/>
    </xf>
    <xf numFmtId="0" fontId="17" fillId="11" borderId="16" xfId="25" applyFont="1" applyFill="1" applyBorder="1" applyAlignment="1">
      <alignment horizontal="left"/>
      <protection/>
    </xf>
    <xf numFmtId="0" fontId="17" fillId="11" borderId="16" xfId="25" applyFont="1" applyFill="1" applyBorder="1" applyAlignment="1">
      <alignment horizontal="right"/>
      <protection/>
    </xf>
    <xf numFmtId="1" fontId="17" fillId="11" borderId="13" xfId="25" applyNumberFormat="1" applyFont="1" applyFill="1" applyBorder="1" applyAlignment="1">
      <alignment horizontal="right"/>
      <protection/>
    </xf>
    <xf numFmtId="0" fontId="0" fillId="0" borderId="0" xfId="26" applyFont="1">
      <alignment/>
      <protection/>
    </xf>
    <xf numFmtId="0" fontId="17" fillId="0" borderId="47" xfId="0" applyFont="1" applyBorder="1" applyAlignment="1">
      <alignment/>
    </xf>
    <xf numFmtId="0" fontId="17" fillId="0" borderId="48" xfId="0" applyFont="1" applyBorder="1" applyAlignment="1">
      <alignment/>
    </xf>
    <xf numFmtId="0" fontId="17" fillId="0" borderId="48" xfId="26" applyFont="1" applyBorder="1">
      <alignment/>
      <protection/>
    </xf>
    <xf numFmtId="0" fontId="17" fillId="0" borderId="42" xfId="26" applyFont="1" applyBorder="1">
      <alignment/>
      <protection/>
    </xf>
    <xf numFmtId="166" fontId="0" fillId="0" borderId="0" xfId="26" applyNumberFormat="1" applyFont="1" applyAlignment="1" applyProtection="1" quotePrefix="1">
      <alignment horizontal="left"/>
      <protection/>
    </xf>
    <xf numFmtId="2" fontId="0" fillId="0" borderId="0" xfId="26" applyNumberFormat="1" applyFont="1">
      <alignment/>
      <protection/>
    </xf>
    <xf numFmtId="168" fontId="0" fillId="0" borderId="0" xfId="17" applyNumberFormat="1" applyFont="1" applyAlignment="1">
      <alignment/>
    </xf>
    <xf numFmtId="1" fontId="0" fillId="0" borderId="0" xfId="26" applyNumberFormat="1" applyFont="1">
      <alignment/>
      <protection/>
    </xf>
    <xf numFmtId="9" fontId="34" fillId="0" borderId="35" xfId="0" applyNumberFormat="1" applyFont="1" applyBorder="1" applyAlignment="1">
      <alignment/>
    </xf>
    <xf numFmtId="9" fontId="34" fillId="0" borderId="36" xfId="0" applyNumberFormat="1" applyFont="1" applyBorder="1" applyAlignment="1">
      <alignment/>
    </xf>
    <xf numFmtId="0" fontId="17" fillId="0" borderId="36" xfId="26" applyFont="1" applyBorder="1">
      <alignment/>
      <protection/>
    </xf>
    <xf numFmtId="0" fontId="17" fillId="0" borderId="37" xfId="26" applyFont="1" applyBorder="1">
      <alignment/>
      <protection/>
    </xf>
    <xf numFmtId="0" fontId="35" fillId="3" borderId="3" xfId="24" applyFont="1" applyFill="1" applyBorder="1" applyAlignment="1">
      <alignment horizontal="center"/>
      <protection/>
    </xf>
    <xf numFmtId="1" fontId="17" fillId="0" borderId="31" xfId="27" applyNumberFormat="1" applyFont="1" applyBorder="1">
      <alignment/>
      <protection/>
    </xf>
    <xf numFmtId="177" fontId="17" fillId="0" borderId="9" xfId="27" applyFont="1" applyBorder="1">
      <alignment/>
      <protection/>
    </xf>
    <xf numFmtId="0" fontId="17" fillId="0" borderId="32" xfId="26" applyFont="1" applyBorder="1">
      <alignment/>
      <protection/>
    </xf>
    <xf numFmtId="0" fontId="11" fillId="13" borderId="3" xfId="0" applyFont="1" applyFill="1" applyBorder="1" applyAlignment="1">
      <alignment/>
    </xf>
    <xf numFmtId="1" fontId="0" fillId="12" borderId="33" xfId="29" applyNumberFormat="1" applyFont="1" applyFill="1" applyBorder="1">
      <alignment/>
      <protection/>
    </xf>
    <xf numFmtId="168" fontId="0" fillId="0" borderId="0" xfId="26" applyNumberFormat="1" applyFont="1">
      <alignment/>
      <protection/>
    </xf>
    <xf numFmtId="166" fontId="0" fillId="0" borderId="0" xfId="26" applyNumberFormat="1" applyFont="1" applyBorder="1">
      <alignment/>
      <protection/>
    </xf>
    <xf numFmtId="9" fontId="0" fillId="0" borderId="0" xfId="35" applyFont="1" applyBorder="1" applyAlignment="1" applyProtection="1">
      <alignment horizontal="center"/>
      <protection/>
    </xf>
    <xf numFmtId="177" fontId="0" fillId="0" borderId="0" xfId="26" applyNumberFormat="1" applyFont="1" applyBorder="1" applyAlignment="1" applyProtection="1" quotePrefix="1">
      <alignment horizontal="center"/>
      <protection/>
    </xf>
    <xf numFmtId="1" fontId="0" fillId="0" borderId="0" xfId="26" applyNumberFormat="1" applyFont="1" applyBorder="1">
      <alignment/>
      <protection/>
    </xf>
    <xf numFmtId="168" fontId="0" fillId="0" borderId="3" xfId="26" applyNumberFormat="1" applyFont="1" applyBorder="1">
      <alignment/>
      <protection/>
    </xf>
    <xf numFmtId="0" fontId="0" fillId="0" borderId="0" xfId="26" applyFont="1" applyBorder="1" applyAlignment="1" applyProtection="1" quotePrefix="1">
      <alignment horizontal="left"/>
      <protection/>
    </xf>
    <xf numFmtId="0" fontId="0" fillId="0" borderId="27" xfId="26" applyFont="1" applyBorder="1">
      <alignment/>
      <protection/>
    </xf>
    <xf numFmtId="0" fontId="0" fillId="0" borderId="3" xfId="26" applyFont="1" applyBorder="1">
      <alignment/>
      <protection/>
    </xf>
    <xf numFmtId="0" fontId="0" fillId="0" borderId="28" xfId="26" applyFont="1" applyBorder="1">
      <alignment/>
      <protection/>
    </xf>
    <xf numFmtId="0" fontId="0" fillId="0" borderId="4" xfId="26" applyFont="1" applyBorder="1">
      <alignment/>
      <protection/>
    </xf>
    <xf numFmtId="177" fontId="0" fillId="0" borderId="4" xfId="26" applyNumberFormat="1" applyFont="1" applyBorder="1">
      <alignment/>
      <protection/>
    </xf>
    <xf numFmtId="0" fontId="0" fillId="0" borderId="34" xfId="26" applyFont="1" applyBorder="1">
      <alignment/>
      <protection/>
    </xf>
    <xf numFmtId="0" fontId="17" fillId="11" borderId="30" xfId="26" applyFont="1" applyFill="1" applyBorder="1" applyAlignment="1">
      <alignment wrapText="1"/>
      <protection/>
    </xf>
    <xf numFmtId="0" fontId="0" fillId="0" borderId="31" xfId="26" applyFont="1" applyBorder="1">
      <alignment/>
      <protection/>
    </xf>
    <xf numFmtId="9" fontId="0" fillId="0" borderId="9" xfId="35" applyFont="1" applyBorder="1" applyAlignment="1">
      <alignment/>
    </xf>
    <xf numFmtId="0" fontId="0" fillId="0" borderId="9" xfId="26" applyFont="1" applyBorder="1">
      <alignment/>
      <protection/>
    </xf>
    <xf numFmtId="2" fontId="0" fillId="0" borderId="9" xfId="26" applyNumberFormat="1" applyFont="1" applyBorder="1">
      <alignment/>
      <protection/>
    </xf>
    <xf numFmtId="0" fontId="0" fillId="0" borderId="32" xfId="26" applyFont="1" applyBorder="1">
      <alignment/>
      <protection/>
    </xf>
    <xf numFmtId="2" fontId="0" fillId="0" borderId="3" xfId="26" applyNumberFormat="1" applyFont="1" applyBorder="1">
      <alignment/>
      <protection/>
    </xf>
    <xf numFmtId="0" fontId="0" fillId="0" borderId="33" xfId="26" applyFont="1" applyBorder="1">
      <alignment/>
      <protection/>
    </xf>
    <xf numFmtId="0" fontId="0" fillId="0" borderId="49" xfId="26" applyFont="1" applyBorder="1">
      <alignment/>
      <protection/>
    </xf>
    <xf numFmtId="166" fontId="0" fillId="0" borderId="0" xfId="26" applyNumberFormat="1" applyFont="1">
      <alignment/>
      <protection/>
    </xf>
    <xf numFmtId="0" fontId="0" fillId="0" borderId="35" xfId="26" applyFont="1" applyBorder="1">
      <alignment/>
      <protection/>
    </xf>
    <xf numFmtId="0" fontId="0" fillId="0" borderId="36" xfId="26" applyFont="1" applyBorder="1">
      <alignment/>
      <protection/>
    </xf>
    <xf numFmtId="169" fontId="0" fillId="0" borderId="36" xfId="15" applyNumberFormat="1" applyFont="1" applyBorder="1" applyAlignment="1">
      <alignment/>
    </xf>
    <xf numFmtId="1" fontId="17" fillId="11" borderId="29" xfId="26" applyNumberFormat="1" applyFont="1" applyFill="1" applyBorder="1">
      <alignment/>
      <protection/>
    </xf>
    <xf numFmtId="0" fontId="0" fillId="0" borderId="28" xfId="26" applyFont="1" applyBorder="1" applyAlignment="1" applyProtection="1" quotePrefix="1">
      <alignment horizontal="left"/>
      <protection/>
    </xf>
    <xf numFmtId="1" fontId="0" fillId="0" borderId="4" xfId="26" applyNumberFormat="1" applyFont="1" applyBorder="1">
      <alignment/>
      <protection/>
    </xf>
    <xf numFmtId="0" fontId="0" fillId="11" borderId="16" xfId="26" applyFont="1" applyFill="1" applyBorder="1" applyAlignment="1" applyProtection="1">
      <alignment horizontal="left"/>
      <protection/>
    </xf>
    <xf numFmtId="1" fontId="0" fillId="11" borderId="30" xfId="26" applyNumberFormat="1" applyFont="1" applyFill="1" applyBorder="1">
      <alignment/>
      <protection/>
    </xf>
    <xf numFmtId="0" fontId="0" fillId="0" borderId="31" xfId="26" applyFont="1" applyBorder="1" applyAlignment="1" applyProtection="1">
      <alignment/>
      <protection/>
    </xf>
    <xf numFmtId="0" fontId="0" fillId="0" borderId="27" xfId="26" applyFont="1" applyBorder="1" applyAlignment="1" quotePrefix="1">
      <alignment horizontal="left"/>
      <protection/>
    </xf>
    <xf numFmtId="1" fontId="0" fillId="0" borderId="33" xfId="26" applyNumberFormat="1" applyFont="1" applyBorder="1">
      <alignment/>
      <protection/>
    </xf>
    <xf numFmtId="0" fontId="0" fillId="0" borderId="0" xfId="26" applyFont="1" applyAlignment="1" quotePrefix="1">
      <alignment horizontal="left"/>
      <protection/>
    </xf>
    <xf numFmtId="165" fontId="0" fillId="0" borderId="0" xfId="26" applyNumberFormat="1" applyFont="1">
      <alignment/>
      <protection/>
    </xf>
    <xf numFmtId="1" fontId="0" fillId="0" borderId="35" xfId="0" applyNumberFormat="1" applyFont="1" applyBorder="1" applyAlignment="1">
      <alignment/>
    </xf>
    <xf numFmtId="1" fontId="0" fillId="0" borderId="36" xfId="0" applyNumberFormat="1" applyFont="1" applyBorder="1" applyAlignment="1">
      <alignment/>
    </xf>
    <xf numFmtId="0" fontId="11" fillId="13" borderId="36" xfId="0" applyFont="1" applyFill="1" applyBorder="1" applyAlignment="1">
      <alignment/>
    </xf>
    <xf numFmtId="1" fontId="0" fillId="12" borderId="37" xfId="29" applyNumberFormat="1" applyFont="1" applyFill="1" applyBorder="1">
      <alignment/>
      <protection/>
    </xf>
    <xf numFmtId="1" fontId="0" fillId="0" borderId="9" xfId="0" applyNumberFormat="1" applyFont="1" applyBorder="1" applyAlignment="1">
      <alignment/>
    </xf>
    <xf numFmtId="0" fontId="11" fillId="13" borderId="9" xfId="0" applyFont="1" applyFill="1" applyBorder="1" applyAlignment="1">
      <alignment/>
    </xf>
    <xf numFmtId="1" fontId="0" fillId="12" borderId="9" xfId="29" applyNumberFormat="1" applyFont="1" applyFill="1" applyBorder="1">
      <alignment/>
      <protection/>
    </xf>
    <xf numFmtId="1" fontId="0" fillId="0" borderId="0" xfId="0" applyNumberFormat="1" applyFont="1" applyAlignment="1">
      <alignment/>
    </xf>
    <xf numFmtId="0" fontId="11" fillId="0" borderId="0" xfId="0" applyFont="1" applyAlignment="1">
      <alignment/>
    </xf>
    <xf numFmtId="1" fontId="0" fillId="12" borderId="0" xfId="29" applyNumberFormat="1" applyFont="1" applyFill="1">
      <alignment/>
      <protection/>
    </xf>
    <xf numFmtId="166" fontId="0" fillId="0" borderId="27" xfId="26" applyNumberFormat="1" applyFont="1" applyBorder="1">
      <alignment/>
      <protection/>
    </xf>
    <xf numFmtId="0" fontId="0" fillId="0" borderId="0" xfId="0" applyFont="1" applyAlignment="1">
      <alignment/>
    </xf>
    <xf numFmtId="0" fontId="0" fillId="0" borderId="0" xfId="26" applyFont="1" applyAlignment="1" applyProtection="1" quotePrefix="1">
      <alignment horizontal="left"/>
      <protection/>
    </xf>
    <xf numFmtId="0" fontId="17" fillId="11" borderId="16" xfId="26" applyFont="1" applyFill="1" applyBorder="1" applyAlignment="1">
      <alignment wrapText="1"/>
      <protection/>
    </xf>
    <xf numFmtId="0" fontId="17" fillId="11" borderId="30" xfId="26" applyFont="1" applyFill="1" applyBorder="1" applyAlignment="1">
      <alignment horizontal="left" wrapText="1"/>
      <protection/>
    </xf>
    <xf numFmtId="0" fontId="17" fillId="11" borderId="50" xfId="25" applyFont="1" applyFill="1" applyBorder="1" applyAlignment="1">
      <alignment horizontal="right"/>
      <protection/>
    </xf>
    <xf numFmtId="1" fontId="17" fillId="11" borderId="51" xfId="25" applyNumberFormat="1" applyFont="1" applyFill="1" applyBorder="1" applyAlignment="1">
      <alignment horizontal="right"/>
      <protection/>
    </xf>
    <xf numFmtId="1" fontId="0" fillId="0" borderId="34" xfId="26" applyNumberFormat="1" applyFont="1" applyBorder="1">
      <alignment/>
      <protection/>
    </xf>
    <xf numFmtId="169" fontId="17" fillId="3" borderId="47" xfId="15" applyNumberFormat="1" applyFont="1" applyFill="1" applyBorder="1" applyAlignment="1" quotePrefix="1">
      <alignment horizontal="left"/>
    </xf>
    <xf numFmtId="169" fontId="17" fillId="3" borderId="48" xfId="15" applyNumberFormat="1" applyFont="1" applyFill="1" applyBorder="1" applyAlignment="1">
      <alignment/>
    </xf>
    <xf numFmtId="169" fontId="17" fillId="3" borderId="42" xfId="15" applyNumberFormat="1" applyFont="1" applyFill="1" applyBorder="1" applyAlignment="1">
      <alignment/>
    </xf>
    <xf numFmtId="0" fontId="17" fillId="3" borderId="35" xfId="26" applyFont="1" applyFill="1" applyBorder="1" applyAlignment="1" quotePrefix="1">
      <alignment horizontal="left"/>
      <protection/>
    </xf>
    <xf numFmtId="165" fontId="17" fillId="3" borderId="36" xfId="26" applyNumberFormat="1" applyFont="1" applyFill="1" applyBorder="1">
      <alignment/>
      <protection/>
    </xf>
    <xf numFmtId="165" fontId="17" fillId="3" borderId="37" xfId="26" applyNumberFormat="1" applyFont="1" applyFill="1" applyBorder="1">
      <alignment/>
      <protection/>
    </xf>
    <xf numFmtId="0" fontId="0" fillId="0" borderId="27" xfId="26" applyFont="1" applyBorder="1" applyAlignment="1" applyProtection="1">
      <alignment/>
      <protection/>
    </xf>
    <xf numFmtId="44" fontId="0" fillId="13" borderId="52" xfId="17" applyFont="1" applyFill="1" applyBorder="1" applyAlignment="1">
      <alignment/>
    </xf>
    <xf numFmtId="168" fontId="0" fillId="16" borderId="27" xfId="17" applyNumberFormat="1" applyFont="1" applyFill="1" applyBorder="1" applyAlignment="1">
      <alignment/>
    </xf>
    <xf numFmtId="168" fontId="0" fillId="0" borderId="27" xfId="17" applyNumberFormat="1" applyFont="1" applyBorder="1" applyAlignment="1">
      <alignment/>
    </xf>
    <xf numFmtId="168" fontId="0" fillId="0" borderId="35" xfId="17" applyNumberFormat="1" applyFont="1" applyBorder="1" applyAlignment="1">
      <alignment/>
    </xf>
    <xf numFmtId="0" fontId="17" fillId="11" borderId="26" xfId="26" applyFont="1" applyFill="1" applyBorder="1" applyAlignment="1">
      <alignment wrapText="1"/>
      <protection/>
    </xf>
    <xf numFmtId="0" fontId="35" fillId="3" borderId="47" xfId="24" applyFont="1" applyFill="1" applyBorder="1" applyAlignment="1">
      <alignment horizontal="center"/>
      <protection/>
    </xf>
    <xf numFmtId="0" fontId="35" fillId="3" borderId="48" xfId="24" applyFont="1" applyFill="1" applyBorder="1" applyAlignment="1">
      <alignment horizontal="center"/>
      <protection/>
    </xf>
    <xf numFmtId="0" fontId="17" fillId="3" borderId="48" xfId="26" applyFont="1" applyFill="1" applyBorder="1">
      <alignment/>
      <protection/>
    </xf>
    <xf numFmtId="0" fontId="35" fillId="3" borderId="27" xfId="24" applyFont="1" applyFill="1" applyBorder="1" applyAlignment="1">
      <alignment horizontal="center"/>
      <protection/>
    </xf>
    <xf numFmtId="0" fontId="35" fillId="3" borderId="33" xfId="24" applyFont="1" applyFill="1" applyBorder="1" applyAlignment="1">
      <alignment horizontal="center"/>
      <protection/>
    </xf>
    <xf numFmtId="0" fontId="35" fillId="3" borderId="33" xfId="24" applyFont="1" applyFill="1" applyBorder="1" applyAlignment="1" quotePrefix="1">
      <alignment horizontal="center"/>
      <protection/>
    </xf>
    <xf numFmtId="0" fontId="0" fillId="0" borderId="42" xfId="26" applyFont="1" applyBorder="1">
      <alignment/>
      <protection/>
    </xf>
    <xf numFmtId="0" fontId="17" fillId="0" borderId="0" xfId="26" applyFont="1">
      <alignment/>
      <protection/>
    </xf>
    <xf numFmtId="2" fontId="0" fillId="0" borderId="27" xfId="26" applyNumberFormat="1" applyFont="1" applyBorder="1">
      <alignment/>
      <protection/>
    </xf>
    <xf numFmtId="0" fontId="0" fillId="0" borderId="47" xfId="25" applyFont="1" applyBorder="1" applyAlignment="1" applyProtection="1" quotePrefix="1">
      <alignment horizontal="left"/>
      <protection/>
    </xf>
    <xf numFmtId="166" fontId="0" fillId="0" borderId="48" xfId="26" applyNumberFormat="1" applyFont="1" applyBorder="1">
      <alignment/>
      <protection/>
    </xf>
    <xf numFmtId="177" fontId="0" fillId="0" borderId="48" xfId="26" applyNumberFormat="1" applyFont="1" applyBorder="1" applyAlignment="1" applyProtection="1" quotePrefix="1">
      <alignment horizontal="center"/>
      <protection/>
    </xf>
    <xf numFmtId="1" fontId="0" fillId="0" borderId="48" xfId="26" applyNumberFormat="1" applyFont="1" applyBorder="1" applyAlignment="1" applyProtection="1" quotePrefix="1">
      <alignment horizontal="center"/>
      <protection/>
    </xf>
    <xf numFmtId="1" fontId="0" fillId="0" borderId="48" xfId="26" applyNumberFormat="1" applyFont="1" applyBorder="1">
      <alignment/>
      <protection/>
    </xf>
    <xf numFmtId="168" fontId="0" fillId="0" borderId="47" xfId="17" applyNumberFormat="1" applyFont="1" applyBorder="1" applyAlignment="1">
      <alignment/>
    </xf>
    <xf numFmtId="168" fontId="0" fillId="0" borderId="48" xfId="17" applyNumberFormat="1" applyFont="1" applyBorder="1" applyAlignment="1">
      <alignment/>
    </xf>
    <xf numFmtId="168" fontId="0" fillId="0" borderId="42" xfId="17" applyNumberFormat="1" applyFont="1" applyBorder="1" applyAlignment="1">
      <alignment/>
    </xf>
    <xf numFmtId="0" fontId="0" fillId="16" borderId="35" xfId="25" applyFont="1" applyFill="1" applyBorder="1" applyAlignment="1" applyProtection="1" quotePrefix="1">
      <alignment horizontal="left"/>
      <protection/>
    </xf>
    <xf numFmtId="166" fontId="0" fillId="16" borderId="36" xfId="25" applyNumberFormat="1" applyFont="1" applyFill="1" applyBorder="1">
      <alignment/>
      <protection/>
    </xf>
    <xf numFmtId="177"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pplyAlignment="1" applyProtection="1" quotePrefix="1">
      <alignment horizontal="center"/>
      <protection/>
    </xf>
    <xf numFmtId="1" fontId="0" fillId="16" borderId="36" xfId="26" applyNumberFormat="1" applyFont="1" applyFill="1" applyBorder="1">
      <alignment/>
      <protection/>
    </xf>
    <xf numFmtId="44" fontId="0" fillId="16" borderId="45" xfId="17" applyFont="1" applyFill="1" applyBorder="1" applyAlignment="1">
      <alignment/>
    </xf>
    <xf numFmtId="168" fontId="0" fillId="16" borderId="35" xfId="17" applyNumberFormat="1" applyFont="1" applyFill="1" applyBorder="1" applyAlignment="1">
      <alignment/>
    </xf>
    <xf numFmtId="168" fontId="0" fillId="16" borderId="36" xfId="17" applyNumberFormat="1" applyFont="1" applyFill="1" applyBorder="1" applyAlignment="1">
      <alignment/>
    </xf>
    <xf numFmtId="166" fontId="0" fillId="0" borderId="48" xfId="25" applyNumberFormat="1" applyFont="1" applyBorder="1">
      <alignment/>
      <protection/>
    </xf>
    <xf numFmtId="0" fontId="0" fillId="0" borderId="35" xfId="25" applyFont="1" applyBorder="1" applyAlignment="1" applyProtection="1" quotePrefix="1">
      <alignment horizontal="left"/>
      <protection/>
    </xf>
    <xf numFmtId="166" fontId="0" fillId="0" borderId="36" xfId="25" applyNumberFormat="1" applyFont="1" applyBorder="1">
      <alignment/>
      <protection/>
    </xf>
    <xf numFmtId="0" fontId="0" fillId="16" borderId="31" xfId="25" applyFont="1" applyFill="1" applyBorder="1" applyAlignment="1" applyProtection="1" quotePrefix="1">
      <alignment horizontal="left"/>
      <protection/>
    </xf>
    <xf numFmtId="166" fontId="0" fillId="16" borderId="9" xfId="25" applyNumberFormat="1" applyFont="1" applyFill="1" applyBorder="1">
      <alignment/>
      <protection/>
    </xf>
    <xf numFmtId="177" fontId="0" fillId="16" borderId="9" xfId="26" applyNumberFormat="1" applyFont="1" applyFill="1" applyBorder="1" applyAlignment="1" applyProtection="1" quotePrefix="1">
      <alignment horizontal="center"/>
      <protection/>
    </xf>
    <xf numFmtId="1" fontId="0" fillId="16" borderId="9" xfId="26" applyNumberFormat="1" applyFont="1" applyFill="1" applyBorder="1" applyAlignment="1" applyProtection="1" quotePrefix="1">
      <alignment horizontal="center"/>
      <protection/>
    </xf>
    <xf numFmtId="1" fontId="0" fillId="16" borderId="9" xfId="26" applyNumberFormat="1" applyFont="1" applyFill="1" applyBorder="1">
      <alignment/>
      <protection/>
    </xf>
    <xf numFmtId="44" fontId="0" fillId="16" borderId="53" xfId="17" applyFont="1" applyFill="1" applyBorder="1" applyAlignment="1">
      <alignment/>
    </xf>
    <xf numFmtId="168" fontId="0" fillId="16" borderId="31" xfId="17" applyNumberFormat="1" applyFont="1" applyFill="1" applyBorder="1" applyAlignment="1">
      <alignment/>
    </xf>
    <xf numFmtId="168" fontId="0" fillId="16" borderId="9" xfId="17" applyNumberFormat="1" applyFont="1" applyFill="1" applyBorder="1" applyAlignment="1">
      <alignment/>
    </xf>
    <xf numFmtId="0" fontId="32" fillId="0" borderId="35" xfId="23" applyFont="1" applyBorder="1">
      <alignment/>
      <protection/>
    </xf>
    <xf numFmtId="0" fontId="0" fillId="0" borderId="47" xfId="25" applyFont="1" applyBorder="1">
      <alignment/>
      <protection/>
    </xf>
    <xf numFmtId="0" fontId="0" fillId="0" borderId="35" xfId="25" applyFont="1" applyBorder="1" applyAlignment="1" applyProtection="1">
      <alignment horizontal="left"/>
      <protection/>
    </xf>
    <xf numFmtId="0" fontId="0" fillId="0" borderId="35" xfId="26" applyFont="1" applyBorder="1" applyAlignment="1" applyProtection="1" quotePrefix="1">
      <alignment horizontal="left"/>
      <protection/>
    </xf>
    <xf numFmtId="166" fontId="0" fillId="0" borderId="36" xfId="26" applyNumberFormat="1" applyFont="1" applyBorder="1" applyAlignment="1">
      <alignment horizontal="right"/>
      <protection/>
    </xf>
    <xf numFmtId="166" fontId="0" fillId="0" borderId="4" xfId="26" applyNumberFormat="1" applyFont="1" applyBorder="1">
      <alignment/>
      <protection/>
    </xf>
    <xf numFmtId="177" fontId="0" fillId="0" borderId="4" xfId="26" applyNumberFormat="1" applyFont="1" applyBorder="1" applyAlignment="1" applyProtection="1" quotePrefix="1">
      <alignment horizontal="center"/>
      <protection/>
    </xf>
    <xf numFmtId="1" fontId="0" fillId="0" borderId="4" xfId="26" applyNumberFormat="1" applyFont="1" applyBorder="1" applyAlignment="1" applyProtection="1" quotePrefix="1">
      <alignment horizontal="center"/>
      <protection/>
    </xf>
    <xf numFmtId="44" fontId="0" fillId="13" borderId="54" xfId="17" applyFont="1" applyFill="1" applyBorder="1" applyAlignment="1">
      <alignment/>
    </xf>
    <xf numFmtId="168" fontId="0" fillId="0" borderId="28" xfId="17" applyNumberFormat="1" applyFont="1" applyBorder="1" applyAlignment="1">
      <alignment/>
    </xf>
    <xf numFmtId="168" fontId="0" fillId="0" borderId="4" xfId="17" applyNumberFormat="1" applyFont="1" applyBorder="1" applyAlignment="1">
      <alignment/>
    </xf>
    <xf numFmtId="44" fontId="0" fillId="16" borderId="3" xfId="17" applyFont="1" applyFill="1" applyBorder="1" applyAlignment="1">
      <alignment/>
    </xf>
    <xf numFmtId="44" fontId="0" fillId="13" borderId="48" xfId="17" applyFont="1" applyFill="1" applyBorder="1" applyAlignment="1">
      <alignment/>
    </xf>
    <xf numFmtId="44" fontId="0" fillId="13" borderId="36" xfId="17" applyFont="1" applyFill="1" applyBorder="1" applyAlignment="1">
      <alignment/>
    </xf>
    <xf numFmtId="0" fontId="17" fillId="11" borderId="24" xfId="25" applyFont="1" applyFill="1" applyBorder="1" applyAlignment="1">
      <alignment horizontal="left"/>
      <protection/>
    </xf>
    <xf numFmtId="0" fontId="17" fillId="11" borderId="24" xfId="25" applyFont="1" applyFill="1" applyBorder="1" applyAlignment="1">
      <alignment horizontal="right"/>
      <protection/>
    </xf>
    <xf numFmtId="1" fontId="17" fillId="11" borderId="19" xfId="25" applyNumberFormat="1" applyFont="1" applyFill="1" applyBorder="1" applyAlignment="1">
      <alignment horizontal="right"/>
      <protection/>
    </xf>
    <xf numFmtId="169" fontId="17" fillId="3" borderId="31" xfId="15" applyNumberFormat="1" applyFont="1" applyFill="1" applyBorder="1" applyAlignment="1" quotePrefix="1">
      <alignment horizontal="left"/>
    </xf>
    <xf numFmtId="169" fontId="17" fillId="3" borderId="9" xfId="15" applyNumberFormat="1" applyFont="1" applyFill="1" applyBorder="1" applyAlignment="1">
      <alignment/>
    </xf>
    <xf numFmtId="169" fontId="17" fillId="3" borderId="32" xfId="15" applyNumberFormat="1" applyFont="1" applyFill="1" applyBorder="1" applyAlignment="1">
      <alignment/>
    </xf>
    <xf numFmtId="0" fontId="0" fillId="0" borderId="28" xfId="25" applyFont="1" applyBorder="1">
      <alignment/>
      <protection/>
    </xf>
    <xf numFmtId="0" fontId="0" fillId="0" borderId="27" xfId="25" applyFont="1" applyBorder="1">
      <alignment/>
      <protection/>
    </xf>
    <xf numFmtId="0" fontId="0" fillId="0" borderId="47" xfId="26" applyFont="1" applyBorder="1">
      <alignment/>
      <protection/>
    </xf>
    <xf numFmtId="0" fontId="0" fillId="0" borderId="48" xfId="26" applyFont="1" applyBorder="1">
      <alignment/>
      <protection/>
    </xf>
    <xf numFmtId="44" fontId="0" fillId="0" borderId="48" xfId="17" applyFont="1" applyBorder="1" applyAlignment="1">
      <alignment/>
    </xf>
    <xf numFmtId="0" fontId="17" fillId="3" borderId="24" xfId="26" applyFont="1" applyFill="1" applyBorder="1" applyAlignment="1">
      <alignment wrapText="1"/>
      <protection/>
    </xf>
    <xf numFmtId="0" fontId="17" fillId="3" borderId="25" xfId="26" applyFont="1" applyFill="1" applyBorder="1" applyAlignment="1">
      <alignment wrapText="1"/>
      <protection/>
    </xf>
    <xf numFmtId="0" fontId="17" fillId="3" borderId="29" xfId="26" applyFont="1" applyFill="1" applyBorder="1" applyAlignment="1">
      <alignment wrapText="1"/>
      <protection/>
    </xf>
    <xf numFmtId="0" fontId="17" fillId="3" borderId="30" xfId="26" applyFont="1" applyFill="1" applyBorder="1" applyAlignment="1">
      <alignment wrapText="1"/>
      <protection/>
    </xf>
    <xf numFmtId="0" fontId="17" fillId="3" borderId="26" xfId="26" applyFont="1" applyFill="1" applyBorder="1" applyAlignment="1">
      <alignment wrapText="1"/>
      <protection/>
    </xf>
    <xf numFmtId="169" fontId="17" fillId="12" borderId="24" xfId="15" applyNumberFormat="1" applyFont="1" applyFill="1" applyBorder="1" applyAlignment="1">
      <alignment horizontal="left"/>
    </xf>
    <xf numFmtId="169" fontId="17" fillId="12" borderId="38" xfId="15" applyNumberFormat="1" applyFont="1" applyFill="1" applyBorder="1" applyAlignment="1">
      <alignment horizontal="left"/>
    </xf>
    <xf numFmtId="0" fontId="0" fillId="0" borderId="5" xfId="0" applyFont="1" applyBorder="1" applyAlignment="1">
      <alignment/>
    </xf>
    <xf numFmtId="0" fontId="0" fillId="0" borderId="37" xfId="0" applyFont="1" applyBorder="1" applyAlignment="1">
      <alignment/>
    </xf>
    <xf numFmtId="0" fontId="17" fillId="0" borderId="47" xfId="0" applyFont="1" applyBorder="1" applyAlignment="1">
      <alignment horizontal="right"/>
    </xf>
    <xf numFmtId="0" fontId="17" fillId="0" borderId="42" xfId="0" applyFont="1" applyBorder="1" applyAlignment="1">
      <alignment horizontal="center"/>
    </xf>
    <xf numFmtId="0" fontId="0" fillId="0" borderId="35" xfId="0" applyBorder="1" applyAlignment="1">
      <alignment/>
    </xf>
    <xf numFmtId="0" fontId="17" fillId="0" borderId="55" xfId="0" applyFont="1" applyBorder="1" applyAlignment="1">
      <alignment horizontal="center"/>
    </xf>
    <xf numFmtId="0" fontId="0" fillId="0" borderId="56" xfId="0" applyBorder="1" applyAlignment="1">
      <alignment/>
    </xf>
    <xf numFmtId="0" fontId="17" fillId="0" borderId="57" xfId="0" applyFont="1" applyBorder="1" applyAlignment="1">
      <alignment horizontal="right"/>
    </xf>
    <xf numFmtId="1" fontId="0" fillId="0" borderId="7" xfId="0" applyNumberFormat="1" applyFont="1" applyBorder="1" applyAlignment="1">
      <alignment/>
    </xf>
    <xf numFmtId="0" fontId="17" fillId="14" borderId="0" xfId="0" applyFont="1" applyFill="1" applyBorder="1" applyAlignment="1">
      <alignment/>
    </xf>
    <xf numFmtId="1" fontId="17" fillId="17" borderId="12" xfId="34" applyNumberFormat="1" applyFont="1" applyFill="1" applyBorder="1" applyAlignment="1">
      <alignment horizontal="left" wrapText="1"/>
      <protection/>
    </xf>
    <xf numFmtId="1" fontId="17" fillId="14" borderId="13" xfId="0" applyNumberFormat="1" applyFont="1" applyFill="1" applyBorder="1" applyAlignment="1">
      <alignment horizontal="center" wrapText="1"/>
    </xf>
    <xf numFmtId="168" fontId="0" fillId="0" borderId="48" xfId="26" applyNumberFormat="1" applyFont="1" applyBorder="1">
      <alignment/>
      <protection/>
    </xf>
    <xf numFmtId="168" fontId="0" fillId="0" borderId="9" xfId="26" applyNumberFormat="1" applyFont="1" applyBorder="1">
      <alignment/>
      <protection/>
    </xf>
    <xf numFmtId="168" fontId="17" fillId="12" borderId="11" xfId="17" applyNumberFormat="1" applyFont="1" applyFill="1" applyBorder="1" applyAlignment="1">
      <alignment/>
    </xf>
    <xf numFmtId="169" fontId="0" fillId="0" borderId="0" xfId="15" applyNumberFormat="1" applyFont="1" applyAlignment="1">
      <alignment/>
    </xf>
    <xf numFmtId="168" fontId="0" fillId="0" borderId="9" xfId="17" applyNumberFormat="1" applyFont="1" applyBorder="1" applyAlignment="1">
      <alignment/>
    </xf>
    <xf numFmtId="0" fontId="0" fillId="0" borderId="42" xfId="0" applyFont="1" applyBorder="1" applyAlignment="1">
      <alignment/>
    </xf>
    <xf numFmtId="1" fontId="17" fillId="14" borderId="58" xfId="34" applyNumberFormat="1" applyFont="1" applyFill="1" applyBorder="1" applyAlignment="1" quotePrefix="1">
      <alignment horizontal="center" wrapText="1"/>
      <protection/>
    </xf>
    <xf numFmtId="1" fontId="17" fillId="0" borderId="50" xfId="34" applyNumberFormat="1" applyFont="1" applyFill="1" applyBorder="1" applyAlignment="1">
      <alignment horizontal="left"/>
      <protection/>
    </xf>
    <xf numFmtId="169" fontId="17" fillId="0" borderId="50" xfId="15" applyNumberFormat="1" applyFont="1" applyFill="1" applyBorder="1" applyAlignment="1">
      <alignment horizontal="left"/>
    </xf>
    <xf numFmtId="169" fontId="17" fillId="0" borderId="51" xfId="15" applyNumberFormat="1" applyFont="1" applyFill="1" applyBorder="1" applyAlignment="1">
      <alignment horizontal="left"/>
    </xf>
    <xf numFmtId="1" fontId="17" fillId="14" borderId="19" xfId="34" applyNumberFormat="1" applyFont="1" applyFill="1" applyBorder="1" applyAlignment="1">
      <alignment horizontal="center" wrapText="1"/>
      <protection/>
    </xf>
    <xf numFmtId="1" fontId="17" fillId="14" borderId="11" xfId="34" applyNumberFormat="1" applyFont="1" applyFill="1" applyBorder="1" applyAlignment="1">
      <alignment horizontal="center" wrapText="1"/>
      <protection/>
    </xf>
    <xf numFmtId="1" fontId="17" fillId="0" borderId="12" xfId="34" applyNumberFormat="1" applyFont="1" applyFill="1" applyBorder="1" applyAlignment="1" quotePrefix="1">
      <alignment horizontal="left" wrapText="1"/>
      <protection/>
    </xf>
    <xf numFmtId="169" fontId="17" fillId="0" borderId="10" xfId="15" applyNumberFormat="1" applyFont="1" applyBorder="1" applyAlignment="1">
      <alignment/>
    </xf>
    <xf numFmtId="1" fontId="17" fillId="0" borderId="13" xfId="34" applyNumberFormat="1" applyFont="1" applyFill="1" applyBorder="1" applyAlignment="1">
      <alignment horizontal="left"/>
      <protection/>
    </xf>
    <xf numFmtId="169" fontId="17" fillId="0" borderId="13" xfId="15" applyNumberFormat="1" applyFont="1" applyFill="1" applyBorder="1" applyAlignment="1">
      <alignment horizontal="left"/>
    </xf>
    <xf numFmtId="2" fontId="0" fillId="0" borderId="7" xfId="28" applyNumberFormat="1" applyFont="1" applyBorder="1">
      <alignment/>
      <protection/>
    </xf>
    <xf numFmtId="0" fontId="0" fillId="0" borderId="55" xfId="0" applyFont="1" applyBorder="1" applyAlignment="1">
      <alignment/>
    </xf>
    <xf numFmtId="168" fontId="0" fillId="0" borderId="57" xfId="17" applyNumberFormat="1" applyFont="1" applyBorder="1" applyAlignment="1">
      <alignment/>
    </xf>
    <xf numFmtId="168" fontId="17" fillId="12" borderId="12" xfId="17" applyNumberFormat="1" applyFont="1" applyFill="1" applyBorder="1" applyAlignment="1">
      <alignment horizontal="center"/>
    </xf>
    <xf numFmtId="168" fontId="17" fillId="12" borderId="11" xfId="17" applyNumberFormat="1" applyFont="1" applyFill="1" applyBorder="1" applyAlignment="1">
      <alignment horizontal="center"/>
    </xf>
    <xf numFmtId="169" fontId="0" fillId="0" borderId="0" xfId="15" applyNumberFormat="1" applyAlignment="1">
      <alignment/>
    </xf>
    <xf numFmtId="0" fontId="17" fillId="0" borderId="3" xfId="0" applyFont="1" applyBorder="1" applyAlignment="1">
      <alignment wrapText="1"/>
    </xf>
    <xf numFmtId="169" fontId="17" fillId="0" borderId="3" xfId="15" applyNumberFormat="1" applyFont="1" applyBorder="1" applyAlignment="1">
      <alignment wrapText="1"/>
    </xf>
    <xf numFmtId="169" fontId="0" fillId="0" borderId="0" xfId="15" applyNumberFormat="1" applyAlignment="1">
      <alignment/>
    </xf>
    <xf numFmtId="9" fontId="0" fillId="0" borderId="3" xfId="35" applyBorder="1" applyAlignment="1">
      <alignment/>
    </xf>
    <xf numFmtId="169" fontId="0" fillId="0" borderId="3" xfId="15" applyNumberFormat="1" applyBorder="1" applyAlignment="1">
      <alignment/>
    </xf>
    <xf numFmtId="169" fontId="0" fillId="0" borderId="3" xfId="15" applyNumberFormat="1" applyFont="1" applyBorder="1" applyAlignment="1">
      <alignment/>
    </xf>
    <xf numFmtId="169" fontId="0" fillId="0" borderId="3" xfId="15" applyNumberFormat="1" applyFont="1" applyBorder="1" applyAlignment="1">
      <alignment horizontal="left"/>
    </xf>
    <xf numFmtId="0" fontId="17" fillId="11" borderId="25" xfId="26" applyFont="1" applyFill="1" applyBorder="1" applyAlignment="1">
      <alignment horizontal="left" wrapText="1"/>
      <protection/>
    </xf>
    <xf numFmtId="0" fontId="17" fillId="11" borderId="24" xfId="26" applyFont="1" applyFill="1" applyBorder="1" applyAlignment="1">
      <alignment wrapText="1"/>
      <protection/>
    </xf>
    <xf numFmtId="0" fontId="17" fillId="11" borderId="25" xfId="26" applyFont="1" applyFill="1" applyBorder="1" applyAlignment="1">
      <alignment wrapText="1"/>
      <protection/>
    </xf>
    <xf numFmtId="1" fontId="17" fillId="11" borderId="29" xfId="26" applyNumberFormat="1" applyFont="1" applyFill="1" applyBorder="1" applyAlignment="1">
      <alignment wrapText="1"/>
      <protection/>
    </xf>
    <xf numFmtId="0" fontId="17" fillId="11" borderId="3" xfId="24" applyFont="1" applyFill="1" applyBorder="1" applyAlignment="1">
      <alignment horizontal="center"/>
      <protection/>
    </xf>
    <xf numFmtId="0" fontId="0" fillId="0" borderId="3" xfId="25" applyFont="1" applyFill="1" applyBorder="1" applyAlignment="1" applyProtection="1">
      <alignment horizontal="left"/>
      <protection/>
    </xf>
    <xf numFmtId="177" fontId="0" fillId="0" borderId="3" xfId="26" applyNumberFormat="1" applyFont="1" applyFill="1" applyBorder="1" applyAlignment="1" applyProtection="1" quotePrefix="1">
      <alignment horizontal="center"/>
      <protection/>
    </xf>
    <xf numFmtId="0" fontId="0" fillId="0" borderId="3" xfId="25" applyFont="1" applyFill="1" applyBorder="1">
      <alignment/>
      <protection/>
    </xf>
    <xf numFmtId="169" fontId="0" fillId="0" borderId="3" xfId="15" applyNumberFormat="1" applyFont="1" applyFill="1" applyBorder="1" applyAlignment="1" applyProtection="1" quotePrefix="1">
      <alignment horizontal="center"/>
      <protection/>
    </xf>
    <xf numFmtId="1" fontId="17" fillId="11" borderId="3" xfId="24" applyNumberFormat="1" applyFont="1" applyFill="1" applyBorder="1" applyAlignment="1">
      <alignment horizontal="center"/>
      <protection/>
    </xf>
    <xf numFmtId="169" fontId="0" fillId="0" borderId="4" xfId="15" applyNumberFormat="1" applyFont="1" applyBorder="1" applyAlignment="1">
      <alignment horizontal="left"/>
    </xf>
    <xf numFmtId="9" fontId="0" fillId="0" borderId="4" xfId="35" applyFont="1" applyBorder="1" applyAlignment="1">
      <alignment/>
    </xf>
    <xf numFmtId="2" fontId="0" fillId="0" borderId="4" xfId="26" applyNumberFormat="1" applyFont="1" applyBorder="1">
      <alignment/>
      <protection/>
    </xf>
    <xf numFmtId="169" fontId="0" fillId="0" borderId="4" xfId="15" applyNumberFormat="1" applyFont="1" applyBorder="1" applyAlignment="1">
      <alignment/>
    </xf>
    <xf numFmtId="169" fontId="0" fillId="3" borderId="16" xfId="15" applyNumberFormat="1" applyFont="1" applyFill="1" applyBorder="1" applyAlignment="1">
      <alignment horizontal="left"/>
    </xf>
    <xf numFmtId="0" fontId="0" fillId="3" borderId="30" xfId="26" applyFont="1" applyFill="1" applyBorder="1">
      <alignment/>
      <protection/>
    </xf>
    <xf numFmtId="1" fontId="0" fillId="3" borderId="30" xfId="26" applyNumberFormat="1" applyFont="1" applyFill="1" applyBorder="1">
      <alignment/>
      <protection/>
    </xf>
    <xf numFmtId="169" fontId="0" fillId="3" borderId="30" xfId="15" applyNumberFormat="1" applyFont="1" applyFill="1" applyBorder="1" applyAlignment="1">
      <alignment/>
    </xf>
    <xf numFmtId="169" fontId="0" fillId="3" borderId="26" xfId="15" applyNumberFormat="1" applyFont="1" applyFill="1" applyBorder="1" applyAlignment="1">
      <alignment/>
    </xf>
    <xf numFmtId="169" fontId="0" fillId="3" borderId="59" xfId="15" applyNumberFormat="1" applyFont="1" applyFill="1" applyBorder="1" applyAlignment="1">
      <alignment/>
    </xf>
    <xf numFmtId="1" fontId="0" fillId="3" borderId="16" xfId="26" applyNumberFormat="1" applyFont="1" applyFill="1" applyBorder="1">
      <alignment/>
      <protection/>
    </xf>
    <xf numFmtId="1" fontId="0" fillId="18" borderId="48" xfId="0" applyNumberFormat="1" applyFill="1" applyBorder="1" applyAlignment="1">
      <alignment/>
    </xf>
    <xf numFmtId="1" fontId="0" fillId="18" borderId="42" xfId="26" applyNumberFormat="1" applyFont="1" applyFill="1" applyBorder="1">
      <alignment/>
      <protection/>
    </xf>
    <xf numFmtId="1" fontId="0" fillId="18" borderId="4" xfId="0" applyNumberFormat="1" applyFill="1" applyBorder="1" applyAlignment="1">
      <alignment/>
    </xf>
    <xf numFmtId="0" fontId="0" fillId="0" borderId="27" xfId="25" applyFont="1" applyFill="1" applyBorder="1" applyAlignment="1" applyProtection="1" quotePrefix="1">
      <alignment horizontal="left"/>
      <protection/>
    </xf>
    <xf numFmtId="168" fontId="0" fillId="0" borderId="3" xfId="17" applyNumberFormat="1" applyBorder="1" applyAlignment="1">
      <alignment/>
    </xf>
    <xf numFmtId="168" fontId="0" fillId="0" borderId="48" xfId="17" applyNumberFormat="1" applyBorder="1" applyAlignment="1">
      <alignment/>
    </xf>
    <xf numFmtId="168" fontId="0" fillId="0" borderId="36" xfId="17" applyNumberFormat="1" applyBorder="1" applyAlignment="1">
      <alignment/>
    </xf>
    <xf numFmtId="0" fontId="0" fillId="0" borderId="4" xfId="26" applyFont="1" applyBorder="1" applyAlignment="1" quotePrefix="1">
      <alignment horizontal="left"/>
      <protection/>
    </xf>
    <xf numFmtId="180" fontId="0" fillId="0" borderId="0" xfId="26" applyNumberFormat="1" applyFont="1">
      <alignment/>
      <protection/>
    </xf>
    <xf numFmtId="166" fontId="0" fillId="0" borderId="3" xfId="26" applyNumberFormat="1" applyFont="1" applyBorder="1" applyAlignment="1" applyProtection="1" quotePrefix="1">
      <alignment horizontal="left"/>
      <protection/>
    </xf>
    <xf numFmtId="168" fontId="17" fillId="12" borderId="38" xfId="17" applyNumberFormat="1" applyFont="1" applyFill="1" applyBorder="1" applyAlignment="1">
      <alignment horizontal="center"/>
    </xf>
    <xf numFmtId="168" fontId="17" fillId="12" borderId="15" xfId="17" applyNumberFormat="1" applyFont="1" applyFill="1" applyBorder="1" applyAlignment="1">
      <alignment horizontal="center"/>
    </xf>
    <xf numFmtId="168" fontId="0" fillId="0" borderId="8" xfId="17" applyNumberFormat="1" applyFont="1" applyBorder="1" applyAlignment="1">
      <alignment/>
    </xf>
    <xf numFmtId="168" fontId="0" fillId="0" borderId="5" xfId="17" applyNumberFormat="1" applyFont="1" applyBorder="1" applyAlignment="1">
      <alignment/>
    </xf>
    <xf numFmtId="2" fontId="0" fillId="0" borderId="7" xfId="25" applyNumberFormat="1" applyFont="1" applyBorder="1">
      <alignment/>
      <protection/>
    </xf>
    <xf numFmtId="2" fontId="0" fillId="0" borderId="46" xfId="25" applyNumberFormat="1" applyFont="1" applyBorder="1">
      <alignment/>
      <protection/>
    </xf>
    <xf numFmtId="0" fontId="0" fillId="0" borderId="28" xfId="25" applyFont="1" applyBorder="1" applyAlignment="1" applyProtection="1" quotePrefix="1">
      <alignment horizontal="left"/>
      <protection/>
    </xf>
    <xf numFmtId="168" fontId="17" fillId="11" borderId="13" xfId="17" applyNumberFormat="1" applyFont="1" applyFill="1" applyBorder="1" applyAlignment="1">
      <alignment horizontal="right"/>
    </xf>
    <xf numFmtId="168" fontId="0" fillId="0" borderId="55" xfId="17" applyNumberFormat="1" applyFont="1" applyBorder="1" applyAlignment="1">
      <alignment/>
    </xf>
    <xf numFmtId="168" fontId="0" fillId="16" borderId="56" xfId="17" applyNumberFormat="1" applyFont="1" applyFill="1" applyBorder="1" applyAlignment="1">
      <alignment/>
    </xf>
    <xf numFmtId="168" fontId="0" fillId="16" borderId="5" xfId="17" applyNumberFormat="1" applyFont="1" applyFill="1" applyBorder="1" applyAlignment="1">
      <alignment/>
    </xf>
    <xf numFmtId="168" fontId="0" fillId="0" borderId="56" xfId="17" applyNumberFormat="1" applyFont="1" applyBorder="1" applyAlignment="1">
      <alignment/>
    </xf>
    <xf numFmtId="168" fontId="0" fillId="0" borderId="1" xfId="17" applyNumberFormat="1" applyFont="1" applyBorder="1" applyAlignment="1">
      <alignment/>
    </xf>
    <xf numFmtId="168" fontId="0" fillId="16" borderId="8" xfId="17" applyNumberFormat="1" applyFont="1" applyFill="1" applyBorder="1" applyAlignment="1">
      <alignment/>
    </xf>
    <xf numFmtId="168" fontId="0" fillId="0" borderId="60" xfId="17" applyNumberFormat="1" applyFont="1" applyBorder="1" applyAlignment="1">
      <alignment/>
    </xf>
    <xf numFmtId="168" fontId="17" fillId="11" borderId="43" xfId="17" applyNumberFormat="1" applyFont="1" applyFill="1" applyBorder="1" applyAlignment="1">
      <alignment horizontal="right"/>
    </xf>
    <xf numFmtId="168" fontId="17" fillId="11" borderId="45" xfId="17" applyNumberFormat="1" applyFont="1" applyFill="1" applyBorder="1" applyAlignment="1">
      <alignment horizontal="right"/>
    </xf>
    <xf numFmtId="168" fontId="0" fillId="0" borderId="31" xfId="17" applyNumberFormat="1" applyFont="1" applyBorder="1" applyAlignment="1">
      <alignment/>
    </xf>
    <xf numFmtId="168" fontId="17" fillId="11" borderId="53" xfId="17" applyNumberFormat="1" applyFont="1" applyFill="1" applyBorder="1" applyAlignment="1">
      <alignment horizontal="right"/>
    </xf>
    <xf numFmtId="166" fontId="0" fillId="0" borderId="4" xfId="25" applyNumberFormat="1" applyFont="1" applyBorder="1">
      <alignment/>
      <protection/>
    </xf>
    <xf numFmtId="0" fontId="0" fillId="0" borderId="27" xfId="25" applyFont="1" applyBorder="1" applyAlignment="1" applyProtection="1">
      <alignment horizontal="left"/>
      <protection/>
    </xf>
    <xf numFmtId="2" fontId="0" fillId="0" borderId="27" xfId="28" applyNumberFormat="1" applyFont="1" applyBorder="1">
      <alignment/>
      <protection/>
    </xf>
    <xf numFmtId="0" fontId="17" fillId="3" borderId="50" xfId="26" applyFont="1" applyFill="1" applyBorder="1" applyAlignment="1" quotePrefix="1">
      <alignment horizontal="left"/>
      <protection/>
    </xf>
    <xf numFmtId="165" fontId="17" fillId="3" borderId="44" xfId="26" applyNumberFormat="1" applyFont="1" applyFill="1" applyBorder="1">
      <alignment/>
      <protection/>
    </xf>
    <xf numFmtId="165" fontId="17" fillId="3" borderId="61" xfId="26" applyNumberFormat="1" applyFont="1" applyFill="1" applyBorder="1">
      <alignment/>
      <protection/>
    </xf>
    <xf numFmtId="169" fontId="17" fillId="3" borderId="16" xfId="15" applyNumberFormat="1" applyFont="1" applyFill="1" applyBorder="1" applyAlignment="1" quotePrefix="1">
      <alignment horizontal="left"/>
    </xf>
    <xf numFmtId="169" fontId="17" fillId="3" borderId="30" xfId="15" applyNumberFormat="1" applyFont="1" applyFill="1" applyBorder="1" applyAlignment="1">
      <alignment/>
    </xf>
    <xf numFmtId="169" fontId="17" fillId="3" borderId="26" xfId="15" applyNumberFormat="1" applyFont="1" applyFill="1" applyBorder="1" applyAlignment="1">
      <alignment/>
    </xf>
    <xf numFmtId="0" fontId="0" fillId="18" borderId="47" xfId="0" applyFill="1" applyBorder="1" applyAlignment="1">
      <alignment/>
    </xf>
    <xf numFmtId="0" fontId="0" fillId="18" borderId="28" xfId="0" applyFill="1" applyBorder="1" applyAlignment="1">
      <alignment/>
    </xf>
    <xf numFmtId="1" fontId="0" fillId="18" borderId="34" xfId="0" applyNumberFormat="1" applyFill="1" applyBorder="1" applyAlignment="1">
      <alignment/>
    </xf>
    <xf numFmtId="1" fontId="0" fillId="0" borderId="42" xfId="26" applyNumberFormat="1" applyFont="1" applyBorder="1">
      <alignment/>
      <protection/>
    </xf>
    <xf numFmtId="0" fontId="17" fillId="3" borderId="16" xfId="26" applyFont="1" applyFill="1" applyBorder="1" applyAlignment="1">
      <alignment wrapText="1"/>
      <protection/>
    </xf>
    <xf numFmtId="1" fontId="0" fillId="0" borderId="46" xfId="0" applyNumberFormat="1" applyFont="1" applyBorder="1" applyAlignment="1">
      <alignment/>
    </xf>
    <xf numFmtId="0" fontId="17" fillId="12" borderId="12" xfId="26" applyFont="1" applyFill="1" applyBorder="1">
      <alignment/>
      <protection/>
    </xf>
    <xf numFmtId="168" fontId="17" fillId="12" borderId="13" xfId="17" applyNumberFormat="1" applyFont="1" applyFill="1" applyBorder="1" applyAlignment="1">
      <alignment/>
    </xf>
    <xf numFmtId="168" fontId="17" fillId="11" borderId="5" xfId="17" applyNumberFormat="1" applyFont="1" applyFill="1" applyBorder="1" applyAlignment="1">
      <alignment horizontal="right"/>
    </xf>
    <xf numFmtId="0" fontId="0" fillId="11" borderId="3" xfId="26" applyFont="1" applyFill="1" applyBorder="1">
      <alignment/>
      <protection/>
    </xf>
    <xf numFmtId="9" fontId="0" fillId="11" borderId="3" xfId="26" applyNumberFormat="1" applyFont="1" applyFill="1" applyBorder="1">
      <alignment/>
      <protection/>
    </xf>
    <xf numFmtId="9" fontId="0" fillId="11" borderId="3" xfId="0" applyNumberFormat="1" applyFont="1" applyFill="1" applyBorder="1" applyAlignment="1">
      <alignment/>
    </xf>
    <xf numFmtId="2" fontId="0" fillId="11" borderId="16" xfId="26" applyNumberFormat="1" applyFont="1" applyFill="1" applyBorder="1" applyAlignment="1" applyProtection="1">
      <alignment horizontal="left"/>
      <protection/>
    </xf>
    <xf numFmtId="2" fontId="0" fillId="0" borderId="57" xfId="25" applyNumberFormat="1" applyFont="1" applyBorder="1">
      <alignment/>
      <protection/>
    </xf>
    <xf numFmtId="0" fontId="0" fillId="12" borderId="16" xfId="0" applyFill="1" applyBorder="1" applyAlignment="1">
      <alignment/>
    </xf>
    <xf numFmtId="1" fontId="0" fillId="12" borderId="30" xfId="0" applyNumberFormat="1" applyFill="1" applyBorder="1" applyAlignment="1">
      <alignment/>
    </xf>
    <xf numFmtId="1" fontId="0" fillId="12" borderId="26" xfId="0" applyNumberFormat="1" applyFill="1" applyBorder="1" applyAlignment="1">
      <alignment/>
    </xf>
    <xf numFmtId="0" fontId="0" fillId="12" borderId="27" xfId="26" applyFont="1" applyFill="1" applyBorder="1">
      <alignment/>
      <protection/>
    </xf>
    <xf numFmtId="1" fontId="0" fillId="12" borderId="3" xfId="26" applyNumberFormat="1" applyFont="1" applyFill="1" applyBorder="1">
      <alignment/>
      <protection/>
    </xf>
    <xf numFmtId="1" fontId="0" fillId="12" borderId="33" xfId="26" applyNumberFormat="1" applyFont="1" applyFill="1" applyBorder="1">
      <alignment/>
      <protection/>
    </xf>
    <xf numFmtId="168" fontId="0" fillId="0" borderId="0" xfId="17" applyNumberFormat="1" applyFont="1" applyAlignment="1">
      <alignment/>
    </xf>
    <xf numFmtId="168" fontId="0" fillId="0" borderId="32" xfId="17" applyNumberFormat="1" applyFont="1" applyBorder="1" applyAlignment="1">
      <alignment/>
    </xf>
    <xf numFmtId="0" fontId="17" fillId="0" borderId="12" xfId="0" applyFont="1" applyBorder="1" applyAlignment="1">
      <alignment horizontal="center"/>
    </xf>
    <xf numFmtId="0" fontId="17" fillId="11" borderId="7" xfId="26" applyFont="1" applyFill="1" applyBorder="1">
      <alignment/>
      <protection/>
    </xf>
    <xf numFmtId="0" fontId="17" fillId="0" borderId="13" xfId="0" applyFont="1" applyBorder="1" applyAlignment="1">
      <alignment/>
    </xf>
    <xf numFmtId="0" fontId="17" fillId="0" borderId="38" xfId="0" applyFont="1" applyBorder="1" applyAlignment="1">
      <alignment horizontal="center"/>
    </xf>
    <xf numFmtId="3" fontId="0" fillId="0" borderId="3" xfId="17" applyNumberFormat="1" applyBorder="1" applyAlignment="1">
      <alignment/>
    </xf>
    <xf numFmtId="3" fontId="0" fillId="0" borderId="36" xfId="17" applyNumberFormat="1" applyBorder="1" applyAlignment="1">
      <alignment/>
    </xf>
    <xf numFmtId="3" fontId="17" fillId="12" borderId="13" xfId="17" applyNumberFormat="1" applyFont="1" applyFill="1" applyBorder="1" applyAlignment="1">
      <alignment/>
    </xf>
    <xf numFmtId="9" fontId="0" fillId="11" borderId="7" xfId="26" applyNumberFormat="1" applyFont="1" applyFill="1" applyBorder="1">
      <alignment/>
      <protection/>
    </xf>
    <xf numFmtId="3" fontId="17" fillId="11" borderId="33" xfId="17" applyNumberFormat="1" applyFont="1" applyFill="1" applyBorder="1" applyAlignment="1">
      <alignment horizontal="right"/>
    </xf>
    <xf numFmtId="3" fontId="17" fillId="11" borderId="37" xfId="17" applyNumberFormat="1" applyFont="1" applyFill="1" applyBorder="1" applyAlignment="1">
      <alignment horizontal="right"/>
    </xf>
    <xf numFmtId="0" fontId="0" fillId="0" borderId="31" xfId="25" applyFont="1" applyBorder="1" applyAlignment="1" applyProtection="1" quotePrefix="1">
      <alignment horizontal="left"/>
      <protection/>
    </xf>
    <xf numFmtId="3" fontId="0" fillId="0" borderId="9" xfId="17" applyNumberFormat="1" applyBorder="1" applyAlignment="1">
      <alignment/>
    </xf>
    <xf numFmtId="3" fontId="17" fillId="11" borderId="32" xfId="17" applyNumberFormat="1" applyFont="1" applyFill="1" applyBorder="1" applyAlignment="1">
      <alignment horizontal="right"/>
    </xf>
    <xf numFmtId="0" fontId="17" fillId="12" borderId="62" xfId="26" applyFont="1" applyFill="1" applyBorder="1">
      <alignment/>
      <protection/>
    </xf>
    <xf numFmtId="3" fontId="17" fillId="12" borderId="51" xfId="17" applyNumberFormat="1" applyFont="1" applyFill="1" applyBorder="1" applyAlignment="1">
      <alignment/>
    </xf>
    <xf numFmtId="9" fontId="0" fillId="11" borderId="63" xfId="26" applyNumberFormat="1" applyFont="1" applyFill="1" applyBorder="1">
      <alignment/>
      <protection/>
    </xf>
    <xf numFmtId="9" fontId="0" fillId="11" borderId="64" xfId="26" applyNumberFormat="1" applyFont="1" applyFill="1" applyBorder="1">
      <alignment/>
      <protection/>
    </xf>
    <xf numFmtId="0" fontId="17" fillId="19" borderId="62" xfId="0" applyFont="1" applyFill="1" applyBorder="1" applyAlignment="1">
      <alignment horizontal="center"/>
    </xf>
    <xf numFmtId="0" fontId="17" fillId="19" borderId="50" xfId="25" applyFont="1" applyFill="1" applyBorder="1" applyAlignment="1">
      <alignment horizontal="right"/>
      <protection/>
    </xf>
    <xf numFmtId="1" fontId="17" fillId="19" borderId="51" xfId="25" applyNumberFormat="1" applyFont="1" applyFill="1" applyBorder="1" applyAlignment="1">
      <alignment horizontal="right"/>
      <protection/>
    </xf>
    <xf numFmtId="0" fontId="17" fillId="19" borderId="65" xfId="26" applyFont="1" applyFill="1" applyBorder="1">
      <alignment/>
      <protection/>
    </xf>
    <xf numFmtId="0" fontId="0" fillId="19" borderId="10" xfId="26" applyFont="1" applyFill="1" applyBorder="1">
      <alignment/>
      <protection/>
    </xf>
    <xf numFmtId="0" fontId="0" fillId="19" borderId="11" xfId="0" applyFont="1" applyFill="1" applyBorder="1" applyAlignment="1">
      <alignment/>
    </xf>
    <xf numFmtId="0" fontId="0" fillId="0" borderId="66" xfId="0" applyFont="1" applyBorder="1" applyAlignment="1">
      <alignment/>
    </xf>
    <xf numFmtId="168" fontId="17" fillId="11" borderId="8" xfId="17" applyNumberFormat="1" applyFont="1" applyFill="1" applyBorder="1" applyAlignment="1">
      <alignment horizontal="right"/>
    </xf>
    <xf numFmtId="177" fontId="0" fillId="0" borderId="3" xfId="34" applyNumberFormat="1" applyFont="1" applyBorder="1" applyAlignment="1" applyProtection="1">
      <alignment horizontal="left"/>
      <protection/>
    </xf>
    <xf numFmtId="165" fontId="0" fillId="0" borderId="3" xfId="30" applyNumberFormat="1" applyFont="1" applyBorder="1">
      <alignment/>
      <protection/>
    </xf>
    <xf numFmtId="1" fontId="0" fillId="0" borderId="3" xfId="30" applyNumberFormat="1" applyBorder="1">
      <alignment/>
      <protection/>
    </xf>
    <xf numFmtId="168" fontId="0" fillId="0" borderId="3" xfId="17" applyNumberFormat="1" applyBorder="1" applyAlignment="1">
      <alignment/>
    </xf>
    <xf numFmtId="2" fontId="0" fillId="0" borderId="3" xfId="30" applyNumberFormat="1" applyBorder="1">
      <alignment/>
      <protection/>
    </xf>
    <xf numFmtId="169" fontId="17" fillId="0" borderId="0" xfId="15" applyNumberFormat="1" applyFont="1" applyBorder="1" applyAlignment="1">
      <alignment/>
    </xf>
    <xf numFmtId="9" fontId="17" fillId="0" borderId="0" xfId="35" applyFont="1" applyBorder="1" applyAlignment="1">
      <alignment/>
    </xf>
    <xf numFmtId="1" fontId="17" fillId="0" borderId="67" xfId="34" applyNumberFormat="1" applyFont="1" applyFill="1" applyBorder="1" applyAlignment="1">
      <alignment horizontal="left"/>
      <protection/>
    </xf>
    <xf numFmtId="1" fontId="17" fillId="0" borderId="68" xfId="34" applyNumberFormat="1" applyFont="1" applyFill="1" applyBorder="1" applyAlignment="1">
      <alignment horizontal="left" wrapText="1"/>
      <protection/>
    </xf>
    <xf numFmtId="1" fontId="17" fillId="0" borderId="69" xfId="34" applyNumberFormat="1" applyFont="1" applyFill="1" applyBorder="1" applyAlignment="1">
      <alignment horizontal="left" wrapText="1"/>
      <protection/>
    </xf>
    <xf numFmtId="169" fontId="17" fillId="0" borderId="13" xfId="15" applyNumberFormat="1" applyFont="1" applyBorder="1" applyAlignment="1">
      <alignment/>
    </xf>
    <xf numFmtId="1" fontId="17" fillId="0" borderId="16" xfId="0" applyNumberFormat="1" applyFont="1" applyBorder="1" applyAlignment="1">
      <alignment/>
    </xf>
    <xf numFmtId="168" fontId="17" fillId="0" borderId="67" xfId="17" applyNumberFormat="1" applyFont="1" applyBorder="1" applyAlignment="1">
      <alignment/>
    </xf>
    <xf numFmtId="169" fontId="17" fillId="0" borderId="49" xfId="15" applyNumberFormat="1" applyFont="1" applyFill="1" applyBorder="1" applyAlignment="1">
      <alignment/>
    </xf>
    <xf numFmtId="1" fontId="17" fillId="0" borderId="67" xfId="0" applyNumberFormat="1" applyFont="1" applyFill="1" applyBorder="1" applyAlignment="1">
      <alignment/>
    </xf>
    <xf numFmtId="169" fontId="17" fillId="0" borderId="70" xfId="15" applyNumberFormat="1" applyFont="1" applyFill="1" applyBorder="1" applyAlignment="1">
      <alignment/>
    </xf>
    <xf numFmtId="168" fontId="17" fillId="0" borderId="16" xfId="17" applyNumberFormat="1" applyFont="1" applyFill="1" applyBorder="1" applyAlignment="1">
      <alignment/>
    </xf>
    <xf numFmtId="168" fontId="17" fillId="0" borderId="11" xfId="17" applyNumberFormat="1" applyFont="1" applyFill="1" applyBorder="1" applyAlignment="1">
      <alignment/>
    </xf>
    <xf numFmtId="168" fontId="17" fillId="12" borderId="13" xfId="0" applyNumberFormat="1" applyFont="1" applyFill="1" applyBorder="1" applyAlignment="1">
      <alignment/>
    </xf>
    <xf numFmtId="0" fontId="17" fillId="12" borderId="16" xfId="0" applyFont="1" applyFill="1" applyBorder="1" applyAlignment="1">
      <alignment horizontal="right"/>
    </xf>
    <xf numFmtId="0" fontId="17" fillId="0" borderId="0" xfId="26" applyFont="1" applyFill="1" applyBorder="1">
      <alignment/>
      <protection/>
    </xf>
    <xf numFmtId="43" fontId="0" fillId="0" borderId="3" xfId="15" applyNumberFormat="1" applyBorder="1" applyAlignment="1">
      <alignment/>
    </xf>
    <xf numFmtId="43" fontId="0" fillId="11" borderId="3" xfId="0" applyNumberFormat="1" applyFill="1" applyBorder="1" applyAlignment="1">
      <alignment/>
    </xf>
    <xf numFmtId="43" fontId="0" fillId="11" borderId="3" xfId="15" applyNumberFormat="1" applyFill="1" applyBorder="1" applyAlignment="1">
      <alignment/>
    </xf>
    <xf numFmtId="169" fontId="0" fillId="0" borderId="3" xfId="15" applyNumberFormat="1" applyBorder="1" applyAlignment="1">
      <alignment/>
    </xf>
    <xf numFmtId="1" fontId="0" fillId="0" borderId="27" xfId="0" applyNumberFormat="1" applyFont="1" applyFill="1" applyBorder="1" applyAlignment="1">
      <alignment/>
    </xf>
    <xf numFmtId="1" fontId="0" fillId="0" borderId="3" xfId="0" applyNumberFormat="1" applyFont="1" applyFill="1" applyBorder="1" applyAlignment="1">
      <alignment/>
    </xf>
    <xf numFmtId="1" fontId="0" fillId="0" borderId="33" xfId="0" applyNumberFormat="1" applyFont="1" applyFill="1" applyBorder="1" applyAlignment="1">
      <alignment/>
    </xf>
    <xf numFmtId="2" fontId="0" fillId="0" borderId="27" xfId="0" applyNumberFormat="1" applyFont="1" applyFill="1" applyBorder="1" applyAlignment="1">
      <alignment/>
    </xf>
    <xf numFmtId="166" fontId="0" fillId="0" borderId="27" xfId="0" applyNumberFormat="1" applyFont="1" applyFill="1" applyBorder="1" applyAlignment="1">
      <alignment/>
    </xf>
    <xf numFmtId="2" fontId="0" fillId="0" borderId="3" xfId="0" applyNumberFormat="1" applyFont="1" applyFill="1" applyBorder="1" applyAlignment="1">
      <alignment/>
    </xf>
    <xf numFmtId="166" fontId="0" fillId="0" borderId="3" xfId="0" applyNumberFormat="1" applyFont="1" applyFill="1" applyBorder="1" applyAlignment="1">
      <alignment/>
    </xf>
    <xf numFmtId="2" fontId="0" fillId="0" borderId="33" xfId="0" applyNumberFormat="1" applyFont="1" applyFill="1" applyBorder="1" applyAlignment="1">
      <alignment/>
    </xf>
    <xf numFmtId="166" fontId="0" fillId="0" borderId="33" xfId="0" applyNumberFormat="1" applyFont="1" applyFill="1" applyBorder="1" applyAlignment="1">
      <alignment/>
    </xf>
    <xf numFmtId="1" fontId="0" fillId="0" borderId="31" xfId="0" applyNumberFormat="1" applyFont="1" applyFill="1" applyBorder="1" applyAlignment="1">
      <alignment/>
    </xf>
    <xf numFmtId="1" fontId="0" fillId="0" borderId="9" xfId="0" applyNumberFormat="1" applyFont="1" applyFill="1" applyBorder="1" applyAlignment="1">
      <alignment/>
    </xf>
    <xf numFmtId="1" fontId="0" fillId="0" borderId="32" xfId="0" applyNumberFormat="1" applyFont="1" applyFill="1" applyBorder="1" applyAlignment="1">
      <alignment/>
    </xf>
    <xf numFmtId="0" fontId="0" fillId="11" borderId="12" xfId="0" applyFill="1" applyBorder="1" applyAlignment="1">
      <alignment/>
    </xf>
    <xf numFmtId="0" fontId="0" fillId="11" borderId="16" xfId="0" applyFill="1" applyBorder="1" applyAlignment="1">
      <alignment/>
    </xf>
    <xf numFmtId="0" fontId="0" fillId="11" borderId="30" xfId="0" applyFill="1" applyBorder="1" applyAlignment="1">
      <alignment/>
    </xf>
    <xf numFmtId="0" fontId="0" fillId="11" borderId="26" xfId="0" applyFill="1" applyBorder="1" applyAlignment="1">
      <alignment/>
    </xf>
    <xf numFmtId="169" fontId="0" fillId="12" borderId="35" xfId="15" applyNumberFormat="1" applyFont="1" applyFill="1" applyBorder="1" applyAlignment="1">
      <alignment/>
    </xf>
    <xf numFmtId="169" fontId="0" fillId="12" borderId="36" xfId="15" applyNumberFormat="1" applyFont="1" applyFill="1" applyBorder="1" applyAlignment="1">
      <alignment/>
    </xf>
    <xf numFmtId="169" fontId="0" fillId="12" borderId="37" xfId="15" applyNumberFormat="1" applyFont="1" applyFill="1" applyBorder="1" applyAlignment="1">
      <alignment/>
    </xf>
    <xf numFmtId="178" fontId="0" fillId="0" borderId="3" xfId="15" applyNumberFormat="1" applyBorder="1" applyAlignment="1">
      <alignment/>
    </xf>
    <xf numFmtId="0" fontId="17" fillId="11" borderId="71" xfId="26" applyFont="1" applyFill="1" applyBorder="1" applyAlignment="1" quotePrefix="1">
      <alignment horizontal="center"/>
      <protection/>
    </xf>
    <xf numFmtId="0" fontId="17" fillId="11" borderId="10" xfId="26" applyFont="1" applyFill="1" applyBorder="1" applyAlignment="1">
      <alignment horizontal="center"/>
      <protection/>
    </xf>
    <xf numFmtId="0" fontId="17" fillId="11" borderId="11" xfId="26" applyFont="1" applyFill="1" applyBorder="1" applyAlignment="1">
      <alignment horizontal="center"/>
      <protection/>
    </xf>
    <xf numFmtId="0" fontId="17" fillId="13" borderId="19" xfId="26" applyFont="1" applyFill="1" applyBorder="1" applyAlignment="1">
      <alignment horizontal="center" wrapText="1"/>
      <protection/>
    </xf>
    <xf numFmtId="0" fontId="17" fillId="13" borderId="51" xfId="26" applyFont="1" applyFill="1" applyBorder="1" applyAlignment="1">
      <alignment horizontal="center" wrapText="1"/>
      <protection/>
    </xf>
    <xf numFmtId="0" fontId="17" fillId="11" borderId="38" xfId="26" applyFont="1" applyFill="1" applyBorder="1" applyAlignment="1">
      <alignment horizontal="center"/>
      <protection/>
    </xf>
    <xf numFmtId="0" fontId="17" fillId="11" borderId="14" xfId="26" applyFont="1" applyFill="1" applyBorder="1" applyAlignment="1" quotePrefix="1">
      <alignment horizontal="center"/>
      <protection/>
    </xf>
    <xf numFmtId="0" fontId="18" fillId="11" borderId="12" xfId="0" applyFont="1" applyFill="1" applyBorder="1" applyAlignment="1">
      <alignment horizontal="center" wrapText="1"/>
    </xf>
    <xf numFmtId="0" fontId="18" fillId="11" borderId="10" xfId="0" applyFont="1" applyFill="1" applyBorder="1" applyAlignment="1">
      <alignment horizontal="center" wrapText="1"/>
    </xf>
    <xf numFmtId="0" fontId="18" fillId="11" borderId="11" xfId="0" applyFont="1" applyFill="1" applyBorder="1" applyAlignment="1">
      <alignment horizontal="center" wrapText="1"/>
    </xf>
    <xf numFmtId="0" fontId="18" fillId="11" borderId="59" xfId="0" applyFont="1" applyFill="1" applyBorder="1" applyAlignment="1">
      <alignment horizontal="center" wrapText="1"/>
    </xf>
    <xf numFmtId="0" fontId="18" fillId="11" borderId="17" xfId="0" applyFont="1" applyFill="1" applyBorder="1" applyAlignment="1">
      <alignment horizontal="center" wrapText="1"/>
    </xf>
    <xf numFmtId="0" fontId="0" fillId="2" borderId="5" xfId="19" applyFont="1" applyBorder="1" applyAlignment="1">
      <alignment horizontal="left" vertical="center" wrapText="1"/>
      <protection/>
    </xf>
    <xf numFmtId="0" fontId="0" fillId="2" borderId="6" xfId="19" applyFont="1" applyBorder="1" applyAlignment="1">
      <alignment horizontal="left" vertical="center" wrapText="1"/>
      <protection/>
    </xf>
    <xf numFmtId="0" fontId="0" fillId="2" borderId="7" xfId="19" applyFont="1" applyBorder="1" applyAlignment="1">
      <alignment horizontal="left" vertical="center" wrapText="1"/>
      <protection/>
    </xf>
    <xf numFmtId="0" fontId="17" fillId="0" borderId="12" xfId="26" applyFont="1" applyBorder="1" applyAlignment="1">
      <alignment horizontal="center"/>
      <protection/>
    </xf>
    <xf numFmtId="0" fontId="17" fillId="0" borderId="10" xfId="26" applyFont="1" applyBorder="1" applyAlignment="1">
      <alignment horizontal="center"/>
      <protection/>
    </xf>
    <xf numFmtId="0" fontId="17" fillId="0" borderId="11" xfId="26" applyFont="1" applyBorder="1" applyAlignment="1">
      <alignment horizontal="center"/>
      <protection/>
    </xf>
    <xf numFmtId="0" fontId="17" fillId="19" borderId="12" xfId="26" applyFont="1" applyFill="1" applyBorder="1" applyAlignment="1">
      <alignment horizontal="center"/>
      <protection/>
    </xf>
    <xf numFmtId="0" fontId="17" fillId="19" borderId="10" xfId="26" applyFont="1" applyFill="1" applyBorder="1" applyAlignment="1">
      <alignment horizontal="center"/>
      <protection/>
    </xf>
    <xf numFmtId="0" fontId="17" fillId="19" borderId="11" xfId="26" applyFont="1" applyFill="1" applyBorder="1" applyAlignment="1">
      <alignment horizontal="center"/>
      <protection/>
    </xf>
    <xf numFmtId="0" fontId="17" fillId="0" borderId="12"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17" fillId="11" borderId="62" xfId="24" applyFont="1" applyFill="1" applyBorder="1" applyAlignment="1">
      <alignment horizontal="center"/>
      <protection/>
    </xf>
    <xf numFmtId="0" fontId="17" fillId="11" borderId="72" xfId="24" applyFont="1" applyFill="1" applyBorder="1" applyAlignment="1">
      <alignment horizontal="center"/>
      <protection/>
    </xf>
    <xf numFmtId="0" fontId="17" fillId="11" borderId="12" xfId="26" applyFont="1" applyFill="1" applyBorder="1" applyAlignment="1">
      <alignment horizontal="center"/>
      <protection/>
    </xf>
    <xf numFmtId="0" fontId="17" fillId="11" borderId="38" xfId="26" applyFont="1" applyFill="1" applyBorder="1" applyAlignment="1" quotePrefix="1">
      <alignment horizontal="center"/>
      <protection/>
    </xf>
    <xf numFmtId="0" fontId="17" fillId="11" borderId="12" xfId="24" applyFont="1" applyFill="1" applyBorder="1" applyAlignment="1">
      <alignment horizontal="center"/>
      <protection/>
    </xf>
    <xf numFmtId="0" fontId="17" fillId="11" borderId="11" xfId="24" applyFont="1" applyFill="1" applyBorder="1" applyAlignment="1">
      <alignment horizontal="center"/>
      <protection/>
    </xf>
    <xf numFmtId="0" fontId="17" fillId="11" borderId="10" xfId="24" applyFont="1" applyFill="1" applyBorder="1" applyAlignment="1">
      <alignment horizontal="center"/>
      <protection/>
    </xf>
    <xf numFmtId="0" fontId="17" fillId="12" borderId="12" xfId="0" applyFont="1" applyFill="1" applyBorder="1" applyAlignment="1">
      <alignment horizontal="center"/>
    </xf>
    <xf numFmtId="0" fontId="17" fillId="12" borderId="10" xfId="0" applyFont="1" applyFill="1" applyBorder="1" applyAlignment="1">
      <alignment horizontal="center"/>
    </xf>
    <xf numFmtId="0" fontId="17" fillId="12" borderId="11" xfId="0" applyFont="1" applyFill="1" applyBorder="1" applyAlignment="1">
      <alignment horizontal="center"/>
    </xf>
    <xf numFmtId="1" fontId="17" fillId="14" borderId="69" xfId="0" applyNumberFormat="1" applyFont="1" applyFill="1" applyBorder="1" applyAlignment="1">
      <alignment horizontal="center" wrapText="1"/>
    </xf>
    <xf numFmtId="0" fontId="17" fillId="14" borderId="49" xfId="0" applyFont="1" applyFill="1" applyBorder="1" applyAlignment="1">
      <alignment horizontal="center" wrapText="1"/>
    </xf>
    <xf numFmtId="1" fontId="17" fillId="14" borderId="38" xfId="0" applyNumberFormat="1" applyFont="1" applyFill="1" applyBorder="1" applyAlignment="1">
      <alignment horizontal="center" wrapText="1"/>
    </xf>
    <xf numFmtId="0" fontId="17" fillId="14" borderId="15" xfId="0" applyFont="1" applyFill="1" applyBorder="1" applyAlignment="1">
      <alignment horizontal="center" wrapText="1"/>
    </xf>
    <xf numFmtId="0" fontId="17" fillId="15" borderId="12" xfId="0" applyFont="1" applyFill="1" applyBorder="1" applyAlignment="1">
      <alignment horizontal="center" wrapText="1"/>
    </xf>
    <xf numFmtId="0" fontId="17" fillId="15" borderId="10" xfId="0" applyFont="1" applyFill="1" applyBorder="1" applyAlignment="1">
      <alignment horizontal="center" wrapText="1"/>
    </xf>
    <xf numFmtId="0" fontId="17" fillId="15" borderId="11" xfId="0" applyFont="1" applyFill="1" applyBorder="1" applyAlignment="1">
      <alignment horizontal="center" wrapText="1"/>
    </xf>
    <xf numFmtId="1" fontId="17" fillId="14" borderId="24" xfId="34" applyNumberFormat="1" applyFont="1" applyFill="1" applyBorder="1" applyAlignment="1">
      <alignment horizontal="center"/>
      <protection/>
    </xf>
    <xf numFmtId="0" fontId="17" fillId="14" borderId="29" xfId="34" applyFont="1" applyFill="1" applyBorder="1" applyAlignment="1">
      <alignment horizontal="center"/>
      <protection/>
    </xf>
    <xf numFmtId="1" fontId="17" fillId="14" borderId="24" xfId="34" applyNumberFormat="1" applyFont="1" applyFill="1" applyBorder="1" applyAlignment="1" quotePrefix="1">
      <alignment horizontal="center" wrapText="1"/>
      <protection/>
    </xf>
    <xf numFmtId="1" fontId="17" fillId="14" borderId="29" xfId="34" applyNumberFormat="1" applyFont="1" applyFill="1" applyBorder="1" applyAlignment="1" quotePrefix="1">
      <alignment horizontal="center" wrapText="1"/>
      <protection/>
    </xf>
    <xf numFmtId="1" fontId="17" fillId="14" borderId="12" xfId="34" applyNumberFormat="1" applyFont="1" applyFill="1" applyBorder="1" applyAlignment="1" quotePrefix="1">
      <alignment horizontal="center" wrapText="1"/>
      <protection/>
    </xf>
    <xf numFmtId="1" fontId="17" fillId="14" borderId="10" xfId="34" applyNumberFormat="1" applyFont="1" applyFill="1" applyBorder="1" applyAlignment="1" quotePrefix="1">
      <alignment horizontal="center" wrapText="1"/>
      <protection/>
    </xf>
    <xf numFmtId="1" fontId="17" fillId="14" borderId="11" xfId="34" applyNumberFormat="1" applyFont="1" applyFill="1" applyBorder="1" applyAlignment="1" quotePrefix="1">
      <alignment horizontal="center" wrapText="1"/>
      <protection/>
    </xf>
    <xf numFmtId="1" fontId="17" fillId="14" borderId="73" xfId="34" applyNumberFormat="1" applyFont="1" applyFill="1" applyBorder="1" applyAlignment="1" quotePrefix="1">
      <alignment horizontal="center" wrapText="1"/>
      <protection/>
    </xf>
    <xf numFmtId="1" fontId="17" fillId="14" borderId="73" xfId="34" applyNumberFormat="1" applyFont="1" applyFill="1" applyBorder="1" applyAlignment="1">
      <alignment horizontal="center" wrapText="1"/>
      <protection/>
    </xf>
    <xf numFmtId="1" fontId="17" fillId="14" borderId="10" xfId="34" applyNumberFormat="1" applyFont="1" applyFill="1" applyBorder="1" applyAlignment="1">
      <alignment horizontal="center" wrapText="1"/>
      <protection/>
    </xf>
    <xf numFmtId="1" fontId="17" fillId="14" borderId="74" xfId="34" applyNumberFormat="1" applyFont="1" applyFill="1" applyBorder="1" applyAlignment="1">
      <alignment horizontal="center" wrapText="1"/>
      <protection/>
    </xf>
    <xf numFmtId="0" fontId="17" fillId="11" borderId="68" xfId="0" applyFont="1" applyFill="1" applyBorder="1" applyAlignment="1">
      <alignment horizontal="center"/>
    </xf>
    <xf numFmtId="0" fontId="17" fillId="11" borderId="75" xfId="0" applyFont="1" applyFill="1" applyBorder="1" applyAlignment="1">
      <alignment horizontal="center"/>
    </xf>
    <xf numFmtId="0" fontId="17" fillId="11" borderId="76" xfId="0" applyFont="1" applyFill="1" applyBorder="1" applyAlignment="1">
      <alignment horizontal="center"/>
    </xf>
    <xf numFmtId="0" fontId="17" fillId="14" borderId="12" xfId="0" applyFont="1" applyFill="1" applyBorder="1" applyAlignment="1">
      <alignment/>
    </xf>
    <xf numFmtId="0" fontId="17" fillId="14" borderId="10" xfId="0" applyFont="1" applyFill="1" applyBorder="1" applyAlignment="1">
      <alignment/>
    </xf>
    <xf numFmtId="0" fontId="17" fillId="14" borderId="11" xfId="0" applyFont="1" applyFill="1" applyBorder="1" applyAlignment="1">
      <alignment/>
    </xf>
    <xf numFmtId="0" fontId="17" fillId="12" borderId="38" xfId="0" applyFont="1" applyFill="1" applyBorder="1" applyAlignment="1">
      <alignment horizontal="left" wrapText="1"/>
    </xf>
    <xf numFmtId="0" fontId="17" fillId="12" borderId="14" xfId="0" applyFont="1" applyFill="1" applyBorder="1" applyAlignment="1">
      <alignment horizontal="left" wrapText="1"/>
    </xf>
    <xf numFmtId="0" fontId="17" fillId="12" borderId="15" xfId="0" applyFont="1" applyFill="1" applyBorder="1" applyAlignment="1">
      <alignment horizontal="left" wrapText="1"/>
    </xf>
    <xf numFmtId="0" fontId="17" fillId="12" borderId="62" xfId="0" applyFont="1" applyFill="1" applyBorder="1" applyAlignment="1">
      <alignment horizontal="left" wrapText="1"/>
    </xf>
    <xf numFmtId="0" fontId="17" fillId="12" borderId="72" xfId="0" applyFont="1" applyFill="1" applyBorder="1" applyAlignment="1">
      <alignment horizontal="left" wrapText="1"/>
    </xf>
    <xf numFmtId="0" fontId="17" fillId="12" borderId="66" xfId="0" applyFont="1" applyFill="1" applyBorder="1" applyAlignment="1">
      <alignment horizontal="left" wrapText="1"/>
    </xf>
    <xf numFmtId="1" fontId="17" fillId="14" borderId="25" xfId="34" applyNumberFormat="1" applyFont="1" applyFill="1" applyBorder="1" applyAlignment="1" quotePrefix="1">
      <alignment horizontal="center" wrapText="1"/>
      <protection/>
    </xf>
    <xf numFmtId="0" fontId="17" fillId="15" borderId="12" xfId="24" applyFont="1" applyFill="1" applyBorder="1" applyAlignment="1">
      <alignment horizontal="center" wrapText="1"/>
      <protection/>
    </xf>
    <xf numFmtId="0" fontId="17" fillId="15" borderId="10" xfId="24" applyFont="1" applyFill="1" applyBorder="1" applyAlignment="1">
      <alignment horizontal="center" wrapText="1"/>
      <protection/>
    </xf>
    <xf numFmtId="0" fontId="17" fillId="15" borderId="11" xfId="24" applyFont="1" applyFill="1" applyBorder="1" applyAlignment="1">
      <alignment horizontal="center" wrapText="1"/>
      <protection/>
    </xf>
    <xf numFmtId="1" fontId="17" fillId="14" borderId="12" xfId="34" applyNumberFormat="1" applyFont="1" applyFill="1" applyBorder="1" applyAlignment="1">
      <alignment horizontal="center" wrapText="1"/>
      <protection/>
    </xf>
    <xf numFmtId="0" fontId="17" fillId="18" borderId="12" xfId="0" applyFont="1" applyFill="1" applyBorder="1" applyAlignment="1">
      <alignment horizontal="left"/>
    </xf>
    <xf numFmtId="0" fontId="17" fillId="18" borderId="10" xfId="0" applyFont="1" applyFill="1" applyBorder="1" applyAlignment="1">
      <alignment horizontal="left"/>
    </xf>
    <xf numFmtId="0" fontId="17" fillId="18" borderId="11" xfId="0" applyFont="1" applyFill="1" applyBorder="1" applyAlignment="1">
      <alignment horizontal="left"/>
    </xf>
    <xf numFmtId="0" fontId="5" fillId="16" borderId="38" xfId="26" applyFont="1" applyFill="1" applyBorder="1" applyAlignment="1">
      <alignment horizontal="center"/>
      <protection/>
    </xf>
    <xf numFmtId="0" fontId="5" fillId="16" borderId="15" xfId="26" applyFont="1" applyFill="1" applyBorder="1" applyAlignment="1">
      <alignment horizontal="center"/>
      <protection/>
    </xf>
    <xf numFmtId="0" fontId="17" fillId="11" borderId="12" xfId="24" applyFont="1" applyFill="1" applyBorder="1" applyAlignment="1">
      <alignment horizontal="left" wrapText="1"/>
      <protection/>
    </xf>
    <xf numFmtId="0" fontId="17" fillId="11" borderId="10" xfId="24" applyFont="1" applyFill="1" applyBorder="1" applyAlignment="1">
      <alignment horizontal="left" wrapText="1"/>
      <protection/>
    </xf>
    <xf numFmtId="0" fontId="17" fillId="11" borderId="11" xfId="24" applyFont="1" applyFill="1" applyBorder="1" applyAlignment="1">
      <alignment horizontal="left" wrapText="1"/>
      <protection/>
    </xf>
    <xf numFmtId="0" fontId="17" fillId="0" borderId="3" xfId="32" applyFont="1" applyBorder="1" applyAlignment="1">
      <alignment horizontal="center" vertical="center"/>
      <protection/>
    </xf>
    <xf numFmtId="0" fontId="0" fillId="0" borderId="3" xfId="32" applyBorder="1" applyAlignment="1">
      <alignment vertical="center"/>
      <protection/>
    </xf>
    <xf numFmtId="0" fontId="27" fillId="0" borderId="0" xfId="32" applyFont="1" applyAlignment="1">
      <alignment horizontal="left" vertical="center"/>
      <protection/>
    </xf>
    <xf numFmtId="0" fontId="0" fillId="0" borderId="0" xfId="32" applyAlignment="1">
      <alignment horizontal="left" vertical="center"/>
      <protection/>
    </xf>
    <xf numFmtId="0" fontId="17" fillId="11" borderId="3" xfId="32" applyFont="1" applyFill="1" applyBorder="1" applyAlignment="1">
      <alignment horizontal="center" vertical="center"/>
      <protection/>
    </xf>
    <xf numFmtId="0" fontId="0" fillId="11" borderId="3" xfId="32" applyFill="1" applyBorder="1" applyAlignment="1">
      <alignment vertical="center"/>
      <protection/>
    </xf>
    <xf numFmtId="0" fontId="17" fillId="0" borderId="5" xfId="32" applyFont="1" applyBorder="1" applyAlignment="1">
      <alignment horizontal="center" vertical="center"/>
      <protection/>
    </xf>
    <xf numFmtId="0" fontId="0" fillId="0" borderId="5" xfId="32" applyBorder="1" applyAlignment="1">
      <alignment vertical="center"/>
      <protection/>
    </xf>
    <xf numFmtId="0" fontId="17" fillId="11" borderId="7" xfId="32" applyFont="1" applyFill="1" applyBorder="1" applyAlignment="1">
      <alignment horizontal="center" vertical="center"/>
      <protection/>
    </xf>
    <xf numFmtId="0" fontId="0" fillId="11" borderId="7" xfId="32" applyFill="1" applyBorder="1" applyAlignment="1">
      <alignment vertical="center"/>
      <protection/>
    </xf>
    <xf numFmtId="0" fontId="17" fillId="0" borderId="4" xfId="32" applyFont="1" applyBorder="1" applyAlignment="1">
      <alignment horizontal="center" vertical="center"/>
      <protection/>
    </xf>
    <xf numFmtId="0" fontId="17" fillId="0" borderId="9" xfId="32" applyFont="1" applyBorder="1" applyAlignment="1">
      <alignment horizontal="center" vertical="center"/>
      <protection/>
    </xf>
    <xf numFmtId="0" fontId="17" fillId="11" borderId="4" xfId="32" applyFont="1" applyFill="1" applyBorder="1" applyAlignment="1">
      <alignment horizontal="center" vertical="center"/>
      <protection/>
    </xf>
    <xf numFmtId="0" fontId="0" fillId="0" borderId="9" xfId="32" applyBorder="1" applyAlignment="1">
      <alignment horizontal="center" vertical="center"/>
      <protection/>
    </xf>
    <xf numFmtId="171" fontId="17" fillId="0" borderId="3" xfId="32" applyNumberFormat="1" applyFont="1" applyBorder="1" applyAlignment="1">
      <alignment horizontal="center" vertical="center"/>
      <protection/>
    </xf>
    <xf numFmtId="171" fontId="0" fillId="0" borderId="3" xfId="32" applyNumberFormat="1" applyBorder="1" applyAlignment="1">
      <alignment vertical="center"/>
      <protection/>
    </xf>
  </cellXfs>
  <cellStyles count="22">
    <cellStyle name="Normal" xfId="0"/>
    <cellStyle name="Comma" xfId="15"/>
    <cellStyle name="Comma [0]" xfId="16"/>
    <cellStyle name="Currency" xfId="17"/>
    <cellStyle name="Currency [0]" xfId="18"/>
    <cellStyle name="Data Field" xfId="19"/>
    <cellStyle name="Data Name" xfId="20"/>
    <cellStyle name="Followed Hyperlink" xfId="21"/>
    <cellStyle name="Hyperlink" xfId="22"/>
    <cellStyle name="Normal_CEILINGU" xfId="23"/>
    <cellStyle name="Normal_ConMeasSingleFamily" xfId="24"/>
    <cellStyle name="Normal_Existing Multifamily" xfId="25"/>
    <cellStyle name="Normal_Existing SingleFamily" xfId="26"/>
    <cellStyle name="Normal_Multifamily Use" xfId="27"/>
    <cellStyle name="Normal_New Multifamily" xfId="28"/>
    <cellStyle name="Normal_New Single Family" xfId="29"/>
    <cellStyle name="Normal_ProCost Template" xfId="30"/>
    <cellStyle name="Normal_RESWXCST" xfId="31"/>
    <cellStyle name="Normal_ResWXCstPacPUD" xfId="32"/>
    <cellStyle name="Normal_ResWXCstUEC" xfId="33"/>
    <cellStyle name="Normal_T_Energy Use and Savings" xfId="34"/>
    <cellStyle name="Percen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ACEA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850 sqft UA vs Cumulative Cost</a:t>
            </a:r>
          </a:p>
        </c:rich>
      </c:tx>
      <c:layout/>
      <c:spPr>
        <a:noFill/>
        <a:ln>
          <a:noFill/>
        </a:ln>
      </c:spPr>
    </c:title>
    <c:plotArea>
      <c:layout/>
      <c:scatterChart>
        <c:scatterStyle val="lineMarker"/>
        <c:varyColors val="0"/>
        <c:ser>
          <c:idx val="1"/>
          <c:order val="0"/>
          <c:tx>
            <c:strRef>
              <c:f>'UA Optimizer'!$W$43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Optimizer'!$U$44:$U$56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'UA Optimizer'!$W$44:$W$56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40927444"/>
        <c:axId val="32802677"/>
      </c:scatterChart>
      <c:valAx>
        <c:axId val="40927444"/>
        <c:scaling>
          <c:orientation val="minMax"/>
        </c:scaling>
        <c:axPos val="b"/>
        <c:delete val="0"/>
        <c:numFmt formatCode="General" sourceLinked="1"/>
        <c:majorTickMark val="out"/>
        <c:minorTickMark val="none"/>
        <c:tickLblPos val="nextTo"/>
        <c:crossAx val="32802677"/>
        <c:crosses val="autoZero"/>
        <c:crossBetween val="midCat"/>
        <c:dispUnits/>
      </c:valAx>
      <c:valAx>
        <c:axId val="32802677"/>
        <c:scaling>
          <c:orientation val="minMax"/>
          <c:min val="0"/>
        </c:scaling>
        <c:axPos val="l"/>
        <c:majorGridlines/>
        <c:delete val="0"/>
        <c:numFmt formatCode="General" sourceLinked="1"/>
        <c:majorTickMark val="out"/>
        <c:minorTickMark val="none"/>
        <c:tickLblPos val="nextTo"/>
        <c:crossAx val="40927444"/>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Arial"/>
                <a:ea typeface="Arial"/>
                <a:cs typeface="Arial"/>
              </a:rPr>
              <a:t>1350 sqft UA vs Cumulative Cost</a:t>
            </a:r>
          </a:p>
        </c:rich>
      </c:tx>
      <c:layout/>
      <c:spPr>
        <a:noFill/>
        <a:ln>
          <a:noFill/>
        </a:ln>
      </c:spPr>
    </c:title>
    <c:plotArea>
      <c:layout/>
      <c:scatterChart>
        <c:scatterStyle val="lineMarker"/>
        <c:varyColors val="0"/>
        <c:ser>
          <c:idx val="0"/>
          <c:order val="0"/>
          <c:tx>
            <c:strRef>
              <c:f>'UA Optimizer'!$AC$43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0"/>
            </c:trendlineLbl>
          </c:trendline>
          <c:xVal>
            <c:numRef>
              <c:f>'UA Optimizer'!$AA$44:$AA$59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'UA Optimizer'!$AC$44:$AC$59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26788638"/>
        <c:axId val="39771151"/>
      </c:scatterChart>
      <c:valAx>
        <c:axId val="26788638"/>
        <c:scaling>
          <c:orientation val="minMax"/>
        </c:scaling>
        <c:axPos val="b"/>
        <c:delete val="0"/>
        <c:numFmt formatCode="General" sourceLinked="1"/>
        <c:majorTickMark val="out"/>
        <c:minorTickMark val="none"/>
        <c:tickLblPos val="nextTo"/>
        <c:crossAx val="39771151"/>
        <c:crosses val="autoZero"/>
        <c:crossBetween val="midCat"/>
        <c:dispUnits/>
      </c:valAx>
      <c:valAx>
        <c:axId val="39771151"/>
        <c:scaling>
          <c:orientation val="minMax"/>
          <c:min val="0"/>
        </c:scaling>
        <c:axPos val="l"/>
        <c:majorGridlines/>
        <c:delete val="0"/>
        <c:numFmt formatCode="General" sourceLinked="1"/>
        <c:majorTickMark val="out"/>
        <c:minorTickMark val="none"/>
        <c:tickLblPos val="nextTo"/>
        <c:crossAx val="2678863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0" i="0" u="none" baseline="0">
                <a:latin typeface="Arial"/>
                <a:ea typeface="Arial"/>
                <a:cs typeface="Arial"/>
              </a:rPr>
              <a:t>2184 sqft UA vs Cumulative Cost</a:t>
            </a:r>
          </a:p>
        </c:rich>
      </c:tx>
      <c:layout/>
      <c:spPr>
        <a:noFill/>
        <a:ln>
          <a:noFill/>
        </a:ln>
      </c:spPr>
    </c:title>
    <c:plotArea>
      <c:layout/>
      <c:scatterChart>
        <c:scatterStyle val="lineMarker"/>
        <c:varyColors val="0"/>
        <c:ser>
          <c:idx val="1"/>
          <c:order val="0"/>
          <c:tx>
            <c:strRef>
              <c:f>'UA Optimizer'!$AI$43</c:f>
              <c:strCache>
                <c:ptCount val="1"/>
                <c:pt idx="0">
                  <c:v>Cumulative Cost ($2000)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1"/>
            <c:dispRSqr val="1"/>
            <c:trendlineLbl>
              <c:layout>
                <c:manualLayout>
                  <c:x val="0"/>
                  <c:y val="0"/>
                </c:manualLayout>
              </c:layout>
              <c:numFmt formatCode="0.000000"/>
            </c:trendlineLbl>
          </c:trendline>
          <c:xVal>
            <c:numRef>
              <c:f>'UA Optimizer'!$AG$44:$AG$58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xVal>
          <c:yVal>
            <c:numRef>
              <c:f>'UA Optimizer'!$AI$44:$AI$58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ser>
        <c:axId val="22396040"/>
        <c:axId val="237769"/>
      </c:scatterChart>
      <c:valAx>
        <c:axId val="22396040"/>
        <c:scaling>
          <c:orientation val="minMax"/>
        </c:scaling>
        <c:axPos val="b"/>
        <c:delete val="0"/>
        <c:numFmt formatCode="General" sourceLinked="1"/>
        <c:majorTickMark val="out"/>
        <c:minorTickMark val="none"/>
        <c:tickLblPos val="nextTo"/>
        <c:crossAx val="237769"/>
        <c:crosses val="autoZero"/>
        <c:crossBetween val="midCat"/>
        <c:dispUnits/>
      </c:valAx>
      <c:valAx>
        <c:axId val="237769"/>
        <c:scaling>
          <c:orientation val="minMax"/>
          <c:min val="0"/>
        </c:scaling>
        <c:axPos val="l"/>
        <c:majorGridlines/>
        <c:delete val="0"/>
        <c:numFmt formatCode="General" sourceLinked="1"/>
        <c:majorTickMark val="out"/>
        <c:minorTickMark val="none"/>
        <c:tickLblPos val="nextTo"/>
        <c:crossAx val="2239604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
          <c:w val="0.949"/>
          <c:h val="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'Set Up Cost Analysis'!$I$7:$I$11</c:f>
              <c:numCache>
                <c:ptCount val="5"/>
                <c:pt idx="0">
                  <c:v>0</c:v>
                </c:pt>
                <c:pt idx="1">
                  <c:v>0</c:v>
                </c:pt>
                <c:pt idx="2">
                  <c:v>0</c:v>
                </c:pt>
                <c:pt idx="3">
                  <c:v>0</c:v>
                </c:pt>
                <c:pt idx="4">
                  <c:v>0</c:v>
                </c:pt>
              </c:numCache>
            </c:numRef>
          </c:xVal>
          <c:yVal>
            <c:numRef>
              <c:f>'Set Up Cost Analysis'!$J$7:$J$11</c:f>
              <c:numCache>
                <c:ptCount val="5"/>
                <c:pt idx="0">
                  <c:v>0</c:v>
                </c:pt>
                <c:pt idx="1">
                  <c:v>0</c:v>
                </c:pt>
                <c:pt idx="2">
                  <c:v>0</c:v>
                </c:pt>
                <c:pt idx="3">
                  <c:v>0</c:v>
                </c:pt>
                <c:pt idx="4">
                  <c:v>0</c:v>
                </c:pt>
              </c:numCache>
            </c:numRef>
          </c:yVal>
          <c:smooth val="0"/>
        </c:ser>
        <c:axId val="2139922"/>
        <c:axId val="19259299"/>
      </c:scatterChart>
      <c:valAx>
        <c:axId val="2139922"/>
        <c:scaling>
          <c:orientation val="minMax"/>
        </c:scaling>
        <c:axPos val="b"/>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19259299"/>
        <c:crosses val="autoZero"/>
        <c:crossBetween val="midCat"/>
        <c:dispUnits/>
      </c:valAx>
      <c:valAx>
        <c:axId val="19259299"/>
        <c:scaling>
          <c:orientation val="minMax"/>
        </c:scaling>
        <c:axPos val="l"/>
        <c:majorGridlines/>
        <c:delete val="0"/>
        <c:numFmt formatCode="General" sourceLinked="1"/>
        <c:majorTickMark val="out"/>
        <c:minorTickMark val="none"/>
        <c:tickLblPos val="nextTo"/>
        <c:txPr>
          <a:bodyPr/>
          <a:lstStyle/>
          <a:p>
            <a:pPr>
              <a:defRPr lang="en-US" cap="none" sz="850" b="1" i="0" u="none" baseline="0">
                <a:latin typeface="Arial"/>
                <a:ea typeface="Arial"/>
                <a:cs typeface="Arial"/>
              </a:defRPr>
            </a:pPr>
          </a:p>
        </c:txPr>
        <c:crossAx val="2139922"/>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9.emf" /><Relationship Id="rId4" Type="http://schemas.openxmlformats.org/officeDocument/2006/relationships/image" Target="../media/image14.emf" /><Relationship Id="rId5" Type="http://schemas.openxmlformats.org/officeDocument/2006/relationships/image" Target="../media/image5.emf" /><Relationship Id="rId6" Type="http://schemas.openxmlformats.org/officeDocument/2006/relationships/image" Target="../media/image2.emf" /><Relationship Id="rId7" Type="http://schemas.openxmlformats.org/officeDocument/2006/relationships/image" Target="../media/image10.emf" /><Relationship Id="rId8" Type="http://schemas.openxmlformats.org/officeDocument/2006/relationships/image" Target="../media/image15.emf" /><Relationship Id="rId9" Type="http://schemas.openxmlformats.org/officeDocument/2006/relationships/image" Target="../media/image1.emf" /><Relationship Id="rId10" Type="http://schemas.openxmlformats.org/officeDocument/2006/relationships/image" Target="../media/image11.emf" /><Relationship Id="rId11" Type="http://schemas.openxmlformats.org/officeDocument/2006/relationships/image" Target="../media/image3.emf" /><Relationship Id="rId12" Type="http://schemas.openxmlformats.org/officeDocument/2006/relationships/image" Target="../media/image8.emf" /><Relationship Id="rId13" Type="http://schemas.openxmlformats.org/officeDocument/2006/relationships/image" Target="../media/image4.emf" /><Relationship Id="rId14" Type="http://schemas.openxmlformats.org/officeDocument/2006/relationships/image" Target="../media/image6.emf" /><Relationship Id="rId15"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30</xdr:row>
      <xdr:rowOff>104775</xdr:rowOff>
    </xdr:from>
    <xdr:to>
      <xdr:col>3</xdr:col>
      <xdr:colOff>19050</xdr:colOff>
      <xdr:row>32</xdr:row>
      <xdr:rowOff>0</xdr:rowOff>
    </xdr:to>
    <xdr:pic>
      <xdr:nvPicPr>
        <xdr:cNvPr id="1" name="CommandButton1"/>
        <xdr:cNvPicPr preferRelativeResize="1">
          <a:picLocks noChangeAspect="1"/>
        </xdr:cNvPicPr>
      </xdr:nvPicPr>
      <xdr:blipFill>
        <a:blip r:embed="rId1"/>
        <a:stretch>
          <a:fillRect/>
        </a:stretch>
      </xdr:blipFill>
      <xdr:spPr>
        <a:xfrm>
          <a:off x="2200275" y="5943600"/>
          <a:ext cx="752475" cy="238125"/>
        </a:xfrm>
        <a:prstGeom prst="rect">
          <a:avLst/>
        </a:prstGeom>
        <a:noFill/>
        <a:ln w="9525" cmpd="sng">
          <a:noFill/>
        </a:ln>
      </xdr:spPr>
    </xdr:pic>
    <xdr:clientData/>
  </xdr:twoCellAnchor>
  <xdr:twoCellAnchor editAs="oneCell">
    <xdr:from>
      <xdr:col>4</xdr:col>
      <xdr:colOff>9525</xdr:colOff>
      <xdr:row>20</xdr:row>
      <xdr:rowOff>0</xdr:rowOff>
    </xdr:from>
    <xdr:to>
      <xdr:col>5</xdr:col>
      <xdr:colOff>104775</xdr:colOff>
      <xdr:row>20</xdr:row>
      <xdr:rowOff>466725</xdr:rowOff>
    </xdr:to>
    <xdr:pic>
      <xdr:nvPicPr>
        <xdr:cNvPr id="2" name="CommandButton3"/>
        <xdr:cNvPicPr preferRelativeResize="1">
          <a:picLocks noChangeAspect="1"/>
        </xdr:cNvPicPr>
      </xdr:nvPicPr>
      <xdr:blipFill>
        <a:blip r:embed="rId2"/>
        <a:stretch>
          <a:fillRect/>
        </a:stretch>
      </xdr:blipFill>
      <xdr:spPr>
        <a:xfrm>
          <a:off x="5362575" y="3771900"/>
          <a:ext cx="533400" cy="466725"/>
        </a:xfrm>
        <a:prstGeom prst="rect">
          <a:avLst/>
        </a:prstGeom>
        <a:noFill/>
        <a:ln w="9525" cmpd="sng">
          <a:noFill/>
        </a:ln>
      </xdr:spPr>
    </xdr:pic>
    <xdr:clientData/>
  </xdr:twoCellAnchor>
  <xdr:twoCellAnchor>
    <xdr:from>
      <xdr:col>1</xdr:col>
      <xdr:colOff>9525</xdr:colOff>
      <xdr:row>22</xdr:row>
      <xdr:rowOff>0</xdr:rowOff>
    </xdr:from>
    <xdr:to>
      <xdr:col>5</xdr:col>
      <xdr:colOff>9525</xdr:colOff>
      <xdr:row>23</xdr:row>
      <xdr:rowOff>9525</xdr:rowOff>
    </xdr:to>
    <xdr:pic>
      <xdr:nvPicPr>
        <xdr:cNvPr id="3" name="ComboBox4"/>
        <xdr:cNvPicPr preferRelativeResize="1">
          <a:picLocks noChangeAspect="1"/>
        </xdr:cNvPicPr>
      </xdr:nvPicPr>
      <xdr:blipFill>
        <a:blip r:embed="rId3"/>
        <a:stretch>
          <a:fillRect/>
        </a:stretch>
      </xdr:blipFill>
      <xdr:spPr>
        <a:xfrm>
          <a:off x="1847850" y="4429125"/>
          <a:ext cx="3952875" cy="190500"/>
        </a:xfrm>
        <a:prstGeom prst="rect">
          <a:avLst/>
        </a:prstGeom>
        <a:noFill/>
        <a:ln w="0" cmpd="sng">
          <a:noFill/>
        </a:ln>
      </xdr:spPr>
    </xdr:pic>
    <xdr:clientData/>
  </xdr:twoCellAnchor>
  <xdr:twoCellAnchor editAs="oneCell">
    <xdr:from>
      <xdr:col>4</xdr:col>
      <xdr:colOff>0</xdr:colOff>
      <xdr:row>5</xdr:row>
      <xdr:rowOff>180975</xdr:rowOff>
    </xdr:from>
    <xdr:to>
      <xdr:col>5</xdr:col>
      <xdr:colOff>9525</xdr:colOff>
      <xdr:row>7</xdr:row>
      <xdr:rowOff>0</xdr:rowOff>
    </xdr:to>
    <xdr:pic>
      <xdr:nvPicPr>
        <xdr:cNvPr id="4" name="CommandButton4"/>
        <xdr:cNvPicPr preferRelativeResize="1">
          <a:picLocks noChangeAspect="1"/>
        </xdr:cNvPicPr>
      </xdr:nvPicPr>
      <xdr:blipFill>
        <a:blip r:embed="rId4"/>
        <a:stretch>
          <a:fillRect/>
        </a:stretch>
      </xdr:blipFill>
      <xdr:spPr>
        <a:xfrm>
          <a:off x="5353050" y="1133475"/>
          <a:ext cx="447675" cy="200025"/>
        </a:xfrm>
        <a:prstGeom prst="rect">
          <a:avLst/>
        </a:prstGeom>
        <a:noFill/>
        <a:ln w="9525" cmpd="sng">
          <a:noFill/>
        </a:ln>
      </xdr:spPr>
    </xdr:pic>
    <xdr:clientData/>
  </xdr:twoCellAnchor>
  <xdr:twoCellAnchor>
    <xdr:from>
      <xdr:col>1</xdr:col>
      <xdr:colOff>9525</xdr:colOff>
      <xdr:row>21</xdr:row>
      <xdr:rowOff>0</xdr:rowOff>
    </xdr:from>
    <xdr:to>
      <xdr:col>5</xdr:col>
      <xdr:colOff>0</xdr:colOff>
      <xdr:row>22</xdr:row>
      <xdr:rowOff>19050</xdr:rowOff>
    </xdr:to>
    <xdr:pic>
      <xdr:nvPicPr>
        <xdr:cNvPr id="5" name="ComboBox3"/>
        <xdr:cNvPicPr preferRelativeResize="1">
          <a:picLocks noChangeAspect="1"/>
        </xdr:cNvPicPr>
      </xdr:nvPicPr>
      <xdr:blipFill>
        <a:blip r:embed="rId5"/>
        <a:stretch>
          <a:fillRect/>
        </a:stretch>
      </xdr:blipFill>
      <xdr:spPr>
        <a:xfrm>
          <a:off x="1847850" y="4248150"/>
          <a:ext cx="3943350" cy="200025"/>
        </a:xfrm>
        <a:prstGeom prst="rect">
          <a:avLst/>
        </a:prstGeom>
        <a:noFill/>
        <a:ln w="9525" cmpd="sng">
          <a:noFill/>
        </a:ln>
      </xdr:spPr>
    </xdr:pic>
    <xdr:clientData/>
  </xdr:twoCellAnchor>
  <xdr:twoCellAnchor>
    <xdr:from>
      <xdr:col>4</xdr:col>
      <xdr:colOff>0</xdr:colOff>
      <xdr:row>10</xdr:row>
      <xdr:rowOff>0</xdr:rowOff>
    </xdr:from>
    <xdr:to>
      <xdr:col>5</xdr:col>
      <xdr:colOff>9525</xdr:colOff>
      <xdr:row>11</xdr:row>
      <xdr:rowOff>28575</xdr:rowOff>
    </xdr:to>
    <xdr:pic>
      <xdr:nvPicPr>
        <xdr:cNvPr id="6" name="CheckBox2"/>
        <xdr:cNvPicPr preferRelativeResize="1">
          <a:picLocks noChangeAspect="1"/>
        </xdr:cNvPicPr>
      </xdr:nvPicPr>
      <xdr:blipFill>
        <a:blip r:embed="rId6"/>
        <a:stretch>
          <a:fillRect/>
        </a:stretch>
      </xdr:blipFill>
      <xdr:spPr>
        <a:xfrm>
          <a:off x="5353050" y="1905000"/>
          <a:ext cx="447675" cy="219075"/>
        </a:xfrm>
        <a:prstGeom prst="rect">
          <a:avLst/>
        </a:prstGeom>
        <a:noFill/>
        <a:ln w="9525" cmpd="sng">
          <a:noFill/>
        </a:ln>
      </xdr:spPr>
    </xdr:pic>
    <xdr:clientData/>
  </xdr:twoCellAnchor>
  <xdr:twoCellAnchor>
    <xdr:from>
      <xdr:col>4</xdr:col>
      <xdr:colOff>0</xdr:colOff>
      <xdr:row>11</xdr:row>
      <xdr:rowOff>0</xdr:rowOff>
    </xdr:from>
    <xdr:to>
      <xdr:col>5</xdr:col>
      <xdr:colOff>9525</xdr:colOff>
      <xdr:row>12</xdr:row>
      <xdr:rowOff>28575</xdr:rowOff>
    </xdr:to>
    <xdr:pic>
      <xdr:nvPicPr>
        <xdr:cNvPr id="7" name="CheckBox5"/>
        <xdr:cNvPicPr preferRelativeResize="1">
          <a:picLocks noChangeAspect="1"/>
        </xdr:cNvPicPr>
      </xdr:nvPicPr>
      <xdr:blipFill>
        <a:blip r:embed="rId6"/>
        <a:stretch>
          <a:fillRect/>
        </a:stretch>
      </xdr:blipFill>
      <xdr:spPr>
        <a:xfrm>
          <a:off x="5353050" y="2095500"/>
          <a:ext cx="447675" cy="219075"/>
        </a:xfrm>
        <a:prstGeom prst="rect">
          <a:avLst/>
        </a:prstGeom>
        <a:noFill/>
        <a:ln w="9525" cmpd="sng">
          <a:noFill/>
        </a:ln>
      </xdr:spPr>
    </xdr:pic>
    <xdr:clientData/>
  </xdr:twoCellAnchor>
  <xdr:twoCellAnchor>
    <xdr:from>
      <xdr:col>4</xdr:col>
      <xdr:colOff>0</xdr:colOff>
      <xdr:row>12</xdr:row>
      <xdr:rowOff>0</xdr:rowOff>
    </xdr:from>
    <xdr:to>
      <xdr:col>5</xdr:col>
      <xdr:colOff>9525</xdr:colOff>
      <xdr:row>13</xdr:row>
      <xdr:rowOff>28575</xdr:rowOff>
    </xdr:to>
    <xdr:pic>
      <xdr:nvPicPr>
        <xdr:cNvPr id="8" name="CheckBox6"/>
        <xdr:cNvPicPr preferRelativeResize="1">
          <a:picLocks noChangeAspect="1"/>
        </xdr:cNvPicPr>
      </xdr:nvPicPr>
      <xdr:blipFill>
        <a:blip r:embed="rId7"/>
        <a:stretch>
          <a:fillRect/>
        </a:stretch>
      </xdr:blipFill>
      <xdr:spPr>
        <a:xfrm>
          <a:off x="5353050" y="2286000"/>
          <a:ext cx="447675" cy="219075"/>
        </a:xfrm>
        <a:prstGeom prst="rect">
          <a:avLst/>
        </a:prstGeom>
        <a:noFill/>
        <a:ln w="9525" cmpd="sng">
          <a:noFill/>
        </a:ln>
      </xdr:spPr>
    </xdr:pic>
    <xdr:clientData/>
  </xdr:twoCellAnchor>
  <xdr:twoCellAnchor>
    <xdr:from>
      <xdr:col>4</xdr:col>
      <xdr:colOff>0</xdr:colOff>
      <xdr:row>13</xdr:row>
      <xdr:rowOff>0</xdr:rowOff>
    </xdr:from>
    <xdr:to>
      <xdr:col>5</xdr:col>
      <xdr:colOff>9525</xdr:colOff>
      <xdr:row>14</xdr:row>
      <xdr:rowOff>9525</xdr:rowOff>
    </xdr:to>
    <xdr:pic>
      <xdr:nvPicPr>
        <xdr:cNvPr id="9" name="CheckBox7"/>
        <xdr:cNvPicPr preferRelativeResize="1">
          <a:picLocks noChangeAspect="1"/>
        </xdr:cNvPicPr>
      </xdr:nvPicPr>
      <xdr:blipFill>
        <a:blip r:embed="rId7"/>
        <a:stretch>
          <a:fillRect/>
        </a:stretch>
      </xdr:blipFill>
      <xdr:spPr>
        <a:xfrm>
          <a:off x="5353050" y="2476500"/>
          <a:ext cx="447675" cy="200025"/>
        </a:xfrm>
        <a:prstGeom prst="rect">
          <a:avLst/>
        </a:prstGeom>
        <a:noFill/>
        <a:ln w="9525" cmpd="sng">
          <a:noFill/>
        </a:ln>
      </xdr:spPr>
    </xdr:pic>
    <xdr:clientData/>
  </xdr:twoCellAnchor>
  <xdr:twoCellAnchor>
    <xdr:from>
      <xdr:col>4</xdr:col>
      <xdr:colOff>0</xdr:colOff>
      <xdr:row>14</xdr:row>
      <xdr:rowOff>0</xdr:rowOff>
    </xdr:from>
    <xdr:to>
      <xdr:col>5</xdr:col>
      <xdr:colOff>9525</xdr:colOff>
      <xdr:row>15</xdr:row>
      <xdr:rowOff>28575</xdr:rowOff>
    </xdr:to>
    <xdr:pic>
      <xdr:nvPicPr>
        <xdr:cNvPr id="10" name="CheckBox8"/>
        <xdr:cNvPicPr preferRelativeResize="1">
          <a:picLocks noChangeAspect="1"/>
        </xdr:cNvPicPr>
      </xdr:nvPicPr>
      <xdr:blipFill>
        <a:blip r:embed="rId7"/>
        <a:stretch>
          <a:fillRect/>
        </a:stretch>
      </xdr:blipFill>
      <xdr:spPr>
        <a:xfrm>
          <a:off x="5353050" y="2667000"/>
          <a:ext cx="447675" cy="209550"/>
        </a:xfrm>
        <a:prstGeom prst="rect">
          <a:avLst/>
        </a:prstGeom>
        <a:noFill/>
        <a:ln w="9525" cmpd="sng">
          <a:noFill/>
        </a:ln>
      </xdr:spPr>
    </xdr:pic>
    <xdr:clientData/>
  </xdr:twoCellAnchor>
  <xdr:twoCellAnchor>
    <xdr:from>
      <xdr:col>4</xdr:col>
      <xdr:colOff>0</xdr:colOff>
      <xdr:row>15</xdr:row>
      <xdr:rowOff>0</xdr:rowOff>
    </xdr:from>
    <xdr:to>
      <xdr:col>5</xdr:col>
      <xdr:colOff>9525</xdr:colOff>
      <xdr:row>16</xdr:row>
      <xdr:rowOff>28575</xdr:rowOff>
    </xdr:to>
    <xdr:pic>
      <xdr:nvPicPr>
        <xdr:cNvPr id="11" name="CheckBox9"/>
        <xdr:cNvPicPr preferRelativeResize="1">
          <a:picLocks noChangeAspect="1"/>
        </xdr:cNvPicPr>
      </xdr:nvPicPr>
      <xdr:blipFill>
        <a:blip r:embed="rId7"/>
        <a:stretch>
          <a:fillRect/>
        </a:stretch>
      </xdr:blipFill>
      <xdr:spPr>
        <a:xfrm>
          <a:off x="5353050" y="2847975"/>
          <a:ext cx="447675" cy="209550"/>
        </a:xfrm>
        <a:prstGeom prst="rect">
          <a:avLst/>
        </a:prstGeom>
        <a:noFill/>
        <a:ln w="9525" cmpd="sng">
          <a:noFill/>
        </a:ln>
      </xdr:spPr>
    </xdr:pic>
    <xdr:clientData/>
  </xdr:twoCellAnchor>
  <xdr:twoCellAnchor>
    <xdr:from>
      <xdr:col>4</xdr:col>
      <xdr:colOff>0</xdr:colOff>
      <xdr:row>16</xdr:row>
      <xdr:rowOff>0</xdr:rowOff>
    </xdr:from>
    <xdr:to>
      <xdr:col>5</xdr:col>
      <xdr:colOff>9525</xdr:colOff>
      <xdr:row>17</xdr:row>
      <xdr:rowOff>9525</xdr:rowOff>
    </xdr:to>
    <xdr:pic>
      <xdr:nvPicPr>
        <xdr:cNvPr id="12" name="CheckBox10"/>
        <xdr:cNvPicPr preferRelativeResize="1">
          <a:picLocks noChangeAspect="1"/>
        </xdr:cNvPicPr>
      </xdr:nvPicPr>
      <xdr:blipFill>
        <a:blip r:embed="rId8"/>
        <a:stretch>
          <a:fillRect/>
        </a:stretch>
      </xdr:blipFill>
      <xdr:spPr>
        <a:xfrm>
          <a:off x="5353050" y="3028950"/>
          <a:ext cx="447675" cy="190500"/>
        </a:xfrm>
        <a:prstGeom prst="rect">
          <a:avLst/>
        </a:prstGeom>
        <a:noFill/>
        <a:ln w="9525" cmpd="sng">
          <a:noFill/>
        </a:ln>
      </xdr:spPr>
    </xdr:pic>
    <xdr:clientData/>
  </xdr:twoCellAnchor>
  <xdr:twoCellAnchor>
    <xdr:from>
      <xdr:col>4</xdr:col>
      <xdr:colOff>0</xdr:colOff>
      <xdr:row>9</xdr:row>
      <xdr:rowOff>0</xdr:rowOff>
    </xdr:from>
    <xdr:to>
      <xdr:col>5</xdr:col>
      <xdr:colOff>9525</xdr:colOff>
      <xdr:row>10</xdr:row>
      <xdr:rowOff>28575</xdr:rowOff>
    </xdr:to>
    <xdr:pic>
      <xdr:nvPicPr>
        <xdr:cNvPr id="13" name="CheckBox1"/>
        <xdr:cNvPicPr preferRelativeResize="1">
          <a:picLocks noChangeAspect="1"/>
        </xdr:cNvPicPr>
      </xdr:nvPicPr>
      <xdr:blipFill>
        <a:blip r:embed="rId9"/>
        <a:stretch>
          <a:fillRect/>
        </a:stretch>
      </xdr:blipFill>
      <xdr:spPr>
        <a:xfrm>
          <a:off x="5353050" y="1714500"/>
          <a:ext cx="447675" cy="219075"/>
        </a:xfrm>
        <a:prstGeom prst="rect">
          <a:avLst/>
        </a:prstGeom>
        <a:noFill/>
        <a:ln w="9525" cmpd="sng">
          <a:noFill/>
        </a:ln>
      </xdr:spPr>
    </xdr:pic>
    <xdr:clientData/>
  </xdr:twoCellAnchor>
  <xdr:twoCellAnchor>
    <xdr:from>
      <xdr:col>4</xdr:col>
      <xdr:colOff>0</xdr:colOff>
      <xdr:row>8</xdr:row>
      <xdr:rowOff>0</xdr:rowOff>
    </xdr:from>
    <xdr:to>
      <xdr:col>5</xdr:col>
      <xdr:colOff>9525</xdr:colOff>
      <xdr:row>9</xdr:row>
      <xdr:rowOff>28575</xdr:rowOff>
    </xdr:to>
    <xdr:pic>
      <xdr:nvPicPr>
        <xdr:cNvPr id="14" name="CheckBox3"/>
        <xdr:cNvPicPr preferRelativeResize="1">
          <a:picLocks noChangeAspect="1"/>
        </xdr:cNvPicPr>
      </xdr:nvPicPr>
      <xdr:blipFill>
        <a:blip r:embed="rId10"/>
        <a:stretch>
          <a:fillRect/>
        </a:stretch>
      </xdr:blipFill>
      <xdr:spPr>
        <a:xfrm>
          <a:off x="5353050" y="1524000"/>
          <a:ext cx="447675" cy="219075"/>
        </a:xfrm>
        <a:prstGeom prst="rect">
          <a:avLst/>
        </a:prstGeom>
        <a:noFill/>
        <a:ln w="9525" cmpd="sng">
          <a:noFill/>
        </a:ln>
      </xdr:spPr>
    </xdr:pic>
    <xdr:clientData/>
  </xdr:twoCellAnchor>
  <xdr:twoCellAnchor>
    <xdr:from>
      <xdr:col>4</xdr:col>
      <xdr:colOff>0</xdr:colOff>
      <xdr:row>7</xdr:row>
      <xdr:rowOff>0</xdr:rowOff>
    </xdr:from>
    <xdr:to>
      <xdr:col>5</xdr:col>
      <xdr:colOff>9525</xdr:colOff>
      <xdr:row>8</xdr:row>
      <xdr:rowOff>28575</xdr:rowOff>
    </xdr:to>
    <xdr:pic>
      <xdr:nvPicPr>
        <xdr:cNvPr id="15" name="CheckBox4"/>
        <xdr:cNvPicPr preferRelativeResize="1">
          <a:picLocks noChangeAspect="1"/>
        </xdr:cNvPicPr>
      </xdr:nvPicPr>
      <xdr:blipFill>
        <a:blip r:embed="rId11"/>
        <a:stretch>
          <a:fillRect/>
        </a:stretch>
      </xdr:blipFill>
      <xdr:spPr>
        <a:xfrm>
          <a:off x="5353050" y="1333500"/>
          <a:ext cx="447675"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485775</xdr:colOff>
      <xdr:row>7</xdr:row>
      <xdr:rowOff>0</xdr:rowOff>
    </xdr:to>
    <xdr:pic>
      <xdr:nvPicPr>
        <xdr:cNvPr id="16" name="OptionButton1"/>
        <xdr:cNvPicPr preferRelativeResize="1">
          <a:picLocks noChangeAspect="1"/>
        </xdr:cNvPicPr>
      </xdr:nvPicPr>
      <xdr:blipFill>
        <a:blip r:embed="rId12"/>
        <a:stretch>
          <a:fillRect/>
        </a:stretch>
      </xdr:blipFill>
      <xdr:spPr>
        <a:xfrm>
          <a:off x="5791200" y="1143000"/>
          <a:ext cx="485775" cy="190500"/>
        </a:xfrm>
        <a:prstGeom prst="rect">
          <a:avLst/>
        </a:prstGeom>
        <a:noFill/>
        <a:ln w="9525" cmpd="sng">
          <a:noFill/>
        </a:ln>
      </xdr:spPr>
    </xdr:pic>
    <xdr:clientData/>
  </xdr:twoCellAnchor>
  <xdr:twoCellAnchor editAs="oneCell">
    <xdr:from>
      <xdr:col>5</xdr:col>
      <xdr:colOff>0</xdr:colOff>
      <xdr:row>6</xdr:row>
      <xdr:rowOff>161925</xdr:rowOff>
    </xdr:from>
    <xdr:to>
      <xdr:col>5</xdr:col>
      <xdr:colOff>485775</xdr:colOff>
      <xdr:row>8</xdr:row>
      <xdr:rowOff>9525</xdr:rowOff>
    </xdr:to>
    <xdr:pic>
      <xdr:nvPicPr>
        <xdr:cNvPr id="17" name="OptionButton2"/>
        <xdr:cNvPicPr preferRelativeResize="1">
          <a:picLocks noChangeAspect="1"/>
        </xdr:cNvPicPr>
      </xdr:nvPicPr>
      <xdr:blipFill>
        <a:blip r:embed="rId13"/>
        <a:stretch>
          <a:fillRect/>
        </a:stretch>
      </xdr:blipFill>
      <xdr:spPr>
        <a:xfrm>
          <a:off x="5791200" y="1304925"/>
          <a:ext cx="485775" cy="228600"/>
        </a:xfrm>
        <a:prstGeom prst="rect">
          <a:avLst/>
        </a:prstGeom>
        <a:noFill/>
        <a:ln w="9525" cmpd="sng">
          <a:noFill/>
        </a:ln>
      </xdr:spPr>
    </xdr:pic>
    <xdr:clientData/>
  </xdr:twoCellAnchor>
  <xdr:twoCellAnchor editAs="oneCell">
    <xdr:from>
      <xdr:col>0</xdr:col>
      <xdr:colOff>504825</xdr:colOff>
      <xdr:row>30</xdr:row>
      <xdr:rowOff>66675</xdr:rowOff>
    </xdr:from>
    <xdr:to>
      <xdr:col>0</xdr:col>
      <xdr:colOff>1838325</xdr:colOff>
      <xdr:row>42</xdr:row>
      <xdr:rowOff>66675</xdr:rowOff>
    </xdr:to>
    <xdr:pic>
      <xdr:nvPicPr>
        <xdr:cNvPr id="18" name="Frame1"/>
        <xdr:cNvPicPr preferRelativeResize="1">
          <a:picLocks noChangeAspect="1"/>
        </xdr:cNvPicPr>
      </xdr:nvPicPr>
      <xdr:blipFill>
        <a:blip r:embed="rId14"/>
        <a:stretch>
          <a:fillRect/>
        </a:stretch>
      </xdr:blipFill>
      <xdr:spPr>
        <a:xfrm>
          <a:off x="504825" y="5905500"/>
          <a:ext cx="1333500" cy="2133600"/>
        </a:xfrm>
        <a:prstGeom prst="rect">
          <a:avLst/>
        </a:prstGeom>
        <a:noFill/>
        <a:ln w="9525" cmpd="sng">
          <a:noFill/>
        </a:ln>
      </xdr:spPr>
    </xdr:pic>
    <xdr:clientData/>
  </xdr:twoCellAnchor>
  <xdr:twoCellAnchor editAs="oneCell">
    <xdr:from>
      <xdr:col>7</xdr:col>
      <xdr:colOff>0</xdr:colOff>
      <xdr:row>6</xdr:row>
      <xdr:rowOff>9525</xdr:rowOff>
    </xdr:from>
    <xdr:to>
      <xdr:col>8</xdr:col>
      <xdr:colOff>0</xdr:colOff>
      <xdr:row>8</xdr:row>
      <xdr:rowOff>0</xdr:rowOff>
    </xdr:to>
    <xdr:pic>
      <xdr:nvPicPr>
        <xdr:cNvPr id="19" name="CommandButton1"/>
        <xdr:cNvPicPr preferRelativeResize="1">
          <a:picLocks noChangeAspect="1"/>
        </xdr:cNvPicPr>
      </xdr:nvPicPr>
      <xdr:blipFill>
        <a:blip r:embed="rId15"/>
        <a:stretch>
          <a:fillRect/>
        </a:stretch>
      </xdr:blipFill>
      <xdr:spPr>
        <a:xfrm>
          <a:off x="6915150" y="1152525"/>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1171575</xdr:colOff>
      <xdr:row>61</xdr:row>
      <xdr:rowOff>28575</xdr:rowOff>
    </xdr:from>
    <xdr:to>
      <xdr:col>23</xdr:col>
      <xdr:colOff>657225</xdr:colOff>
      <xdr:row>81</xdr:row>
      <xdr:rowOff>28575</xdr:rowOff>
    </xdr:to>
    <xdr:graphicFrame>
      <xdr:nvGraphicFramePr>
        <xdr:cNvPr id="1" name="Chart 7"/>
        <xdr:cNvGraphicFramePr/>
      </xdr:nvGraphicFramePr>
      <xdr:xfrm>
        <a:off x="21421725" y="10925175"/>
        <a:ext cx="6219825" cy="3324225"/>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61</xdr:row>
      <xdr:rowOff>0</xdr:rowOff>
    </xdr:from>
    <xdr:to>
      <xdr:col>31</xdr:col>
      <xdr:colOff>9525</xdr:colOff>
      <xdr:row>81</xdr:row>
      <xdr:rowOff>0</xdr:rowOff>
    </xdr:to>
    <xdr:graphicFrame>
      <xdr:nvGraphicFramePr>
        <xdr:cNvPr id="2" name="Chart 8"/>
        <xdr:cNvGraphicFramePr/>
      </xdr:nvGraphicFramePr>
      <xdr:xfrm>
        <a:off x="28336875" y="10896600"/>
        <a:ext cx="6096000" cy="3324225"/>
      </xdr:xfrm>
      <a:graphic>
        <a:graphicData uri="http://schemas.openxmlformats.org/drawingml/2006/chart">
          <c:chart xmlns:c="http://schemas.openxmlformats.org/drawingml/2006/chart" r:id="rId2"/>
        </a:graphicData>
      </a:graphic>
    </xdr:graphicFrame>
    <xdr:clientData/>
  </xdr:twoCellAnchor>
  <xdr:twoCellAnchor>
    <xdr:from>
      <xdr:col>31</xdr:col>
      <xdr:colOff>752475</xdr:colOff>
      <xdr:row>61</xdr:row>
      <xdr:rowOff>9525</xdr:rowOff>
    </xdr:from>
    <xdr:to>
      <xdr:col>39</xdr:col>
      <xdr:colOff>28575</xdr:colOff>
      <xdr:row>80</xdr:row>
      <xdr:rowOff>47625</xdr:rowOff>
    </xdr:to>
    <xdr:graphicFrame>
      <xdr:nvGraphicFramePr>
        <xdr:cNvPr id="3" name="Chart 9"/>
        <xdr:cNvGraphicFramePr/>
      </xdr:nvGraphicFramePr>
      <xdr:xfrm>
        <a:off x="35175825" y="10906125"/>
        <a:ext cx="6276975" cy="31908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16</xdr:row>
      <xdr:rowOff>38100</xdr:rowOff>
    </xdr:from>
    <xdr:to>
      <xdr:col>9</xdr:col>
      <xdr:colOff>762000</xdr:colOff>
      <xdr:row>26</xdr:row>
      <xdr:rowOff>47625</xdr:rowOff>
    </xdr:to>
    <xdr:graphicFrame>
      <xdr:nvGraphicFramePr>
        <xdr:cNvPr id="1" name="Chart 1"/>
        <xdr:cNvGraphicFramePr/>
      </xdr:nvGraphicFramePr>
      <xdr:xfrm>
        <a:off x="4314825" y="3400425"/>
        <a:ext cx="4914900" cy="1943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dimension ref="A2:AK7"/>
  <sheetViews>
    <sheetView tabSelected="1" zoomScale="120" zoomScaleNormal="120"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7.28125" style="0" customWidth="1"/>
    <col min="2" max="2" width="46.421875" style="0" customWidth="1"/>
    <col min="3" max="3" width="21.140625" style="0" customWidth="1"/>
    <col min="4" max="4" width="7.8515625" style="0" customWidth="1"/>
    <col min="5" max="5" width="10.140625" style="0" customWidth="1"/>
    <col min="6" max="6" width="10.8515625" style="0" customWidth="1"/>
    <col min="7" max="7" width="12.140625" style="0" customWidth="1"/>
    <col min="8" max="8" width="8.421875" style="0" customWidth="1"/>
    <col min="9" max="9" width="10.00390625" style="0" customWidth="1"/>
    <col min="10" max="11" width="9.57421875" style="0" bestFit="1" customWidth="1"/>
    <col min="12" max="12" width="14.7109375" style="0" customWidth="1"/>
    <col min="13" max="13" width="12.28125" style="0" customWidth="1"/>
    <col min="14" max="17" width="10.8515625" style="0" customWidth="1"/>
    <col min="18" max="19" width="12.57421875" style="0" customWidth="1"/>
    <col min="20" max="20" width="13.57421875" style="0" customWidth="1"/>
    <col min="21" max="21" width="12.7109375" style="0" customWidth="1"/>
    <col min="23" max="23" width="6.421875" style="0" customWidth="1"/>
    <col min="24" max="24" width="11.00390625" style="0" customWidth="1"/>
    <col min="25" max="25" width="12.8515625" style="0" customWidth="1"/>
    <col min="26" max="26" width="17.140625" style="0" customWidth="1"/>
    <col min="27" max="27" width="42.28125" style="0" customWidth="1"/>
    <col min="28" max="28" width="32.7109375" style="0" customWidth="1"/>
    <col min="29" max="30" width="12.421875" style="0" customWidth="1"/>
    <col min="31" max="31" width="11.421875" style="0" customWidth="1"/>
    <col min="32" max="32" width="12.57421875" style="0" customWidth="1"/>
    <col min="33" max="33" width="18.28125" style="0" customWidth="1"/>
    <col min="34" max="34" width="10.7109375" style="0" customWidth="1"/>
    <col min="35" max="35" width="55.7109375" style="0" customWidth="1"/>
    <col min="36" max="36" width="63.7109375" style="0" customWidth="1"/>
    <col min="37" max="37" width="12.140625" style="0" customWidth="1"/>
  </cols>
  <sheetData>
    <row r="1" ht="13.5" thickBot="1"/>
    <row r="2" spans="1:36" s="76" customFormat="1" ht="15.75" thickBot="1">
      <c r="A2" s="723" t="s">
        <v>116</v>
      </c>
      <c r="B2" s="724"/>
      <c r="C2" s="724"/>
      <c r="D2" s="724"/>
      <c r="E2" s="724"/>
      <c r="F2" s="724"/>
      <c r="G2" s="724"/>
      <c r="H2" s="724"/>
      <c r="I2" s="724"/>
      <c r="J2" s="724"/>
      <c r="K2" s="724"/>
      <c r="L2" s="724"/>
      <c r="M2" s="724"/>
      <c r="N2" s="724"/>
      <c r="O2" s="724"/>
      <c r="P2" s="724"/>
      <c r="Q2" s="724"/>
      <c r="R2" s="724"/>
      <c r="S2" s="724"/>
      <c r="T2" s="724"/>
      <c r="U2" s="724"/>
      <c r="V2" s="724"/>
      <c r="W2" s="725"/>
      <c r="X2" s="723" t="s">
        <v>117</v>
      </c>
      <c r="Y2" s="724"/>
      <c r="Z2" s="725"/>
      <c r="AA2" s="724" t="s">
        <v>118</v>
      </c>
      <c r="AB2" s="724"/>
      <c r="AC2" s="724"/>
      <c r="AD2" s="727"/>
      <c r="AE2" s="726" t="s">
        <v>119</v>
      </c>
      <c r="AF2" s="724"/>
      <c r="AG2" s="724"/>
      <c r="AH2" s="727"/>
      <c r="AI2" s="74"/>
      <c r="AJ2" s="75"/>
    </row>
    <row r="3" spans="1:37" s="80" customFormat="1" ht="79.5" thickBot="1">
      <c r="A3" s="77" t="s">
        <v>120</v>
      </c>
      <c r="B3" s="78" t="s">
        <v>121</v>
      </c>
      <c r="C3" s="78" t="s">
        <v>122</v>
      </c>
      <c r="D3" s="78" t="s">
        <v>123</v>
      </c>
      <c r="E3" s="78" t="s">
        <v>156</v>
      </c>
      <c r="F3" s="78" t="s">
        <v>157</v>
      </c>
      <c r="G3" s="78" t="s">
        <v>158</v>
      </c>
      <c r="H3" s="78" t="s">
        <v>124</v>
      </c>
      <c r="I3" s="78" t="s">
        <v>159</v>
      </c>
      <c r="J3" s="78" t="s">
        <v>125</v>
      </c>
      <c r="K3" s="78" t="s">
        <v>126</v>
      </c>
      <c r="L3" s="78" t="s">
        <v>127</v>
      </c>
      <c r="M3" s="78" t="s">
        <v>128</v>
      </c>
      <c r="N3" s="78" t="s">
        <v>160</v>
      </c>
      <c r="O3" s="78" t="s">
        <v>129</v>
      </c>
      <c r="P3" s="78" t="s">
        <v>161</v>
      </c>
      <c r="Q3" s="78" t="s">
        <v>130</v>
      </c>
      <c r="R3" s="78" t="s">
        <v>131</v>
      </c>
      <c r="S3" s="78" t="s">
        <v>138</v>
      </c>
      <c r="T3" s="78" t="s">
        <v>139</v>
      </c>
      <c r="U3" s="78" t="s">
        <v>140</v>
      </c>
      <c r="V3" s="78" t="s">
        <v>141</v>
      </c>
      <c r="W3" s="78" t="s">
        <v>142</v>
      </c>
      <c r="X3" s="77" t="s">
        <v>143</v>
      </c>
      <c r="Y3" s="77" t="s">
        <v>144</v>
      </c>
      <c r="Z3" s="78" t="s">
        <v>145</v>
      </c>
      <c r="AA3" s="78" t="s">
        <v>146</v>
      </c>
      <c r="AB3" s="78" t="s">
        <v>147</v>
      </c>
      <c r="AC3" s="78" t="s">
        <v>148</v>
      </c>
      <c r="AD3" s="78" t="s">
        <v>149</v>
      </c>
      <c r="AE3" s="78" t="s">
        <v>150</v>
      </c>
      <c r="AF3" s="78" t="s">
        <v>151</v>
      </c>
      <c r="AG3" s="78" t="s">
        <v>152</v>
      </c>
      <c r="AH3" s="79" t="s">
        <v>142</v>
      </c>
      <c r="AI3" s="94" t="s">
        <v>153</v>
      </c>
      <c r="AJ3" s="94" t="s">
        <v>154</v>
      </c>
      <c r="AK3" s="94" t="s">
        <v>66</v>
      </c>
    </row>
    <row r="4" spans="1:37" ht="67.5">
      <c r="A4" s="88" t="str">
        <f>SFResWX!B23</f>
        <v>Single Family Weatherization - Zone 3</v>
      </c>
      <c r="B4" s="81" t="str">
        <f>VLOOKUP($A4,'Lookup Table'!$A$4:$D$7,2,0)</f>
        <v>Single family unit must meet WeatherWise Program &amp; Specifications for the installation of this measure.</v>
      </c>
      <c r="C4" s="81" t="str">
        <f>VLOOKUP($A4,'Lookup Table'!$A$4:$D$7,3,0)</f>
        <v>Existing Single Family Residence w/Electric Heat as defined by WeatherWise Specifications</v>
      </c>
      <c r="D4" s="81" t="str">
        <f>VLOOKUP($A4,'Lookup Table'!$A$4:$D$7,4,0)</f>
        <v>Heating Zone 3</v>
      </c>
      <c r="E4" s="118">
        <f>SFResWX!E23</f>
        <v>1230.03</v>
      </c>
      <c r="F4" s="82">
        <f>SFResWX!F23</f>
        <v>0</v>
      </c>
      <c r="G4" s="82">
        <f>SFResWX!G23</f>
        <v>0</v>
      </c>
      <c r="H4" s="83">
        <f>SFResWX!C23</f>
        <v>45</v>
      </c>
      <c r="I4" s="83" t="s">
        <v>164</v>
      </c>
      <c r="J4" s="119">
        <f>SFResWX!D23</f>
        <v>3922.0424703627264</v>
      </c>
      <c r="K4" s="119">
        <f>SFResWX!K23</f>
        <v>4221.098208727884</v>
      </c>
      <c r="L4" s="85">
        <f>SFResWX!J23</f>
        <v>0.4009999930858612</v>
      </c>
      <c r="M4" s="90">
        <f>SFResWX!L23</f>
        <v>0.9201241316126455</v>
      </c>
      <c r="N4" s="89">
        <f>SFResWX!N23/SFResWX!K23</f>
        <v>0.2913994656465846</v>
      </c>
      <c r="O4" s="89">
        <f>SFResWX!O23/SFResWX!$K23</f>
        <v>0</v>
      </c>
      <c r="P4" s="89">
        <f>SFResWX!P23/SFResWX!$K23</f>
        <v>0</v>
      </c>
      <c r="Q4" s="89">
        <f>SFResWX!Q23/SFResWX!$K23</f>
        <v>0.29139946431301617</v>
      </c>
      <c r="R4" s="84">
        <f>SFResWX!S23/SFResWX!K23</f>
        <v>0.42092979011151593</v>
      </c>
      <c r="S4" s="84">
        <f>SFResWX!T23/SFResWX!$K23</f>
        <v>0.012061538170098703</v>
      </c>
      <c r="T4" s="84">
        <f>SFResWX!U23/SFResWX!$K23</f>
        <v>0.06238756886330429</v>
      </c>
      <c r="U4" s="84">
        <f>SUM(R4:T4)</f>
        <v>0.4953788971449189</v>
      </c>
      <c r="V4" s="84">
        <f>U4-Q4</f>
        <v>0.20397943283190273</v>
      </c>
      <c r="W4" s="85">
        <f>SFResWX!X23</f>
        <v>1.6981223773483671</v>
      </c>
      <c r="X4" s="85">
        <f>SFResWX!I23</f>
        <v>0.21</v>
      </c>
      <c r="Y4" s="90">
        <f>SFResWX!M23</f>
        <v>2.294574022293091</v>
      </c>
      <c r="Z4" s="85">
        <f>SFResWX!Y23/SFResWX!K23</f>
        <v>0.20052432316736243</v>
      </c>
      <c r="AA4" s="84" t="s">
        <v>165</v>
      </c>
      <c r="AB4" s="91" t="s">
        <v>166</v>
      </c>
      <c r="AC4" s="84">
        <f>SFResWX!Z23/SFResWX!$K23</f>
        <v>0</v>
      </c>
      <c r="AD4" s="84">
        <f>SFResWX!AA23/SFResWX!$K23</f>
        <v>0</v>
      </c>
      <c r="AE4" s="84">
        <f>SFResWX!AC23/SFResWX!$K23</f>
        <v>0.29139946431301617</v>
      </c>
      <c r="AF4" s="84">
        <f>SFResWX!AB23/SFResWX!$K23</f>
        <v>0.6953563009406262</v>
      </c>
      <c r="AG4" s="84">
        <f>AF4-AE4</f>
        <v>0.40395683662761</v>
      </c>
      <c r="AH4" s="85">
        <f>AF4/AE4</f>
        <v>2.3862648566631774</v>
      </c>
      <c r="AI4" s="95" t="s">
        <v>248</v>
      </c>
      <c r="AJ4" s="95" t="s">
        <v>167</v>
      </c>
      <c r="AK4" s="715">
        <f>VLOOKUP(A4,SFResWX!$B$23:$R$26,17,0)</f>
        <v>15.798952230414882</v>
      </c>
    </row>
    <row r="5" spans="1:37" ht="67.5">
      <c r="A5" s="88" t="str">
        <f>SFResWX!B24</f>
        <v>Single Family Weatherization - Zone 2</v>
      </c>
      <c r="B5" s="81" t="str">
        <f>VLOOKUP($A5,'Lookup Table'!$A$4:$D$7,2,0)</f>
        <v>Single family unit must meet WeatherWise Program &amp; Specifications for the installation of this measure.</v>
      </c>
      <c r="C5" s="81" t="str">
        <f>VLOOKUP($A5,'Lookup Table'!$A$4:$D$7,3,0)</f>
        <v>Existing Single Family Residence w/Electric Heat as defined by WeatherWise Specifications</v>
      </c>
      <c r="D5" s="81" t="str">
        <f>VLOOKUP($A5,'Lookup Table'!$A$4:$D$7,4,0)</f>
        <v>Heating Zone 2</v>
      </c>
      <c r="E5" s="118">
        <f>SFResWX!E24</f>
        <v>1230.03</v>
      </c>
      <c r="F5" s="82">
        <f>SFResWX!F24</f>
        <v>0</v>
      </c>
      <c r="G5" s="82">
        <f>SFResWX!G24</f>
        <v>0</v>
      </c>
      <c r="H5" s="83">
        <f>SFResWX!C24</f>
        <v>45</v>
      </c>
      <c r="I5" s="83" t="s">
        <v>164</v>
      </c>
      <c r="J5" s="119">
        <f>SFResWX!D24</f>
        <v>3472.853507631033</v>
      </c>
      <c r="K5" s="119">
        <f>SFResWX!K24</f>
        <v>3737.658587587899</v>
      </c>
      <c r="L5" s="85">
        <f>SFResWX!J24</f>
        <v>0.4009999930858612</v>
      </c>
      <c r="M5" s="90">
        <f>SFResWX!L24</f>
        <v>0.8147429157317121</v>
      </c>
      <c r="N5" s="89">
        <f>SFResWX!N24/SFResWX!K24</f>
        <v>0.3290899191675125</v>
      </c>
      <c r="O5" s="89">
        <f>SFResWX!O24/SFResWX!$K24</f>
        <v>0</v>
      </c>
      <c r="P5" s="89">
        <f>SFResWX!P24/SFResWX!$K24</f>
        <v>0</v>
      </c>
      <c r="Q5" s="89">
        <f>SFResWX!Q24/SFResWX!$K24</f>
        <v>0.3290899176614565</v>
      </c>
      <c r="R5" s="84">
        <f>SFResWX!S24/SFResWX!K24</f>
        <v>0.4209297901115157</v>
      </c>
      <c r="S5" s="84">
        <f>SFResWX!T24/SFResWX!$K24</f>
        <v>0.012061537490180756</v>
      </c>
      <c r="T5" s="84">
        <f>SFResWX!U24/SFResWX!$K24</f>
        <v>0.06238757117529948</v>
      </c>
      <c r="U5" s="84">
        <f>SUM(R5:T5)</f>
        <v>0.4953788987769959</v>
      </c>
      <c r="V5" s="84">
        <f>U5-Q5</f>
        <v>0.1662889811155394</v>
      </c>
      <c r="W5" s="85">
        <f>SFResWX!X24</f>
        <v>1.5036375375021405</v>
      </c>
      <c r="X5" s="85">
        <f>SFResWX!I24</f>
        <v>0.21</v>
      </c>
      <c r="Y5" s="90">
        <f>SFResWX!M24</f>
        <v>2.031777858734131</v>
      </c>
      <c r="Z5" s="85">
        <f>SFResWX!Y24/SFResWX!K24</f>
        <v>0.2005243222500453</v>
      </c>
      <c r="AA5" s="84" t="s">
        <v>165</v>
      </c>
      <c r="AB5" s="91" t="s">
        <v>166</v>
      </c>
      <c r="AC5" s="84">
        <f>SFResWX!Z24/SFResWX!$K24</f>
        <v>0</v>
      </c>
      <c r="AD5" s="84">
        <f>SFResWX!AA24/SFResWX!$K24</f>
        <v>0</v>
      </c>
      <c r="AE5" s="84">
        <f>SFResWX!AC24/SFResWX!$K24</f>
        <v>0.3290899176614565</v>
      </c>
      <c r="AF5" s="84">
        <f>SFResWX!AB24/SFResWX!$K24</f>
        <v>0.6953562861953423</v>
      </c>
      <c r="AG5" s="84">
        <f>AF5-AE5</f>
        <v>0.3662663685338858</v>
      </c>
      <c r="AH5" s="85">
        <f>AF5/AE5</f>
        <v>2.1129674562399496</v>
      </c>
      <c r="AI5" s="95" t="s">
        <v>248</v>
      </c>
      <c r="AJ5" s="95" t="s">
        <v>167</v>
      </c>
      <c r="AK5" s="715">
        <f>VLOOKUP(A5,SFResWX!$B$23:$R$26,17,0)</f>
        <v>17.842434614291356</v>
      </c>
    </row>
    <row r="6" spans="1:37" ht="67.5">
      <c r="A6" s="88" t="str">
        <f>SFResWX!B25</f>
        <v>Single Family Weatherization - PNW Average Climate</v>
      </c>
      <c r="B6" s="81" t="str">
        <f>VLOOKUP($A6,'Lookup Table'!$A$4:$D$7,2,0)</f>
        <v>Single family unit must meet WeatherWise Program &amp; Specifications for the installation of this measure.</v>
      </c>
      <c r="C6" s="81" t="str">
        <f>VLOOKUP($A6,'Lookup Table'!$A$4:$D$7,3,0)</f>
        <v>Existing Single Family Residence w/Electric Heat as defined by WeatherWise Specifications</v>
      </c>
      <c r="D6" s="81" t="str">
        <f>VLOOKUP($A6,'Lookup Table'!$A$4:$D$7,4,0)</f>
        <v>PNW Average Climate</v>
      </c>
      <c r="E6" s="118">
        <f>SFResWX!E25</f>
        <v>1230.03</v>
      </c>
      <c r="F6" s="82">
        <f>SFResWX!F25</f>
        <v>0</v>
      </c>
      <c r="G6" s="82">
        <f>SFResWX!G25</f>
        <v>0</v>
      </c>
      <c r="H6" s="83">
        <f>SFResWX!C25</f>
        <v>45</v>
      </c>
      <c r="I6" s="83" t="s">
        <v>164</v>
      </c>
      <c r="J6" s="119">
        <f>SFResWX!D25</f>
        <v>2935.176224632179</v>
      </c>
      <c r="K6" s="119">
        <f>SFResWX!K25</f>
        <v>3158.9834117603823</v>
      </c>
      <c r="L6" s="85">
        <f>SFResWX!J25</f>
        <v>0.4009999930858612</v>
      </c>
      <c r="M6" s="90">
        <f>SFResWX!L25</f>
        <v>0.6886020473332592</v>
      </c>
      <c r="N6" s="89">
        <f>SFResWX!N25/SFResWX!K25</f>
        <v>0.38937392259987014</v>
      </c>
      <c r="O6" s="89">
        <f>SFResWX!O25/SFResWX!$K25</f>
        <v>0</v>
      </c>
      <c r="P6" s="89">
        <f>SFResWX!P25/SFResWX!$K25</f>
        <v>0</v>
      </c>
      <c r="Q6" s="89">
        <f>SFResWX!Q25/SFResWX!$K25</f>
        <v>0.38937392081792876</v>
      </c>
      <c r="R6" s="84">
        <f>SFResWX!S25/SFResWX!K25</f>
        <v>0.4209297901115143</v>
      </c>
      <c r="S6" s="84">
        <f>SFResWX!T25/SFResWX!$K25</f>
        <v>0.01206153834572067</v>
      </c>
      <c r="T6" s="84">
        <f>SFResWX!U25/SFResWX!$K25</f>
        <v>0.06238757003104965</v>
      </c>
      <c r="U6" s="84">
        <f>SUM(R6:T6)</f>
        <v>0.49537889848828465</v>
      </c>
      <c r="V6" s="84">
        <f>U6-Q6</f>
        <v>0.10600497767035588</v>
      </c>
      <c r="W6" s="85">
        <f>SFResWX!X25</f>
        <v>1.2708399967454083</v>
      </c>
      <c r="X6" s="85">
        <f>SFResWX!I25</f>
        <v>0.21</v>
      </c>
      <c r="Y6" s="90">
        <f>SFResWX!M25</f>
        <v>1.7172120809555054</v>
      </c>
      <c r="Z6" s="85">
        <f>SFResWX!Y25/SFResWX!K25</f>
        <v>0.20052430143706637</v>
      </c>
      <c r="AA6" s="84" t="s">
        <v>165</v>
      </c>
      <c r="AB6" s="91" t="s">
        <v>166</v>
      </c>
      <c r="AC6" s="84">
        <f>SFResWX!Z25/SFResWX!$K25</f>
        <v>0</v>
      </c>
      <c r="AD6" s="84">
        <f>SFResWX!AA25/SFResWX!$K25</f>
        <v>0</v>
      </c>
      <c r="AE6" s="84">
        <f>SFResWX!AC25/SFResWX!$K25</f>
        <v>0.38937392081792876</v>
      </c>
      <c r="AF6" s="84">
        <f>SFResWX!AB25/SFResWX!$K25</f>
        <v>0.6953562618615595</v>
      </c>
      <c r="AG6" s="84">
        <f>AF6-AE6</f>
        <v>0.30598234104363076</v>
      </c>
      <c r="AH6" s="85">
        <f>AF6/AE6</f>
        <v>1.7858316252944637</v>
      </c>
      <c r="AI6" s="95" t="s">
        <v>248</v>
      </c>
      <c r="AJ6" s="95" t="s">
        <v>167</v>
      </c>
      <c r="AK6" s="715">
        <f>VLOOKUP(A6,SFResWX!$B$23:$R$26,17,0)</f>
        <v>21.110882922433092</v>
      </c>
    </row>
    <row r="7" spans="1:37" ht="67.5">
      <c r="A7" s="88" t="str">
        <f>SFResWX!B26</f>
        <v>Single Family Weatherization - Zone 1</v>
      </c>
      <c r="B7" s="81" t="str">
        <f>VLOOKUP($A7,'Lookup Table'!$A$4:$D$7,2,0)</f>
        <v>Single family unit must meet WeatherWise Program &amp; Specifications for the installation of this measure.</v>
      </c>
      <c r="C7" s="81" t="str">
        <f>VLOOKUP($A7,'Lookup Table'!$A$4:$D$7,3,0)</f>
        <v>Existing Single Family Residence w/Electric Heat as defined by WeatherWise Specifications</v>
      </c>
      <c r="D7" s="81" t="str">
        <f>VLOOKUP($A7,'Lookup Table'!$A$4:$D$7,4,0)</f>
        <v>Heating Zone 1</v>
      </c>
      <c r="E7" s="118">
        <f>SFResWX!E26</f>
        <v>1230.03</v>
      </c>
      <c r="F7" s="82">
        <f>SFResWX!F26</f>
        <v>0</v>
      </c>
      <c r="G7" s="82">
        <f>SFResWX!G26</f>
        <v>0</v>
      </c>
      <c r="H7" s="83">
        <f>SFResWX!C26</f>
        <v>45</v>
      </c>
      <c r="I7" s="83" t="s">
        <v>164</v>
      </c>
      <c r="J7" s="119">
        <f>SFResWX!D26</f>
        <v>2720.5716576608024</v>
      </c>
      <c r="K7" s="119">
        <f>SFResWX!K26</f>
        <v>2928.0152465574383</v>
      </c>
      <c r="L7" s="85">
        <f>SFResWX!J26</f>
        <v>0.4009999930858612</v>
      </c>
      <c r="M7" s="90">
        <f>SFResWX!L26</f>
        <v>0.6382551063409594</v>
      </c>
      <c r="N7" s="89">
        <f>SFResWX!N26/SFResWX!K26</f>
        <v>0.42008857840178315</v>
      </c>
      <c r="O7" s="89">
        <f>SFResWX!O26/SFResWX!$K26</f>
        <v>0</v>
      </c>
      <c r="P7" s="89">
        <f>SFResWX!P26/SFResWX!$K26</f>
        <v>0</v>
      </c>
      <c r="Q7" s="89">
        <f>SFResWX!Q26/SFResWX!$K26</f>
        <v>0.42008857647927833</v>
      </c>
      <c r="R7" s="84">
        <f>SFResWX!S26/SFResWX!K26</f>
        <v>0.4209297901115162</v>
      </c>
      <c r="S7" s="84">
        <f>SFResWX!T26/SFResWX!$K26</f>
        <v>0.01206153832175223</v>
      </c>
      <c r="T7" s="84">
        <f>SFResWX!U26/SFResWX!$K26</f>
        <v>0.06238756889823595</v>
      </c>
      <c r="U7" s="84">
        <f>SUM(R7:T7)</f>
        <v>0.49537889733150436</v>
      </c>
      <c r="V7" s="84">
        <f>U7-Q7</f>
        <v>0.07529032085222603</v>
      </c>
      <c r="W7" s="85">
        <f>SFResWX!X26</f>
        <v>1.1779228925464489</v>
      </c>
      <c r="X7" s="85">
        <f>SFResWX!I26</f>
        <v>0.21</v>
      </c>
      <c r="Y7" s="90">
        <f>SFResWX!M26</f>
        <v>1.591658592224121</v>
      </c>
      <c r="Z7" s="85">
        <f>SFResWX!Y26/SFResWX!K26</f>
        <v>0.20052427092000663</v>
      </c>
      <c r="AA7" s="84" t="s">
        <v>165</v>
      </c>
      <c r="AB7" s="91" t="s">
        <v>166</v>
      </c>
      <c r="AC7" s="84">
        <f>SFResWX!Z26/SFResWX!$K26</f>
        <v>0</v>
      </c>
      <c r="AD7" s="84">
        <f>SFResWX!AA26/SFResWX!$K26</f>
        <v>0</v>
      </c>
      <c r="AE7" s="84">
        <f>SFResWX!AC26/SFResWX!$K26</f>
        <v>0.42008857647927833</v>
      </c>
      <c r="AF7" s="84">
        <f>SFResWX!AB26/SFResWX!$K26</f>
        <v>0.6953562397835212</v>
      </c>
      <c r="AG7" s="84">
        <f>AF7-AE7</f>
        <v>0.2752676633042429</v>
      </c>
      <c r="AH7" s="85">
        <f>AF7/AE7</f>
        <v>1.655261006169781</v>
      </c>
      <c r="AI7" s="95" t="s">
        <v>248</v>
      </c>
      <c r="AJ7" s="95" t="s">
        <v>167</v>
      </c>
      <c r="AK7" s="715">
        <f>VLOOKUP(A7,SFResWX!$B$23:$R$26,17,0)</f>
        <v>22.77615495274145</v>
      </c>
    </row>
  </sheetData>
  <mergeCells count="4">
    <mergeCell ref="A2:W2"/>
    <mergeCell ref="X2:Z2"/>
    <mergeCell ref="AE2:AH2"/>
    <mergeCell ref="AA2:AD2"/>
  </mergeCells>
  <printOptions/>
  <pageMargins left="0.75" right="0.75" top="1" bottom="1" header="0.5" footer="0.5"/>
  <pageSetup horizontalDpi="600" verticalDpi="600" orientation="landscape" scale="60" r:id="rId3"/>
  <legacyDrawing r:id="rId2"/>
</worksheet>
</file>

<file path=xl/worksheets/sheet10.xml><?xml version="1.0" encoding="utf-8"?>
<worksheet xmlns="http://schemas.openxmlformats.org/spreadsheetml/2006/main" xmlns:r="http://schemas.openxmlformats.org/officeDocument/2006/relationships">
  <sheetPr codeName="Sheet4"/>
  <dimension ref="A1:L27"/>
  <sheetViews>
    <sheetView workbookViewId="0" topLeftCell="A1">
      <selection activeCell="L14" sqref="L14"/>
    </sheetView>
  </sheetViews>
  <sheetFormatPr defaultColWidth="9.140625" defaultRowHeight="12.75"/>
  <cols>
    <col min="1" max="1" width="24.57421875" style="120" customWidth="1"/>
    <col min="2" max="2" width="6.00390625" style="120" customWidth="1"/>
    <col min="3" max="3" width="9.7109375" style="120" customWidth="1"/>
    <col min="4" max="4" width="10.7109375" style="120" customWidth="1"/>
    <col min="5" max="5" width="10.421875" style="120" customWidth="1"/>
    <col min="6" max="7" width="9.8515625" style="120" customWidth="1"/>
    <col min="8" max="8" width="10.00390625" style="120" customWidth="1"/>
    <col min="9" max="9" width="10.140625" style="120" customWidth="1"/>
    <col min="10" max="10" width="10.421875" style="120" customWidth="1"/>
    <col min="11" max="16384" width="11.421875" style="120" customWidth="1"/>
  </cols>
  <sheetData>
    <row r="1" ht="15.75">
      <c r="A1" s="120" t="s">
        <v>249</v>
      </c>
    </row>
    <row r="2" ht="15.75">
      <c r="A2" s="120" t="s">
        <v>250</v>
      </c>
    </row>
    <row r="3" ht="15.75">
      <c r="L3" s="252" t="s">
        <v>422</v>
      </c>
    </row>
    <row r="4" spans="4:12" ht="15.75">
      <c r="D4" s="121" t="s">
        <v>251</v>
      </c>
      <c r="L4" s="120">
        <v>1.166358595194085</v>
      </c>
    </row>
    <row r="5" spans="1:12" ht="15.75">
      <c r="A5" s="120" t="s">
        <v>252</v>
      </c>
      <c r="B5" s="120" t="s">
        <v>253</v>
      </c>
      <c r="C5" s="120">
        <v>1985</v>
      </c>
      <c r="D5" s="120">
        <v>1986</v>
      </c>
      <c r="E5" s="120">
        <v>1987</v>
      </c>
      <c r="F5" s="120">
        <v>1988</v>
      </c>
      <c r="G5" s="120">
        <v>1989</v>
      </c>
      <c r="H5" s="120">
        <v>1990</v>
      </c>
      <c r="I5" s="120">
        <v>1991</v>
      </c>
      <c r="J5" s="120">
        <v>1992</v>
      </c>
      <c r="L5" s="252" t="s">
        <v>421</v>
      </c>
    </row>
    <row r="6" spans="1:12" ht="15.75">
      <c r="A6" s="120" t="s">
        <v>254</v>
      </c>
      <c r="B6" s="120" t="s">
        <v>255</v>
      </c>
      <c r="C6" s="122">
        <v>0.51</v>
      </c>
      <c r="D6" s="122">
        <v>0.55</v>
      </c>
      <c r="E6" s="122">
        <v>0.57</v>
      </c>
      <c r="F6" s="122">
        <v>0.56</v>
      </c>
      <c r="G6" s="122">
        <v>0.58</v>
      </c>
      <c r="H6" s="122">
        <v>0.62</v>
      </c>
      <c r="I6" s="122">
        <v>0.64</v>
      </c>
      <c r="J6" s="122">
        <v>0.68</v>
      </c>
      <c r="L6" s="125">
        <f>J6*L$4</f>
        <v>0.7931238447319778</v>
      </c>
    </row>
    <row r="7" spans="1:12" ht="15.75">
      <c r="A7" s="120" t="s">
        <v>256</v>
      </c>
      <c r="B7" s="120" t="s">
        <v>257</v>
      </c>
      <c r="C7" s="122">
        <v>0.76</v>
      </c>
      <c r="D7" s="122">
        <v>0.78</v>
      </c>
      <c r="E7" s="122">
        <v>0.8</v>
      </c>
      <c r="F7" s="122">
        <v>0.79</v>
      </c>
      <c r="G7" s="122">
        <v>0.82</v>
      </c>
      <c r="H7" s="122">
        <v>0.87</v>
      </c>
      <c r="I7" s="122">
        <v>0.94</v>
      </c>
      <c r="J7" s="122">
        <v>0.96</v>
      </c>
      <c r="L7" s="125">
        <f aca="true" t="shared" si="0" ref="L7:L15">J7*L$4</f>
        <v>1.1197042513863216</v>
      </c>
    </row>
    <row r="8" spans="1:12" ht="15.75">
      <c r="A8" s="120" t="s">
        <v>258</v>
      </c>
      <c r="B8" s="120" t="s">
        <v>259</v>
      </c>
      <c r="C8" s="122">
        <v>0.68</v>
      </c>
      <c r="D8" s="122">
        <v>0.72</v>
      </c>
      <c r="E8" s="122">
        <v>0.7</v>
      </c>
      <c r="F8" s="122">
        <v>0.68</v>
      </c>
      <c r="G8" s="122">
        <v>0.76</v>
      </c>
      <c r="H8" s="122">
        <v>0.8</v>
      </c>
      <c r="I8" s="122">
        <v>0.61</v>
      </c>
      <c r="J8" s="122">
        <v>1.21</v>
      </c>
      <c r="L8" s="125">
        <f t="shared" si="0"/>
        <v>1.4112939001848428</v>
      </c>
    </row>
    <row r="9" spans="1:12" ht="15.75">
      <c r="A9" s="120" t="s">
        <v>260</v>
      </c>
      <c r="B9" s="120" t="s">
        <v>261</v>
      </c>
      <c r="C9" s="122">
        <v>0.91</v>
      </c>
      <c r="D9" s="122">
        <v>1.01</v>
      </c>
      <c r="E9" s="122">
        <v>1.31</v>
      </c>
      <c r="F9" s="122">
        <v>1.2</v>
      </c>
      <c r="G9" s="122">
        <v>1.19</v>
      </c>
      <c r="H9" s="122">
        <v>1.12</v>
      </c>
      <c r="I9" s="122">
        <v>1.27</v>
      </c>
      <c r="J9" s="122">
        <v>1.36</v>
      </c>
      <c r="L9" s="125">
        <f t="shared" si="0"/>
        <v>1.5862476894639557</v>
      </c>
    </row>
    <row r="10" spans="1:12" ht="15.75">
      <c r="A10" s="120" t="s">
        <v>262</v>
      </c>
      <c r="B10" s="120" t="s">
        <v>263</v>
      </c>
      <c r="C10" s="122">
        <v>0.68</v>
      </c>
      <c r="D10" s="122">
        <v>0.67</v>
      </c>
      <c r="E10" s="122">
        <v>0.7</v>
      </c>
      <c r="F10" s="122">
        <v>0.71</v>
      </c>
      <c r="G10" s="122">
        <v>0.72</v>
      </c>
      <c r="H10" s="122">
        <v>0.74</v>
      </c>
      <c r="I10" s="122">
        <v>0.86</v>
      </c>
      <c r="J10" s="122">
        <v>0.8</v>
      </c>
      <c r="L10" s="125">
        <f t="shared" si="0"/>
        <v>0.933086876155268</v>
      </c>
    </row>
    <row r="11" spans="1:12" ht="16.5" thickBot="1">
      <c r="A11" s="120" t="s">
        <v>264</v>
      </c>
      <c r="B11" s="120" t="s">
        <v>265</v>
      </c>
      <c r="C11" s="122">
        <v>2.34</v>
      </c>
      <c r="D11" s="122">
        <v>2.37</v>
      </c>
      <c r="E11" s="122">
        <v>2.35</v>
      </c>
      <c r="F11" s="122">
        <v>2.37</v>
      </c>
      <c r="G11" s="122">
        <v>2.15</v>
      </c>
      <c r="H11" s="122">
        <v>2.49</v>
      </c>
      <c r="I11" s="122">
        <v>2.69</v>
      </c>
      <c r="J11" s="122">
        <v>2.95</v>
      </c>
      <c r="L11" s="125">
        <f t="shared" si="0"/>
        <v>3.4407578558225507</v>
      </c>
    </row>
    <row r="12" spans="1:12" ht="16.5" thickBot="1">
      <c r="A12" s="120" t="s">
        <v>266</v>
      </c>
      <c r="B12" s="120" t="s">
        <v>267</v>
      </c>
      <c r="C12" s="122">
        <v>7.26</v>
      </c>
      <c r="D12" s="122">
        <v>8.02</v>
      </c>
      <c r="E12" s="122">
        <v>7.97</v>
      </c>
      <c r="F12" s="122">
        <v>8.64</v>
      </c>
      <c r="G12" s="123">
        <v>8.6</v>
      </c>
      <c r="H12" s="124">
        <v>9.08</v>
      </c>
      <c r="I12" s="122">
        <v>12.9</v>
      </c>
      <c r="J12" s="122">
        <v>14.75</v>
      </c>
      <c r="L12" s="125">
        <f t="shared" si="0"/>
        <v>17.20378927911275</v>
      </c>
    </row>
    <row r="13" spans="1:12" ht="15.75">
      <c r="A13" s="120" t="s">
        <v>268</v>
      </c>
      <c r="B13" s="120" t="s">
        <v>269</v>
      </c>
      <c r="C13" s="122">
        <v>7.77</v>
      </c>
      <c r="D13" s="122">
        <v>10.68</v>
      </c>
      <c r="E13" s="122">
        <v>8.72</v>
      </c>
      <c r="F13" s="122">
        <v>7.66</v>
      </c>
      <c r="G13" s="122">
        <v>9.74</v>
      </c>
      <c r="H13" s="122">
        <v>11.09</v>
      </c>
      <c r="I13" s="122">
        <v>3.04</v>
      </c>
      <c r="J13" s="122">
        <v>2.75</v>
      </c>
      <c r="L13" s="125">
        <f t="shared" si="0"/>
        <v>3.2074861367837335</v>
      </c>
    </row>
    <row r="14" spans="1:12" ht="15.75">
      <c r="A14" s="121" t="s">
        <v>270</v>
      </c>
      <c r="B14" s="120" t="s">
        <v>271</v>
      </c>
      <c r="C14" s="122">
        <v>11.84</v>
      </c>
      <c r="D14" s="122">
        <v>13.23</v>
      </c>
      <c r="E14" s="122">
        <v>12.38</v>
      </c>
      <c r="F14" s="122">
        <v>11.87</v>
      </c>
      <c r="G14" s="122">
        <v>12.32</v>
      </c>
      <c r="H14" s="122">
        <v>14.12</v>
      </c>
      <c r="I14" s="122">
        <v>15.09</v>
      </c>
      <c r="J14" s="122">
        <v>16.25</v>
      </c>
      <c r="L14" s="125">
        <f t="shared" si="0"/>
        <v>18.95332717190388</v>
      </c>
    </row>
    <row r="15" spans="1:12" ht="15.75">
      <c r="A15" s="120" t="s">
        <v>272</v>
      </c>
      <c r="B15" s="120" t="s">
        <v>273</v>
      </c>
      <c r="C15" s="122">
        <v>8.92</v>
      </c>
      <c r="D15" s="122">
        <v>9.21</v>
      </c>
      <c r="E15" s="122">
        <v>8.91</v>
      </c>
      <c r="F15" s="122">
        <v>8.61</v>
      </c>
      <c r="G15" s="122">
        <v>10.36</v>
      </c>
      <c r="H15" s="122">
        <v>11.4</v>
      </c>
      <c r="I15" s="122">
        <v>15.29</v>
      </c>
      <c r="J15" s="122">
        <v>14.76</v>
      </c>
      <c r="L15" s="125">
        <f t="shared" si="0"/>
        <v>17.215452865064695</v>
      </c>
    </row>
    <row r="17" spans="4:7" ht="15.75">
      <c r="D17" s="121"/>
      <c r="E17" s="120" t="s">
        <v>274</v>
      </c>
      <c r="G17" s="125">
        <f>(G12+H12)/2</f>
        <v>8.84</v>
      </c>
    </row>
    <row r="18" spans="5:7" ht="15.75">
      <c r="E18" s="120" t="s">
        <v>275</v>
      </c>
      <c r="G18" s="120">
        <f>128.9/110.7</f>
        <v>1.1644083107497742</v>
      </c>
    </row>
    <row r="19" ht="15.75">
      <c r="G19" s="122">
        <f>G17*G18</f>
        <v>10.293369467028004</v>
      </c>
    </row>
    <row r="27" ht="15.75">
      <c r="A27" s="121"/>
    </row>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codeName="Sheet8"/>
  <dimension ref="A1:L24"/>
  <sheetViews>
    <sheetView workbookViewId="0" topLeftCell="A1">
      <selection activeCell="C29" sqref="C29"/>
    </sheetView>
  </sheetViews>
  <sheetFormatPr defaultColWidth="9.140625" defaultRowHeight="12.75"/>
  <cols>
    <col min="1" max="1" width="10.140625" style="127" bestFit="1" customWidth="1"/>
    <col min="2" max="2" width="9.140625" style="127" customWidth="1"/>
    <col min="3" max="3" width="9.8515625" style="127" bestFit="1" customWidth="1"/>
    <col min="4" max="4" width="7.57421875" style="127" customWidth="1"/>
    <col min="5" max="5" width="8.57421875" style="127" customWidth="1"/>
    <col min="6" max="6" width="9.8515625" style="127" bestFit="1" customWidth="1"/>
    <col min="7" max="7" width="7.57421875" style="127" customWidth="1"/>
    <col min="8" max="8" width="8.57421875" style="127" customWidth="1"/>
    <col min="9" max="9" width="9.28125" style="127" bestFit="1" customWidth="1"/>
    <col min="10" max="11" width="8.57421875" style="127" customWidth="1"/>
    <col min="12" max="16384" width="9.140625" style="127" customWidth="1"/>
  </cols>
  <sheetData>
    <row r="1" spans="1:3" ht="12.75">
      <c r="A1" s="126" t="s">
        <v>276</v>
      </c>
      <c r="B1" s="126"/>
      <c r="C1" s="126"/>
    </row>
    <row r="2" spans="1:3" ht="12.75">
      <c r="A2" s="126" t="s">
        <v>277</v>
      </c>
      <c r="B2" s="126"/>
      <c r="C2" s="126"/>
    </row>
    <row r="3" spans="1:3" ht="12.75">
      <c r="A3" s="128">
        <v>37035</v>
      </c>
      <c r="B3" s="126"/>
      <c r="C3" s="126"/>
    </row>
    <row r="4" ht="12.75">
      <c r="A4" s="129"/>
    </row>
    <row r="5" spans="1:11" ht="12.75">
      <c r="A5" s="126" t="s">
        <v>278</v>
      </c>
      <c r="B5" s="126"/>
      <c r="C5" s="130" t="s">
        <v>279</v>
      </c>
      <c r="D5" s="131" t="s">
        <v>280</v>
      </c>
      <c r="E5" s="132" t="s">
        <v>281</v>
      </c>
      <c r="F5" s="130" t="s">
        <v>282</v>
      </c>
      <c r="G5" s="131" t="s">
        <v>280</v>
      </c>
      <c r="H5" s="132" t="s">
        <v>281</v>
      </c>
      <c r="I5" s="130"/>
      <c r="J5" s="131"/>
      <c r="K5" s="132" t="s">
        <v>281</v>
      </c>
    </row>
    <row r="6" spans="1:11" ht="12.75">
      <c r="A6" s="126" t="s">
        <v>283</v>
      </c>
      <c r="B6" s="126"/>
      <c r="C6" s="133" t="s">
        <v>284</v>
      </c>
      <c r="D6" s="134" t="s">
        <v>285</v>
      </c>
      <c r="E6" s="135" t="s">
        <v>286</v>
      </c>
      <c r="F6" s="133" t="s">
        <v>284</v>
      </c>
      <c r="G6" s="134" t="s">
        <v>285</v>
      </c>
      <c r="H6" s="135" t="s">
        <v>286</v>
      </c>
      <c r="I6" s="133" t="s">
        <v>247</v>
      </c>
      <c r="J6" s="134" t="s">
        <v>287</v>
      </c>
      <c r="K6" s="135" t="s">
        <v>288</v>
      </c>
    </row>
    <row r="7" spans="1:11" ht="12.75">
      <c r="A7" s="129">
        <v>36819</v>
      </c>
      <c r="C7" s="136"/>
      <c r="D7" s="137"/>
      <c r="E7" s="138"/>
      <c r="F7" s="136"/>
      <c r="G7" s="137"/>
      <c r="H7" s="138"/>
      <c r="I7" s="136">
        <v>3220</v>
      </c>
      <c r="J7" s="137">
        <v>5</v>
      </c>
      <c r="K7" s="139">
        <f>(I7/J7)</f>
        <v>644</v>
      </c>
    </row>
    <row r="8" spans="1:11" ht="12.75">
      <c r="A8" s="129">
        <v>36917</v>
      </c>
      <c r="C8" s="136"/>
      <c r="D8" s="137"/>
      <c r="E8" s="138"/>
      <c r="F8" s="136">
        <f>(1045+220)</f>
        <v>1265</v>
      </c>
      <c r="G8" s="137">
        <v>1100</v>
      </c>
      <c r="H8" s="138">
        <f>(F8/G8)</f>
        <v>1.15</v>
      </c>
      <c r="I8" s="136"/>
      <c r="J8" s="137"/>
      <c r="K8" s="139"/>
    </row>
    <row r="9" spans="1:11" ht="12.75">
      <c r="A9" s="129">
        <v>36945</v>
      </c>
      <c r="C9" s="136"/>
      <c r="D9" s="137"/>
      <c r="E9" s="138"/>
      <c r="F9" s="136"/>
      <c r="G9" s="137"/>
      <c r="H9" s="138"/>
      <c r="I9" s="136">
        <v>2095</v>
      </c>
      <c r="J9" s="137">
        <v>7</v>
      </c>
      <c r="K9" s="139">
        <f aca="true" t="shared" si="0" ref="K9:K14">(I9/J9)</f>
        <v>299.2857142857143</v>
      </c>
    </row>
    <row r="10" spans="1:11" ht="12.75">
      <c r="A10" s="129">
        <v>36608</v>
      </c>
      <c r="C10" s="136">
        <v>545</v>
      </c>
      <c r="D10" s="137">
        <v>635</v>
      </c>
      <c r="E10" s="138">
        <f>(C10/D10)</f>
        <v>0.8582677165354331</v>
      </c>
      <c r="F10" s="136">
        <f>(1683+266+15)</f>
        <v>1964</v>
      </c>
      <c r="G10" s="137">
        <v>1772</v>
      </c>
      <c r="H10" s="138">
        <f>(F10/G10)</f>
        <v>1.108352144469526</v>
      </c>
      <c r="I10" s="136">
        <v>4610</v>
      </c>
      <c r="J10" s="137">
        <v>11</v>
      </c>
      <c r="K10" s="139">
        <f t="shared" si="0"/>
        <v>419.09090909090907</v>
      </c>
    </row>
    <row r="11" spans="1:11" ht="12.75">
      <c r="A11" s="129">
        <v>36683</v>
      </c>
      <c r="C11" s="136">
        <v>750</v>
      </c>
      <c r="D11" s="137">
        <v>635</v>
      </c>
      <c r="E11" s="138">
        <f>(C11/D11)</f>
        <v>1.1811023622047243</v>
      </c>
      <c r="F11" s="136">
        <f>(1726+443+12)</f>
        <v>2181</v>
      </c>
      <c r="G11" s="137">
        <v>1772</v>
      </c>
      <c r="H11" s="138">
        <f>(F11/G11)</f>
        <v>1.2308126410835214</v>
      </c>
      <c r="I11" s="136">
        <v>3524</v>
      </c>
      <c r="J11" s="137">
        <v>11</v>
      </c>
      <c r="K11" s="139">
        <f t="shared" si="0"/>
        <v>320.3636363636364</v>
      </c>
    </row>
    <row r="12" spans="1:11" ht="12.75">
      <c r="A12" s="129">
        <v>36640</v>
      </c>
      <c r="C12" s="136">
        <v>626</v>
      </c>
      <c r="D12" s="137">
        <v>1292</v>
      </c>
      <c r="E12" s="138">
        <f>(C12/D12)</f>
        <v>0.4845201238390093</v>
      </c>
      <c r="F12" s="136"/>
      <c r="G12" s="137"/>
      <c r="H12" s="138"/>
      <c r="I12" s="136">
        <v>4172</v>
      </c>
      <c r="J12" s="137">
        <v>9</v>
      </c>
      <c r="K12" s="139">
        <f t="shared" si="0"/>
        <v>463.55555555555554</v>
      </c>
    </row>
    <row r="13" spans="1:11" ht="12.75">
      <c r="A13" s="129">
        <v>36654</v>
      </c>
      <c r="C13" s="136">
        <v>740</v>
      </c>
      <c r="D13" s="137">
        <v>1292</v>
      </c>
      <c r="E13" s="138">
        <f>(C13/D13)</f>
        <v>0.5727554179566563</v>
      </c>
      <c r="F13" s="136"/>
      <c r="G13" s="137"/>
      <c r="H13" s="138"/>
      <c r="I13" s="136">
        <v>3355</v>
      </c>
      <c r="J13" s="137">
        <v>9</v>
      </c>
      <c r="K13" s="139">
        <f t="shared" si="0"/>
        <v>372.77777777777777</v>
      </c>
    </row>
    <row r="14" spans="1:11" ht="12.75">
      <c r="A14" s="129">
        <v>36949</v>
      </c>
      <c r="C14" s="136"/>
      <c r="D14" s="137"/>
      <c r="E14" s="138"/>
      <c r="F14" s="136"/>
      <c r="G14" s="137"/>
      <c r="H14" s="138"/>
      <c r="I14" s="136">
        <v>5590</v>
      </c>
      <c r="J14" s="137">
        <v>25</v>
      </c>
      <c r="K14" s="139">
        <f t="shared" si="0"/>
        <v>223.6</v>
      </c>
    </row>
    <row r="15" spans="1:11" ht="12.75">
      <c r="A15" s="129">
        <v>37026</v>
      </c>
      <c r="C15" s="136">
        <v>1886</v>
      </c>
      <c r="D15" s="137">
        <v>1536</v>
      </c>
      <c r="E15" s="138">
        <f>(C15/D15)</f>
        <v>1.2278645833333333</v>
      </c>
      <c r="F15" s="136"/>
      <c r="G15" s="137"/>
      <c r="H15" s="138"/>
      <c r="I15" s="136"/>
      <c r="J15" s="137"/>
      <c r="K15" s="139"/>
    </row>
    <row r="16" spans="3:11" ht="12.75">
      <c r="C16" s="136"/>
      <c r="D16" s="137"/>
      <c r="E16" s="140"/>
      <c r="F16" s="136"/>
      <c r="G16" s="137"/>
      <c r="H16" s="140"/>
      <c r="I16" s="136"/>
      <c r="J16" s="137"/>
      <c r="K16" s="140"/>
    </row>
    <row r="17" spans="1:12" ht="12.75">
      <c r="A17" s="126" t="s">
        <v>289</v>
      </c>
      <c r="B17" s="126"/>
      <c r="C17" s="141">
        <f>SUM(C7:C15)</f>
        <v>4547</v>
      </c>
      <c r="D17" s="142">
        <f>SUM(D7:D15)</f>
        <v>5390</v>
      </c>
      <c r="E17" s="143">
        <f>(C17/D17)</f>
        <v>0.8435992578849721</v>
      </c>
      <c r="F17" s="141">
        <f>SUM(F7:F15)</f>
        <v>5410</v>
      </c>
      <c r="G17" s="142">
        <f>SUM(G7:G15)</f>
        <v>4644</v>
      </c>
      <c r="H17" s="143">
        <f>(F17/G17)</f>
        <v>1.164944013781223</v>
      </c>
      <c r="I17" s="141">
        <f>SUM(I7:I15)</f>
        <v>26566</v>
      </c>
      <c r="J17" s="137">
        <f>SUM(J7:J15)</f>
        <v>77</v>
      </c>
      <c r="K17" s="144">
        <f>(I17/J17)</f>
        <v>345.012987012987</v>
      </c>
      <c r="L17" s="145">
        <f>K17/16</f>
        <v>21.56331168831169</v>
      </c>
    </row>
    <row r="18" spans="1:11" ht="12.75">
      <c r="A18" s="126"/>
      <c r="B18" s="126"/>
      <c r="C18" s="146"/>
      <c r="D18" s="126"/>
      <c r="E18" s="126"/>
      <c r="F18" s="146"/>
      <c r="G18" s="126"/>
      <c r="H18" s="126"/>
      <c r="I18" s="146"/>
      <c r="J18" s="126"/>
      <c r="K18" s="126"/>
    </row>
    <row r="19" spans="3:9" ht="12.75">
      <c r="C19" s="147"/>
      <c r="F19" s="147"/>
      <c r="I19" s="147"/>
    </row>
    <row r="20" spans="3:9" ht="12.75">
      <c r="C20" s="147"/>
      <c r="F20" s="147"/>
      <c r="I20" s="147"/>
    </row>
    <row r="21" spans="3:9" ht="12.75">
      <c r="C21" s="147"/>
      <c r="F21" s="147"/>
      <c r="I21" s="147"/>
    </row>
    <row r="22" spans="3:9" ht="12.75">
      <c r="C22" s="147"/>
      <c r="F22" s="147"/>
      <c r="I22" s="147"/>
    </row>
    <row r="23" spans="3:9" ht="12.75">
      <c r="C23" s="147"/>
      <c r="F23" s="147"/>
      <c r="I23" s="147"/>
    </row>
    <row r="24" spans="3:9" ht="12.75">
      <c r="C24" s="147"/>
      <c r="F24" s="147"/>
      <c r="I24" s="147"/>
    </row>
  </sheetData>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sheetPr codeName="Sheet10"/>
  <dimension ref="A1:T44"/>
  <sheetViews>
    <sheetView workbookViewId="0" topLeftCell="G1">
      <selection activeCell="H46" sqref="H46"/>
    </sheetView>
  </sheetViews>
  <sheetFormatPr defaultColWidth="9.140625" defaultRowHeight="12.75"/>
  <cols>
    <col min="1" max="1" width="9.8515625" style="148" customWidth="1"/>
    <col min="2" max="4" width="9.140625" style="148" customWidth="1"/>
    <col min="5" max="5" width="10.00390625" style="148" customWidth="1"/>
    <col min="6" max="6" width="9.140625" style="148" customWidth="1"/>
    <col min="7" max="7" width="13.140625" style="148" customWidth="1"/>
    <col min="8" max="11" width="9.140625" style="148" customWidth="1"/>
    <col min="12" max="12" width="10.140625" style="148" customWidth="1"/>
    <col min="13" max="13" width="9.140625" style="148" customWidth="1"/>
    <col min="14" max="14" width="12.00390625" style="148" customWidth="1"/>
    <col min="15" max="15" width="10.57421875" style="148" customWidth="1"/>
    <col min="16" max="16384" width="9.140625" style="148" customWidth="1"/>
  </cols>
  <sheetData>
    <row r="1" spans="1:20" ht="19.5" customHeight="1">
      <c r="A1" s="795" t="s">
        <v>290</v>
      </c>
      <c r="B1" s="796"/>
      <c r="C1" s="796"/>
      <c r="D1" s="796"/>
      <c r="E1" s="796"/>
      <c r="F1" s="796"/>
      <c r="G1" s="796"/>
      <c r="H1" s="796"/>
      <c r="I1" s="796"/>
      <c r="J1" s="796"/>
      <c r="K1" s="796"/>
      <c r="L1" s="796"/>
      <c r="M1" s="796"/>
      <c r="N1" s="796"/>
      <c r="O1" s="796"/>
      <c r="P1" s="796"/>
      <c r="Q1" s="796"/>
      <c r="R1" s="796"/>
      <c r="S1" s="796"/>
      <c r="T1" s="796"/>
    </row>
    <row r="2" spans="1:16" ht="12.75">
      <c r="A2" s="797" t="s">
        <v>291</v>
      </c>
      <c r="B2" s="799" t="s">
        <v>292</v>
      </c>
      <c r="C2" s="149" t="s">
        <v>293</v>
      </c>
      <c r="D2" s="150"/>
      <c r="E2" s="801" t="s">
        <v>294</v>
      </c>
      <c r="F2" s="793" t="s">
        <v>292</v>
      </c>
      <c r="G2" s="793" t="s">
        <v>295</v>
      </c>
      <c r="H2" s="793" t="s">
        <v>296</v>
      </c>
      <c r="I2" s="803" t="s">
        <v>297</v>
      </c>
      <c r="J2" s="149" t="s">
        <v>293</v>
      </c>
      <c r="K2" s="149"/>
      <c r="L2" s="805" t="s">
        <v>298</v>
      </c>
      <c r="M2" s="793" t="s">
        <v>292</v>
      </c>
      <c r="N2" s="807" t="s">
        <v>295</v>
      </c>
      <c r="O2" s="793" t="s">
        <v>296</v>
      </c>
      <c r="P2" s="151"/>
    </row>
    <row r="3" spans="1:16" ht="12.75">
      <c r="A3" s="798"/>
      <c r="B3" s="800"/>
      <c r="C3" s="152" t="s">
        <v>299</v>
      </c>
      <c r="D3" s="152" t="s">
        <v>243</v>
      </c>
      <c r="E3" s="802"/>
      <c r="F3" s="794"/>
      <c r="G3" s="794"/>
      <c r="H3" s="794"/>
      <c r="I3" s="804"/>
      <c r="J3" s="152" t="s">
        <v>299</v>
      </c>
      <c r="K3" s="152" t="s">
        <v>243</v>
      </c>
      <c r="L3" s="806"/>
      <c r="M3" s="794"/>
      <c r="N3" s="808"/>
      <c r="O3" s="794"/>
      <c r="P3" s="152" t="s">
        <v>243</v>
      </c>
    </row>
    <row r="4" spans="1:16" ht="12.75">
      <c r="A4" s="153" t="s">
        <v>300</v>
      </c>
      <c r="B4" s="154">
        <v>1140</v>
      </c>
      <c r="C4" s="155">
        <v>855</v>
      </c>
      <c r="D4" s="156">
        <f aca="true" t="shared" si="0" ref="D4:D9">C4/B4</f>
        <v>0.75</v>
      </c>
      <c r="E4" s="153" t="s">
        <v>301</v>
      </c>
      <c r="F4" s="154">
        <v>2029</v>
      </c>
      <c r="G4" s="157">
        <v>1450</v>
      </c>
      <c r="H4" s="157">
        <v>185</v>
      </c>
      <c r="I4" s="158">
        <v>50</v>
      </c>
      <c r="J4" s="158">
        <v>1685</v>
      </c>
      <c r="K4" s="159">
        <f>J4/F4</f>
        <v>0.830458353868901</v>
      </c>
      <c r="L4" s="153" t="s">
        <v>301</v>
      </c>
      <c r="M4" s="154">
        <v>1340</v>
      </c>
      <c r="N4" s="157">
        <v>830</v>
      </c>
      <c r="O4" s="157">
        <v>140</v>
      </c>
      <c r="P4" s="160">
        <f aca="true" t="shared" si="1" ref="P4:P13">N4/M4</f>
        <v>0.6194029850746269</v>
      </c>
    </row>
    <row r="5" spans="1:16" ht="12.75">
      <c r="A5" s="153" t="s">
        <v>300</v>
      </c>
      <c r="B5" s="154">
        <v>1170</v>
      </c>
      <c r="C5" s="157">
        <v>628</v>
      </c>
      <c r="D5" s="156">
        <f t="shared" si="0"/>
        <v>0.5367521367521367</v>
      </c>
      <c r="E5" s="153" t="s">
        <v>301</v>
      </c>
      <c r="F5" s="154">
        <v>1600</v>
      </c>
      <c r="G5" s="157">
        <v>3335</v>
      </c>
      <c r="H5" s="157"/>
      <c r="I5" s="158"/>
      <c r="J5" s="158">
        <v>3335</v>
      </c>
      <c r="K5" s="159">
        <f>J5/F5</f>
        <v>2.084375</v>
      </c>
      <c r="L5" s="153" t="s">
        <v>301</v>
      </c>
      <c r="M5" s="154">
        <v>710</v>
      </c>
      <c r="N5" s="157">
        <v>390.5</v>
      </c>
      <c r="O5" s="157">
        <v>100</v>
      </c>
      <c r="P5" s="160">
        <f t="shared" si="1"/>
        <v>0.55</v>
      </c>
    </row>
    <row r="6" spans="1:16" ht="12.75">
      <c r="A6" s="153" t="s">
        <v>300</v>
      </c>
      <c r="B6" s="154">
        <v>1181</v>
      </c>
      <c r="C6" s="157">
        <v>930</v>
      </c>
      <c r="D6" s="156">
        <f t="shared" si="0"/>
        <v>0.7874682472480948</v>
      </c>
      <c r="E6" s="153" t="s">
        <v>301</v>
      </c>
      <c r="F6" s="154">
        <v>1060</v>
      </c>
      <c r="G6" s="157">
        <v>435</v>
      </c>
      <c r="H6" s="157">
        <v>120</v>
      </c>
      <c r="I6" s="158">
        <v>40</v>
      </c>
      <c r="J6" s="158">
        <v>595</v>
      </c>
      <c r="K6" s="159">
        <f>J6/F6</f>
        <v>0.5613207547169812</v>
      </c>
      <c r="L6" s="153" t="s">
        <v>301</v>
      </c>
      <c r="M6" s="154">
        <v>998</v>
      </c>
      <c r="N6" s="157">
        <v>670</v>
      </c>
      <c r="O6" s="157">
        <v>154</v>
      </c>
      <c r="P6" s="160">
        <f t="shared" si="1"/>
        <v>0.6713426853707415</v>
      </c>
    </row>
    <row r="7" spans="1:16" ht="12.75">
      <c r="A7" s="153" t="s">
        <v>300</v>
      </c>
      <c r="B7" s="154">
        <v>1450</v>
      </c>
      <c r="C7" s="157">
        <v>1450</v>
      </c>
      <c r="D7" s="156">
        <f t="shared" si="0"/>
        <v>1</v>
      </c>
      <c r="E7" s="161" t="s">
        <v>302</v>
      </c>
      <c r="F7" s="162">
        <f aca="true" t="shared" si="2" ref="F7:K7">AVERAGE(F4:F6)</f>
        <v>1563</v>
      </c>
      <c r="G7" s="163">
        <f t="shared" si="2"/>
        <v>1740</v>
      </c>
      <c r="H7" s="163">
        <f t="shared" si="2"/>
        <v>152.5</v>
      </c>
      <c r="I7" s="163">
        <f t="shared" si="2"/>
        <v>45</v>
      </c>
      <c r="J7" s="163">
        <f t="shared" si="2"/>
        <v>1871.6666666666667</v>
      </c>
      <c r="K7" s="164">
        <f t="shared" si="2"/>
        <v>1.158718036195294</v>
      </c>
      <c r="L7" s="153" t="s">
        <v>301</v>
      </c>
      <c r="M7" s="154">
        <v>870</v>
      </c>
      <c r="N7" s="157">
        <v>540</v>
      </c>
      <c r="O7" s="157">
        <v>100</v>
      </c>
      <c r="P7" s="160">
        <f t="shared" si="1"/>
        <v>0.6206896551724138</v>
      </c>
    </row>
    <row r="8" spans="1:16" ht="12.75">
      <c r="A8" s="153" t="s">
        <v>300</v>
      </c>
      <c r="B8" s="154">
        <v>991</v>
      </c>
      <c r="C8" s="157">
        <v>812</v>
      </c>
      <c r="D8" s="156">
        <f t="shared" si="0"/>
        <v>0.8193743693239153</v>
      </c>
      <c r="E8" s="153"/>
      <c r="F8" s="154"/>
      <c r="G8" s="157"/>
      <c r="H8" s="157"/>
      <c r="I8" s="158"/>
      <c r="J8" s="158"/>
      <c r="K8" s="159"/>
      <c r="L8" s="153" t="s">
        <v>301</v>
      </c>
      <c r="M8" s="154">
        <v>1240</v>
      </c>
      <c r="N8" s="157">
        <v>870</v>
      </c>
      <c r="O8" s="157">
        <v>120</v>
      </c>
      <c r="P8" s="160">
        <f t="shared" si="1"/>
        <v>0.7016129032258065</v>
      </c>
    </row>
    <row r="9" spans="1:16" ht="12.75">
      <c r="A9" s="153" t="s">
        <v>300</v>
      </c>
      <c r="B9" s="154">
        <v>980</v>
      </c>
      <c r="C9" s="157">
        <v>744</v>
      </c>
      <c r="D9" s="156">
        <f t="shared" si="0"/>
        <v>0.7591836734693878</v>
      </c>
      <c r="E9" s="153" t="s">
        <v>303</v>
      </c>
      <c r="F9" s="154">
        <v>810</v>
      </c>
      <c r="G9" s="157">
        <v>600</v>
      </c>
      <c r="H9" s="157">
        <v>240</v>
      </c>
      <c r="I9" s="158"/>
      <c r="J9" s="158">
        <v>840</v>
      </c>
      <c r="K9" s="159">
        <f>J9/F9</f>
        <v>1.037037037037037</v>
      </c>
      <c r="L9" s="153" t="s">
        <v>301</v>
      </c>
      <c r="M9" s="154">
        <v>1060</v>
      </c>
      <c r="N9" s="157">
        <v>742</v>
      </c>
      <c r="O9" s="157">
        <v>55</v>
      </c>
      <c r="P9" s="160">
        <f t="shared" si="1"/>
        <v>0.7</v>
      </c>
    </row>
    <row r="10" spans="1:16" ht="12.75">
      <c r="A10" s="165"/>
      <c r="B10" s="154"/>
      <c r="C10" s="157"/>
      <c r="D10" s="156"/>
      <c r="E10" s="153" t="s">
        <v>303</v>
      </c>
      <c r="F10" s="154">
        <v>1070</v>
      </c>
      <c r="G10" s="157">
        <v>645</v>
      </c>
      <c r="H10" s="157">
        <v>180</v>
      </c>
      <c r="I10" s="158">
        <v>105</v>
      </c>
      <c r="J10" s="158">
        <v>930</v>
      </c>
      <c r="K10" s="159">
        <f>J10/F10</f>
        <v>0.8691588785046729</v>
      </c>
      <c r="L10" s="153" t="s">
        <v>301</v>
      </c>
      <c r="M10" s="154">
        <v>808</v>
      </c>
      <c r="N10" s="157">
        <v>565</v>
      </c>
      <c r="O10" s="157">
        <v>140</v>
      </c>
      <c r="P10" s="160">
        <f t="shared" si="1"/>
        <v>0.6992574257425742</v>
      </c>
    </row>
    <row r="11" spans="1:16" ht="12.75">
      <c r="A11" s="153" t="s">
        <v>300</v>
      </c>
      <c r="B11" s="154">
        <v>450</v>
      </c>
      <c r="C11" s="157">
        <v>405</v>
      </c>
      <c r="D11" s="156">
        <f>C11/B11</f>
        <v>0.9</v>
      </c>
      <c r="E11" s="161" t="s">
        <v>302</v>
      </c>
      <c r="F11" s="162">
        <f aca="true" t="shared" si="3" ref="F11:K11">AVERAGE(F9:F10)</f>
        <v>940</v>
      </c>
      <c r="G11" s="163">
        <f t="shared" si="3"/>
        <v>622.5</v>
      </c>
      <c r="H11" s="163">
        <f t="shared" si="3"/>
        <v>210</v>
      </c>
      <c r="I11" s="163">
        <f t="shared" si="3"/>
        <v>105</v>
      </c>
      <c r="J11" s="163">
        <f t="shared" si="3"/>
        <v>885</v>
      </c>
      <c r="K11" s="164">
        <f t="shared" si="3"/>
        <v>0.9530979577708549</v>
      </c>
      <c r="L11" s="153" t="s">
        <v>301</v>
      </c>
      <c r="M11" s="154">
        <v>720</v>
      </c>
      <c r="N11" s="157">
        <v>560</v>
      </c>
      <c r="O11" s="157">
        <v>103</v>
      </c>
      <c r="P11" s="160">
        <f t="shared" si="1"/>
        <v>0.7777777777777778</v>
      </c>
    </row>
    <row r="12" spans="1:16" ht="12.75">
      <c r="A12" s="153"/>
      <c r="B12" s="154"/>
      <c r="C12" s="157"/>
      <c r="D12" s="156"/>
      <c r="E12" s="153"/>
      <c r="F12" s="154"/>
      <c r="G12" s="157"/>
      <c r="H12" s="157"/>
      <c r="I12" s="158"/>
      <c r="J12" s="158"/>
      <c r="K12" s="159"/>
      <c r="L12" s="153" t="s">
        <v>301</v>
      </c>
      <c r="M12" s="154">
        <v>1131</v>
      </c>
      <c r="N12" s="157">
        <v>905</v>
      </c>
      <c r="O12" s="157">
        <v>235</v>
      </c>
      <c r="P12" s="160">
        <f t="shared" si="1"/>
        <v>0.8001768346595933</v>
      </c>
    </row>
    <row r="13" spans="1:16" ht="12.75">
      <c r="A13" s="153" t="s">
        <v>300</v>
      </c>
      <c r="B13" s="154">
        <v>595</v>
      </c>
      <c r="C13" s="157">
        <v>480</v>
      </c>
      <c r="D13" s="156">
        <f>C13/B13</f>
        <v>0.8067226890756303</v>
      </c>
      <c r="E13" s="153" t="s">
        <v>304</v>
      </c>
      <c r="F13" s="154">
        <v>720</v>
      </c>
      <c r="G13" s="157">
        <v>491</v>
      </c>
      <c r="H13" s="157">
        <v>90</v>
      </c>
      <c r="I13" s="158">
        <v>160</v>
      </c>
      <c r="J13" s="158">
        <v>741</v>
      </c>
      <c r="K13" s="159">
        <f>J13/F13</f>
        <v>1.0291666666666666</v>
      </c>
      <c r="L13" s="153" t="s">
        <v>301</v>
      </c>
      <c r="M13" s="154">
        <v>1635</v>
      </c>
      <c r="N13" s="157">
        <v>1195</v>
      </c>
      <c r="O13" s="157"/>
      <c r="P13" s="160">
        <f t="shared" si="1"/>
        <v>0.7308868501529052</v>
      </c>
    </row>
    <row r="14" spans="1:16" ht="12.75">
      <c r="A14" s="153"/>
      <c r="B14" s="154"/>
      <c r="C14" s="157"/>
      <c r="D14" s="156"/>
      <c r="E14" s="153" t="s">
        <v>304</v>
      </c>
      <c r="F14" s="154">
        <v>806</v>
      </c>
      <c r="G14" s="157">
        <v>440</v>
      </c>
      <c r="H14" s="157">
        <v>160</v>
      </c>
      <c r="I14" s="158">
        <v>105</v>
      </c>
      <c r="J14" s="158">
        <v>705</v>
      </c>
      <c r="K14" s="159">
        <f>J14/F14</f>
        <v>0.8746898263027295</v>
      </c>
      <c r="L14" s="161" t="s">
        <v>302</v>
      </c>
      <c r="M14" s="162">
        <f>AVERAGE(M4:M13)</f>
        <v>1051.2</v>
      </c>
      <c r="N14" s="163">
        <f>AVERAGE(N4:N13)</f>
        <v>726.75</v>
      </c>
      <c r="O14" s="163">
        <f>AVERAGE(O4:O13)</f>
        <v>127.44444444444444</v>
      </c>
      <c r="P14" s="164">
        <f>AVERAGE(P4:P13)</f>
        <v>0.6871147117176439</v>
      </c>
    </row>
    <row r="15" spans="1:16" ht="12.75">
      <c r="A15" s="153" t="s">
        <v>300</v>
      </c>
      <c r="B15" s="154">
        <v>1198</v>
      </c>
      <c r="C15" s="157">
        <v>990</v>
      </c>
      <c r="D15" s="156">
        <f aca="true" t="shared" si="4" ref="D15:D28">C15/B15</f>
        <v>0.8263772954924875</v>
      </c>
      <c r="E15" s="153" t="s">
        <v>304</v>
      </c>
      <c r="F15" s="154">
        <v>1635</v>
      </c>
      <c r="G15" s="157">
        <v>1280</v>
      </c>
      <c r="H15" s="157">
        <v>205</v>
      </c>
      <c r="I15" s="158">
        <v>80</v>
      </c>
      <c r="J15" s="158">
        <v>1565</v>
      </c>
      <c r="K15" s="159">
        <f>J15/F15</f>
        <v>0.9571865443425076</v>
      </c>
      <c r="L15" s="153"/>
      <c r="M15" s="154"/>
      <c r="N15" s="157"/>
      <c r="O15" s="157"/>
      <c r="P15" s="160"/>
    </row>
    <row r="16" spans="1:16" ht="12.75">
      <c r="A16" s="153" t="s">
        <v>300</v>
      </c>
      <c r="B16" s="154">
        <v>800</v>
      </c>
      <c r="C16" s="157">
        <v>700</v>
      </c>
      <c r="D16" s="156">
        <f t="shared" si="4"/>
        <v>0.875</v>
      </c>
      <c r="E16" s="161" t="s">
        <v>302</v>
      </c>
      <c r="F16" s="162">
        <f aca="true" t="shared" si="5" ref="F16:K16">AVERAGE(F13:F15)</f>
        <v>1053.6666666666667</v>
      </c>
      <c r="G16" s="163">
        <f t="shared" si="5"/>
        <v>737</v>
      </c>
      <c r="H16" s="163">
        <f t="shared" si="5"/>
        <v>151.66666666666666</v>
      </c>
      <c r="I16" s="163">
        <f t="shared" si="5"/>
        <v>115</v>
      </c>
      <c r="J16" s="163">
        <f t="shared" si="5"/>
        <v>1003.6666666666666</v>
      </c>
      <c r="K16" s="164">
        <f t="shared" si="5"/>
        <v>0.9536810124373013</v>
      </c>
      <c r="L16" s="153" t="s">
        <v>305</v>
      </c>
      <c r="M16" s="154">
        <v>1176</v>
      </c>
      <c r="N16" s="157">
        <v>940</v>
      </c>
      <c r="O16" s="157">
        <v>20</v>
      </c>
      <c r="P16" s="160">
        <f aca="true" t="shared" si="6" ref="P16:P24">N16/M16</f>
        <v>0.7993197278911565</v>
      </c>
    </row>
    <row r="17" spans="1:16" ht="12.75">
      <c r="A17" s="153" t="s">
        <v>300</v>
      </c>
      <c r="B17" s="154">
        <v>1530</v>
      </c>
      <c r="C17" s="157">
        <v>1445</v>
      </c>
      <c r="D17" s="156">
        <f t="shared" si="4"/>
        <v>0.9444444444444444</v>
      </c>
      <c r="E17" s="153"/>
      <c r="F17" s="154"/>
      <c r="G17" s="157"/>
      <c r="H17" s="157"/>
      <c r="I17" s="158"/>
      <c r="J17" s="158"/>
      <c r="K17" s="159"/>
      <c r="L17" s="153" t="s">
        <v>305</v>
      </c>
      <c r="M17" s="154">
        <v>1078</v>
      </c>
      <c r="N17" s="157">
        <v>910</v>
      </c>
      <c r="O17" s="157">
        <v>54</v>
      </c>
      <c r="P17" s="160">
        <f t="shared" si="6"/>
        <v>0.8441558441558441</v>
      </c>
    </row>
    <row r="18" spans="1:16" ht="12.75">
      <c r="A18" s="153" t="s">
        <v>300</v>
      </c>
      <c r="B18" s="154">
        <v>1078</v>
      </c>
      <c r="C18" s="157">
        <v>980</v>
      </c>
      <c r="D18" s="156">
        <f t="shared" si="4"/>
        <v>0.9090909090909091</v>
      </c>
      <c r="E18" s="153" t="s">
        <v>306</v>
      </c>
      <c r="F18" s="154">
        <v>1340</v>
      </c>
      <c r="G18" s="157">
        <v>817</v>
      </c>
      <c r="H18" s="157">
        <v>195</v>
      </c>
      <c r="I18" s="158"/>
      <c r="J18" s="158">
        <v>1082</v>
      </c>
      <c r="K18" s="159">
        <f aca="true" t="shared" si="7" ref="K18:K34">J18/F18</f>
        <v>0.8074626865671641</v>
      </c>
      <c r="L18" s="153" t="s">
        <v>305</v>
      </c>
      <c r="M18" s="154">
        <v>2029</v>
      </c>
      <c r="N18" s="157">
        <v>1685</v>
      </c>
      <c r="O18" s="157">
        <v>235</v>
      </c>
      <c r="P18" s="160">
        <f t="shared" si="6"/>
        <v>0.830458353868901</v>
      </c>
    </row>
    <row r="19" spans="1:16" ht="12.75">
      <c r="A19" s="153" t="s">
        <v>300</v>
      </c>
      <c r="B19" s="154">
        <v>847</v>
      </c>
      <c r="C19" s="157">
        <v>680</v>
      </c>
      <c r="D19" s="156">
        <f t="shared" si="4"/>
        <v>0.8028335301062574</v>
      </c>
      <c r="E19" s="153" t="s">
        <v>306</v>
      </c>
      <c r="F19" s="154">
        <v>396</v>
      </c>
      <c r="G19" s="157">
        <v>270</v>
      </c>
      <c r="H19" s="157">
        <v>135</v>
      </c>
      <c r="I19" s="158"/>
      <c r="J19" s="158">
        <v>405</v>
      </c>
      <c r="K19" s="159">
        <f t="shared" si="7"/>
        <v>1.0227272727272727</v>
      </c>
      <c r="L19" s="153" t="s">
        <v>305</v>
      </c>
      <c r="M19" s="154">
        <v>944</v>
      </c>
      <c r="N19" s="157">
        <v>715</v>
      </c>
      <c r="O19" s="157">
        <v>116</v>
      </c>
      <c r="P19" s="160">
        <f t="shared" si="6"/>
        <v>0.7574152542372882</v>
      </c>
    </row>
    <row r="20" spans="1:16" ht="12.75">
      <c r="A20" s="153" t="s">
        <v>300</v>
      </c>
      <c r="B20" s="154">
        <v>1418</v>
      </c>
      <c r="C20" s="157">
        <v>1067</v>
      </c>
      <c r="D20" s="156">
        <f t="shared" si="4"/>
        <v>0.7524682651622003</v>
      </c>
      <c r="E20" s="153" t="s">
        <v>306</v>
      </c>
      <c r="F20" s="154">
        <v>1176</v>
      </c>
      <c r="G20" s="157">
        <v>705</v>
      </c>
      <c r="H20" s="157">
        <v>240</v>
      </c>
      <c r="I20" s="158">
        <v>55</v>
      </c>
      <c r="J20" s="158">
        <v>1000</v>
      </c>
      <c r="K20" s="159">
        <f t="shared" si="7"/>
        <v>0.8503401360544217</v>
      </c>
      <c r="L20" s="153" t="s">
        <v>305</v>
      </c>
      <c r="M20" s="154">
        <v>1330</v>
      </c>
      <c r="N20" s="157">
        <v>1070</v>
      </c>
      <c r="O20" s="157">
        <v>180</v>
      </c>
      <c r="P20" s="160">
        <f t="shared" si="6"/>
        <v>0.8045112781954887</v>
      </c>
    </row>
    <row r="21" spans="1:16" ht="12.75">
      <c r="A21" s="153" t="s">
        <v>300</v>
      </c>
      <c r="B21" s="154">
        <v>1080</v>
      </c>
      <c r="C21" s="157">
        <v>1025</v>
      </c>
      <c r="D21" s="156">
        <f t="shared" si="4"/>
        <v>0.9490740740740741</v>
      </c>
      <c r="E21" s="153" t="s">
        <v>306</v>
      </c>
      <c r="F21" s="154">
        <v>998</v>
      </c>
      <c r="G21" s="157">
        <v>680</v>
      </c>
      <c r="H21" s="157">
        <v>230</v>
      </c>
      <c r="I21" s="158">
        <v>70</v>
      </c>
      <c r="J21" s="158">
        <v>980</v>
      </c>
      <c r="K21" s="159">
        <f t="shared" si="7"/>
        <v>0.9819639278557114</v>
      </c>
      <c r="L21" s="153" t="s">
        <v>305</v>
      </c>
      <c r="M21" s="154">
        <v>905</v>
      </c>
      <c r="N21" s="157">
        <v>775</v>
      </c>
      <c r="O21" s="157">
        <v>245</v>
      </c>
      <c r="P21" s="160">
        <f t="shared" si="6"/>
        <v>0.856353591160221</v>
      </c>
    </row>
    <row r="22" spans="1:16" ht="12.75">
      <c r="A22" s="153" t="s">
        <v>300</v>
      </c>
      <c r="B22" s="154">
        <v>1450</v>
      </c>
      <c r="C22" s="157">
        <v>1305</v>
      </c>
      <c r="D22" s="156">
        <f t="shared" si="4"/>
        <v>0.9</v>
      </c>
      <c r="E22" s="153" t="s">
        <v>306</v>
      </c>
      <c r="F22" s="154">
        <v>1078</v>
      </c>
      <c r="G22" s="157">
        <v>700</v>
      </c>
      <c r="H22" s="157">
        <v>228</v>
      </c>
      <c r="I22" s="158">
        <v>125</v>
      </c>
      <c r="J22" s="158">
        <v>1053</v>
      </c>
      <c r="K22" s="159">
        <f t="shared" si="7"/>
        <v>0.9768089053803339</v>
      </c>
      <c r="L22" s="153" t="s">
        <v>305</v>
      </c>
      <c r="M22" s="154">
        <v>1226</v>
      </c>
      <c r="N22" s="157">
        <v>1068</v>
      </c>
      <c r="O22" s="157">
        <v>45</v>
      </c>
      <c r="P22" s="160">
        <f t="shared" si="6"/>
        <v>0.8711256117455138</v>
      </c>
    </row>
    <row r="23" spans="1:16" ht="12.75">
      <c r="A23" s="153" t="s">
        <v>300</v>
      </c>
      <c r="B23" s="154">
        <v>320</v>
      </c>
      <c r="C23" s="157">
        <v>320</v>
      </c>
      <c r="D23" s="156">
        <f t="shared" si="4"/>
        <v>1</v>
      </c>
      <c r="E23" s="153" t="s">
        <v>306</v>
      </c>
      <c r="F23" s="154">
        <v>870</v>
      </c>
      <c r="G23" s="157">
        <v>550</v>
      </c>
      <c r="H23" s="157">
        <v>75</v>
      </c>
      <c r="I23" s="158">
        <v>50</v>
      </c>
      <c r="J23" s="158">
        <v>675</v>
      </c>
      <c r="K23" s="159">
        <f t="shared" si="7"/>
        <v>0.7758620689655172</v>
      </c>
      <c r="L23" s="153" t="s">
        <v>305</v>
      </c>
      <c r="M23" s="154">
        <v>1070</v>
      </c>
      <c r="N23" s="157">
        <v>1020</v>
      </c>
      <c r="O23" s="157">
        <v>50</v>
      </c>
      <c r="P23" s="160">
        <f t="shared" si="6"/>
        <v>0.9532710280373832</v>
      </c>
    </row>
    <row r="24" spans="1:16" ht="12.75">
      <c r="A24" s="153" t="s">
        <v>300</v>
      </c>
      <c r="B24" s="154">
        <v>217</v>
      </c>
      <c r="C24" s="157">
        <v>145</v>
      </c>
      <c r="D24" s="156">
        <f t="shared" si="4"/>
        <v>0.6682027649769585</v>
      </c>
      <c r="E24" s="153" t="s">
        <v>306</v>
      </c>
      <c r="F24" s="154">
        <v>1352</v>
      </c>
      <c r="G24" s="157">
        <v>815</v>
      </c>
      <c r="H24" s="157">
        <v>210</v>
      </c>
      <c r="I24" s="158">
        <v>65</v>
      </c>
      <c r="J24" s="158">
        <v>1090</v>
      </c>
      <c r="K24" s="159">
        <f t="shared" si="7"/>
        <v>0.8062130177514792</v>
      </c>
      <c r="L24" s="153" t="s">
        <v>305</v>
      </c>
      <c r="M24" s="154">
        <v>950</v>
      </c>
      <c r="N24" s="157">
        <v>810</v>
      </c>
      <c r="O24" s="157">
        <v>120</v>
      </c>
      <c r="P24" s="160">
        <f t="shared" si="6"/>
        <v>0.8526315789473684</v>
      </c>
    </row>
    <row r="25" spans="1:16" ht="12.75">
      <c r="A25" s="153" t="s">
        <v>300</v>
      </c>
      <c r="B25" s="154">
        <v>1730</v>
      </c>
      <c r="C25" s="157">
        <v>1730</v>
      </c>
      <c r="D25" s="156">
        <f t="shared" si="4"/>
        <v>1</v>
      </c>
      <c r="E25" s="153" t="s">
        <v>306</v>
      </c>
      <c r="F25" s="154">
        <v>976</v>
      </c>
      <c r="G25" s="157">
        <v>685</v>
      </c>
      <c r="H25" s="157">
        <v>125</v>
      </c>
      <c r="I25" s="158"/>
      <c r="J25" s="158">
        <v>810</v>
      </c>
      <c r="K25" s="159">
        <f t="shared" si="7"/>
        <v>0.8299180327868853</v>
      </c>
      <c r="L25" s="161" t="s">
        <v>302</v>
      </c>
      <c r="M25" s="162">
        <f>AVERAGE(M16:M24)</f>
        <v>1189.7777777777778</v>
      </c>
      <c r="N25" s="163">
        <f>AVERAGE(N16:N24)</f>
        <v>999.2222222222222</v>
      </c>
      <c r="O25" s="163">
        <f>AVERAGE(O16:O24)</f>
        <v>118.33333333333333</v>
      </c>
      <c r="P25" s="164">
        <f>AVERAGE(P16:P24)</f>
        <v>0.8410269186932405</v>
      </c>
    </row>
    <row r="26" spans="1:16" ht="12.75">
      <c r="A26" s="153" t="s">
        <v>300</v>
      </c>
      <c r="B26" s="166">
        <v>1310</v>
      </c>
      <c r="C26" s="157">
        <v>1106</v>
      </c>
      <c r="D26" s="156">
        <f t="shared" si="4"/>
        <v>0.8442748091603054</v>
      </c>
      <c r="E26" s="153" t="s">
        <v>306</v>
      </c>
      <c r="F26" s="154">
        <v>700</v>
      </c>
      <c r="G26" s="157">
        <v>545</v>
      </c>
      <c r="H26" s="157">
        <v>1095</v>
      </c>
      <c r="I26" s="158">
        <v>60</v>
      </c>
      <c r="J26" s="158">
        <v>1700</v>
      </c>
      <c r="K26" s="159">
        <f t="shared" si="7"/>
        <v>2.4285714285714284</v>
      </c>
      <c r="L26" s="153"/>
      <c r="M26" s="154"/>
      <c r="N26" s="157"/>
      <c r="O26" s="157"/>
      <c r="P26" s="160"/>
    </row>
    <row r="27" spans="1:16" ht="12.75">
      <c r="A27" s="153" t="s">
        <v>300</v>
      </c>
      <c r="B27" s="166">
        <v>880</v>
      </c>
      <c r="C27" s="157">
        <v>880</v>
      </c>
      <c r="D27" s="156">
        <f t="shared" si="4"/>
        <v>1</v>
      </c>
      <c r="E27" s="153" t="s">
        <v>306</v>
      </c>
      <c r="F27" s="154">
        <v>965</v>
      </c>
      <c r="G27" s="157">
        <v>785</v>
      </c>
      <c r="H27" s="157">
        <v>220</v>
      </c>
      <c r="I27" s="158">
        <v>40</v>
      </c>
      <c r="J27" s="158">
        <v>1045</v>
      </c>
      <c r="K27" s="159">
        <f t="shared" si="7"/>
        <v>1.0829015544041452</v>
      </c>
      <c r="L27" s="153" t="s">
        <v>304</v>
      </c>
      <c r="M27" s="154">
        <v>987</v>
      </c>
      <c r="N27" s="157">
        <v>840</v>
      </c>
      <c r="O27" s="157">
        <v>130</v>
      </c>
      <c r="P27" s="160">
        <f aca="true" t="shared" si="8" ref="P27:P32">N27/M27</f>
        <v>0.851063829787234</v>
      </c>
    </row>
    <row r="28" spans="1:16" ht="12.75">
      <c r="A28" s="153" t="s">
        <v>300</v>
      </c>
      <c r="B28" s="166">
        <v>1274</v>
      </c>
      <c r="C28" s="157">
        <v>1200</v>
      </c>
      <c r="D28" s="156">
        <f t="shared" si="4"/>
        <v>0.9419152276295133</v>
      </c>
      <c r="E28" s="153" t="s">
        <v>306</v>
      </c>
      <c r="F28" s="154">
        <v>519</v>
      </c>
      <c r="G28" s="157">
        <v>360</v>
      </c>
      <c r="H28" s="157">
        <v>270</v>
      </c>
      <c r="I28" s="158">
        <v>110</v>
      </c>
      <c r="J28" s="158">
        <v>740</v>
      </c>
      <c r="K28" s="159">
        <f t="shared" si="7"/>
        <v>1.4258188824662814</v>
      </c>
      <c r="L28" s="153" t="s">
        <v>304</v>
      </c>
      <c r="M28" s="154">
        <v>1014</v>
      </c>
      <c r="N28" s="157">
        <v>860</v>
      </c>
      <c r="O28" s="157">
        <v>70</v>
      </c>
      <c r="P28" s="160">
        <f t="shared" si="8"/>
        <v>0.8481262327416174</v>
      </c>
    </row>
    <row r="29" spans="1:16" ht="12.75" customHeight="1">
      <c r="A29" s="167" t="s">
        <v>293</v>
      </c>
      <c r="B29" s="168"/>
      <c r="C29" s="169"/>
      <c r="D29" s="170"/>
      <c r="E29" s="153" t="s">
        <v>306</v>
      </c>
      <c r="F29" s="154">
        <v>1370</v>
      </c>
      <c r="G29" s="157">
        <v>830</v>
      </c>
      <c r="H29" s="157">
        <v>194</v>
      </c>
      <c r="I29" s="158">
        <v>218</v>
      </c>
      <c r="J29" s="158">
        <v>1242</v>
      </c>
      <c r="K29" s="159">
        <f t="shared" si="7"/>
        <v>0.9065693430656935</v>
      </c>
      <c r="L29" s="153" t="s">
        <v>304</v>
      </c>
      <c r="M29" s="154">
        <v>1370</v>
      </c>
      <c r="N29" s="157">
        <v>1070</v>
      </c>
      <c r="O29" s="157">
        <v>155</v>
      </c>
      <c r="P29" s="160">
        <f t="shared" si="8"/>
        <v>0.781021897810219</v>
      </c>
    </row>
    <row r="30" spans="1:18" ht="0.75" customHeight="1">
      <c r="A30" s="171"/>
      <c r="C30" s="172"/>
      <c r="E30" s="153" t="s">
        <v>306</v>
      </c>
      <c r="F30" s="154">
        <v>616</v>
      </c>
      <c r="G30" s="157">
        <v>560</v>
      </c>
      <c r="H30" s="157">
        <v>245</v>
      </c>
      <c r="I30" s="158">
        <v>25</v>
      </c>
      <c r="J30" s="158">
        <v>830</v>
      </c>
      <c r="K30" s="159">
        <f t="shared" si="7"/>
        <v>1.3474025974025974</v>
      </c>
      <c r="L30" s="153" t="s">
        <v>304</v>
      </c>
      <c r="M30" s="154">
        <v>806</v>
      </c>
      <c r="N30" s="157">
        <v>765</v>
      </c>
      <c r="O30" s="157">
        <v>75</v>
      </c>
      <c r="P30" s="160">
        <f t="shared" si="8"/>
        <v>0.9491315136476427</v>
      </c>
      <c r="R30" s="173"/>
    </row>
    <row r="31" spans="1:16" ht="12.75">
      <c r="A31" s="161" t="s">
        <v>302</v>
      </c>
      <c r="B31" s="174">
        <v>1049</v>
      </c>
      <c r="C31" s="175">
        <v>864</v>
      </c>
      <c r="D31" s="176">
        <f>C31/B31</f>
        <v>0.8236415633937083</v>
      </c>
      <c r="E31" s="153" t="s">
        <v>306</v>
      </c>
      <c r="F31" s="154">
        <v>1453</v>
      </c>
      <c r="G31" s="157">
        <v>2284</v>
      </c>
      <c r="H31" s="157">
        <v>175</v>
      </c>
      <c r="I31" s="158"/>
      <c r="J31" s="158">
        <v>2459</v>
      </c>
      <c r="K31" s="159">
        <f t="shared" si="7"/>
        <v>1.692360633172746</v>
      </c>
      <c r="L31" s="153" t="s">
        <v>304</v>
      </c>
      <c r="M31" s="154">
        <v>1255</v>
      </c>
      <c r="N31" s="157">
        <v>1005</v>
      </c>
      <c r="O31" s="157">
        <v>205</v>
      </c>
      <c r="P31" s="160">
        <f t="shared" si="8"/>
        <v>0.8007968127490039</v>
      </c>
    </row>
    <row r="32" spans="1:16" ht="12.75">
      <c r="A32" s="177"/>
      <c r="C32" s="117"/>
      <c r="D32" s="117"/>
      <c r="E32" s="153" t="s">
        <v>306</v>
      </c>
      <c r="F32" s="154">
        <v>1030</v>
      </c>
      <c r="G32" s="157">
        <v>1090</v>
      </c>
      <c r="H32" s="157"/>
      <c r="I32" s="158"/>
      <c r="J32" s="158">
        <v>1090</v>
      </c>
      <c r="K32" s="159">
        <f t="shared" si="7"/>
        <v>1.058252427184466</v>
      </c>
      <c r="L32" s="178" t="s">
        <v>304</v>
      </c>
      <c r="M32" s="179">
        <v>920</v>
      </c>
      <c r="N32" s="180">
        <v>975</v>
      </c>
      <c r="O32" s="180"/>
      <c r="P32" s="160">
        <f t="shared" si="8"/>
        <v>1.059782608695652</v>
      </c>
    </row>
    <row r="33" spans="1:16" ht="12.75">
      <c r="A33" s="177"/>
      <c r="E33" s="153" t="s">
        <v>306</v>
      </c>
      <c r="F33" s="154">
        <v>1104</v>
      </c>
      <c r="G33" s="157">
        <v>809</v>
      </c>
      <c r="H33" s="157">
        <v>108</v>
      </c>
      <c r="I33" s="158"/>
      <c r="J33" s="158">
        <v>917</v>
      </c>
      <c r="K33" s="159">
        <f t="shared" si="7"/>
        <v>0.8306159420289855</v>
      </c>
      <c r="L33" s="181" t="s">
        <v>302</v>
      </c>
      <c r="M33" s="162">
        <f>AVERAGE(M27:M32)</f>
        <v>1058.6666666666667</v>
      </c>
      <c r="N33" s="182">
        <f>AVERAGE(N27:N32)</f>
        <v>919.1666666666666</v>
      </c>
      <c r="O33" s="182">
        <f>AVERAGE(O27:O32)</f>
        <v>127</v>
      </c>
      <c r="P33" s="164">
        <f>AVERAGE(P27:P32)</f>
        <v>0.8816538159052282</v>
      </c>
    </row>
    <row r="34" spans="5:16" ht="12.75">
      <c r="E34" s="153" t="s">
        <v>306</v>
      </c>
      <c r="F34" s="154">
        <v>456</v>
      </c>
      <c r="G34" s="157">
        <v>500</v>
      </c>
      <c r="H34" s="157">
        <v>60</v>
      </c>
      <c r="I34" s="158">
        <v>60</v>
      </c>
      <c r="J34" s="158">
        <v>620</v>
      </c>
      <c r="K34" s="159">
        <f t="shared" si="7"/>
        <v>1.3596491228070176</v>
      </c>
      <c r="N34" s="173"/>
      <c r="P34" s="183"/>
    </row>
    <row r="35" spans="5:16" ht="12.75">
      <c r="E35" s="161" t="s">
        <v>302</v>
      </c>
      <c r="F35" s="162">
        <f aca="true" t="shared" si="9" ref="F35:K35">AVERAGE(F18:F34)</f>
        <v>964.6470588235294</v>
      </c>
      <c r="G35" s="163">
        <f t="shared" si="9"/>
        <v>763.8235294117648</v>
      </c>
      <c r="H35" s="163">
        <f t="shared" si="9"/>
        <v>237.8125</v>
      </c>
      <c r="I35" s="163">
        <f t="shared" si="9"/>
        <v>79.81818181818181</v>
      </c>
      <c r="J35" s="163">
        <f t="shared" si="9"/>
        <v>1043.4117647058824</v>
      </c>
      <c r="K35" s="164">
        <f t="shared" si="9"/>
        <v>1.1284375281877732</v>
      </c>
      <c r="L35" s="184" t="s">
        <v>302</v>
      </c>
      <c r="M35" s="185">
        <v>1102</v>
      </c>
      <c r="N35" s="186">
        <v>871</v>
      </c>
      <c r="O35" s="187">
        <v>124</v>
      </c>
      <c r="P35" s="187">
        <f>N35/M35</f>
        <v>0.7903811252268602</v>
      </c>
    </row>
    <row r="36" spans="7:16" ht="12.75">
      <c r="G36" s="172"/>
      <c r="H36" s="172"/>
      <c r="I36" s="172"/>
      <c r="J36" s="172"/>
      <c r="K36" s="159"/>
      <c r="N36" s="117"/>
      <c r="O36" s="188"/>
      <c r="P36" s="183"/>
    </row>
    <row r="37" spans="5:15" ht="12.75">
      <c r="E37" s="184" t="s">
        <v>302</v>
      </c>
      <c r="F37" s="185">
        <v>1008</v>
      </c>
      <c r="G37" s="189">
        <v>814</v>
      </c>
      <c r="H37" s="190">
        <v>217</v>
      </c>
      <c r="I37" s="189">
        <v>83</v>
      </c>
      <c r="J37" s="189">
        <v>1125</v>
      </c>
      <c r="K37" s="186">
        <f>J37/F37</f>
        <v>1.1160714285714286</v>
      </c>
      <c r="O37" s="188"/>
    </row>
    <row r="38" spans="7:15" ht="12.75">
      <c r="G38" s="117"/>
      <c r="O38" s="188"/>
    </row>
    <row r="39" spans="1:15" ht="12.75">
      <c r="A39" s="177" t="s">
        <v>307</v>
      </c>
      <c r="G39" s="254" t="s">
        <v>435</v>
      </c>
      <c r="I39" s="254" t="s">
        <v>432</v>
      </c>
      <c r="L39" s="254" t="s">
        <v>431</v>
      </c>
      <c r="O39" s="188"/>
    </row>
    <row r="40" spans="7:13" ht="12.75">
      <c r="G40" s="254" t="s">
        <v>436</v>
      </c>
      <c r="H40" s="173">
        <f>D31</f>
        <v>0.8236415633937083</v>
      </c>
      <c r="I40" s="254" t="s">
        <v>426</v>
      </c>
      <c r="J40" s="173">
        <f>K6</f>
        <v>0.5613207547169812</v>
      </c>
      <c r="L40" s="254" t="s">
        <v>426</v>
      </c>
      <c r="M40" s="173">
        <f>P14</f>
        <v>0.6871147117176439</v>
      </c>
    </row>
    <row r="41" spans="1:13" ht="12.75">
      <c r="A41" s="177" t="s">
        <v>308</v>
      </c>
      <c r="I41" s="254" t="s">
        <v>428</v>
      </c>
      <c r="J41" s="173">
        <f>K16</f>
        <v>0.9536810124373013</v>
      </c>
      <c r="L41" s="254" t="s">
        <v>427</v>
      </c>
      <c r="M41" s="173">
        <f>P25</f>
        <v>0.8410269186932405</v>
      </c>
    </row>
    <row r="42" spans="9:13" ht="12.75">
      <c r="I42" s="254" t="s">
        <v>433</v>
      </c>
      <c r="J42" s="173">
        <f>K35</f>
        <v>1.1284375281877732</v>
      </c>
      <c r="L42" s="254" t="s">
        <v>428</v>
      </c>
      <c r="M42" s="173">
        <f>P33</f>
        <v>0.8816538159052282</v>
      </c>
    </row>
    <row r="43" spans="9:13" ht="12.75">
      <c r="I43" s="254" t="s">
        <v>429</v>
      </c>
      <c r="J43" s="173">
        <f>J41-J40</f>
        <v>0.3923602577203201</v>
      </c>
      <c r="L43" s="254" t="s">
        <v>430</v>
      </c>
      <c r="M43" s="173">
        <f>M42-M41</f>
        <v>0.040626897211987645</v>
      </c>
    </row>
    <row r="44" spans="9:13" ht="12.75">
      <c r="I44" s="254" t="s">
        <v>434</v>
      </c>
      <c r="J44" s="173">
        <f>J42-J40</f>
        <v>0.567116773470792</v>
      </c>
      <c r="L44" s="254" t="s">
        <v>429</v>
      </c>
      <c r="M44" s="173">
        <f>M42-M40</f>
        <v>0.19453910418758424</v>
      </c>
    </row>
  </sheetData>
  <mergeCells count="12">
    <mergeCell ref="L2:L3"/>
    <mergeCell ref="N2:N3"/>
    <mergeCell ref="O2:O3"/>
    <mergeCell ref="A1:T1"/>
    <mergeCell ref="A2:A3"/>
    <mergeCell ref="B2:B3"/>
    <mergeCell ref="E2:E3"/>
    <mergeCell ref="F2:F3"/>
    <mergeCell ref="G2:G3"/>
    <mergeCell ref="H2:H3"/>
    <mergeCell ref="M2:M3"/>
    <mergeCell ref="I2:I3"/>
  </mergeCells>
  <printOptions horizontalCentered="1" verticalCentered="1"/>
  <pageMargins left="0.5" right="0.5" top="1" bottom="1" header="0.5" footer="0.5"/>
  <pageSetup horizontalDpi="300" verticalDpi="300" orientation="landscape" paperSize="5" r:id="rId1"/>
</worksheet>
</file>

<file path=xl/worksheets/sheet13.xml><?xml version="1.0" encoding="utf-8"?>
<worksheet xmlns="http://schemas.openxmlformats.org/spreadsheetml/2006/main" xmlns:r="http://schemas.openxmlformats.org/officeDocument/2006/relationships">
  <sheetPr codeName="Sheet11"/>
  <dimension ref="A1:H37"/>
  <sheetViews>
    <sheetView workbookViewId="0" topLeftCell="A19">
      <selection activeCell="J12" sqref="J12"/>
    </sheetView>
  </sheetViews>
  <sheetFormatPr defaultColWidth="9.140625" defaultRowHeight="12.75"/>
  <cols>
    <col min="1" max="1" width="24.421875" style="120" customWidth="1"/>
    <col min="2" max="2" width="14.57421875" style="120" customWidth="1"/>
    <col min="3" max="3" width="15.00390625" style="120" customWidth="1"/>
    <col min="4" max="5" width="13.7109375" style="120" customWidth="1"/>
    <col min="6" max="6" width="11.421875" style="120" customWidth="1"/>
    <col min="7" max="8" width="9.7109375" style="120" customWidth="1"/>
    <col min="9" max="9" width="11.57421875" style="120" customWidth="1"/>
    <col min="10" max="10" width="18.57421875" style="120" customWidth="1"/>
    <col min="11" max="11" width="11.57421875" style="120" customWidth="1"/>
    <col min="12" max="16384" width="11.421875" style="120" customWidth="1"/>
  </cols>
  <sheetData>
    <row r="1" spans="1:8" ht="15.75">
      <c r="A1" s="191" t="s">
        <v>309</v>
      </c>
      <c r="B1" s="192" t="s">
        <v>310</v>
      </c>
      <c r="C1" s="192"/>
      <c r="D1" s="193" t="s">
        <v>311</v>
      </c>
      <c r="E1" s="192"/>
      <c r="F1" s="194"/>
      <c r="G1" s="194"/>
      <c r="H1" s="195"/>
    </row>
    <row r="2" spans="1:8" ht="15.75">
      <c r="A2" s="191"/>
      <c r="B2" s="191">
        <v>1993</v>
      </c>
      <c r="C2" s="196">
        <v>1994</v>
      </c>
      <c r="D2" s="191">
        <v>1993</v>
      </c>
      <c r="E2" s="196">
        <v>1994</v>
      </c>
      <c r="F2" s="194"/>
      <c r="G2" s="194"/>
      <c r="H2" s="195"/>
    </row>
    <row r="3" spans="1:7" ht="15.75">
      <c r="A3" s="191" t="s">
        <v>57</v>
      </c>
      <c r="B3" s="191" t="s">
        <v>312</v>
      </c>
      <c r="C3" s="191" t="s">
        <v>312</v>
      </c>
      <c r="D3" s="191" t="s">
        <v>312</v>
      </c>
      <c r="E3" s="191" t="s">
        <v>312</v>
      </c>
      <c r="F3" s="194"/>
      <c r="G3" s="194"/>
    </row>
    <row r="4" spans="1:7" ht="15.75">
      <c r="A4" s="191" t="s">
        <v>313</v>
      </c>
      <c r="B4" s="197">
        <v>0.4</v>
      </c>
      <c r="C4" s="197">
        <v>0.35</v>
      </c>
      <c r="D4" s="197" t="s">
        <v>314</v>
      </c>
      <c r="E4" s="197" t="s">
        <v>314</v>
      </c>
      <c r="F4" s="194"/>
      <c r="G4" s="194"/>
    </row>
    <row r="5" spans="1:7" ht="15.75">
      <c r="A5" s="191" t="s">
        <v>315</v>
      </c>
      <c r="B5" s="197">
        <v>0.39</v>
      </c>
      <c r="C5" s="197">
        <v>0.39</v>
      </c>
      <c r="D5" s="197">
        <v>0.33</v>
      </c>
      <c r="E5" s="197" t="s">
        <v>314</v>
      </c>
      <c r="F5" s="194"/>
      <c r="G5" s="194"/>
    </row>
    <row r="6" spans="1:7" ht="15.75">
      <c r="A6" s="191" t="s">
        <v>316</v>
      </c>
      <c r="B6" s="197">
        <v>0.47</v>
      </c>
      <c r="C6" s="197">
        <v>0.49</v>
      </c>
      <c r="D6" s="197">
        <v>0.5</v>
      </c>
      <c r="E6" s="197" t="s">
        <v>314</v>
      </c>
      <c r="F6" s="194"/>
      <c r="G6" s="194"/>
    </row>
    <row r="7" spans="1:7" ht="15.75">
      <c r="A7" s="191" t="s">
        <v>317</v>
      </c>
      <c r="B7" s="197">
        <v>0.57</v>
      </c>
      <c r="C7" s="197">
        <v>0.57</v>
      </c>
      <c r="D7" s="197" t="s">
        <v>314</v>
      </c>
      <c r="E7" s="197" t="s">
        <v>314</v>
      </c>
      <c r="F7" s="194"/>
      <c r="G7" s="194"/>
    </row>
    <row r="8" spans="1:7" ht="15.75">
      <c r="A8" s="191"/>
      <c r="B8" s="197"/>
      <c r="C8" s="197"/>
      <c r="D8" s="197"/>
      <c r="E8" s="197"/>
      <c r="F8" s="194"/>
      <c r="G8" s="194"/>
    </row>
    <row r="9" spans="1:7" ht="15.75">
      <c r="A9" s="191" t="s">
        <v>318</v>
      </c>
      <c r="B9" s="197">
        <v>0.58</v>
      </c>
      <c r="C9" s="197">
        <v>0.63</v>
      </c>
      <c r="D9" s="197">
        <v>0.48</v>
      </c>
      <c r="E9" s="197">
        <v>0.6</v>
      </c>
      <c r="F9" s="194"/>
      <c r="G9" s="194"/>
    </row>
    <row r="10" spans="1:7" ht="15.75">
      <c r="A10" s="191" t="s">
        <v>319</v>
      </c>
      <c r="B10" s="197">
        <v>0.68</v>
      </c>
      <c r="C10" s="197">
        <v>0.66</v>
      </c>
      <c r="D10" s="197">
        <v>0.62</v>
      </c>
      <c r="E10" s="197">
        <v>0.63</v>
      </c>
      <c r="F10" s="194"/>
      <c r="G10" s="194"/>
    </row>
    <row r="11" spans="1:7" ht="15.75">
      <c r="A11" s="191" t="s">
        <v>320</v>
      </c>
      <c r="B11" s="197">
        <v>0.8</v>
      </c>
      <c r="C11" s="197">
        <v>0.73</v>
      </c>
      <c r="D11" s="197" t="s">
        <v>314</v>
      </c>
      <c r="E11" s="197" t="s">
        <v>314</v>
      </c>
      <c r="F11" s="194"/>
      <c r="G11" s="194"/>
    </row>
    <row r="12" spans="1:7" ht="15.75">
      <c r="A12" s="191"/>
      <c r="B12" s="197"/>
      <c r="C12" s="197"/>
      <c r="D12" s="197"/>
      <c r="E12" s="197"/>
      <c r="F12" s="194"/>
      <c r="G12" s="194"/>
    </row>
    <row r="13" spans="1:7" ht="15.75">
      <c r="A13" s="191" t="s">
        <v>321</v>
      </c>
      <c r="B13" s="197">
        <v>0.77</v>
      </c>
      <c r="C13" s="197">
        <v>0.79</v>
      </c>
      <c r="D13" s="197" t="s">
        <v>314</v>
      </c>
      <c r="E13" s="197" t="s">
        <v>314</v>
      </c>
      <c r="F13" s="194"/>
      <c r="G13" s="194"/>
    </row>
    <row r="14" spans="1:7" ht="15.75">
      <c r="A14" s="191"/>
      <c r="B14" s="197"/>
      <c r="C14" s="197"/>
      <c r="D14" s="197"/>
      <c r="E14" s="197"/>
      <c r="F14" s="194"/>
      <c r="G14" s="194"/>
    </row>
    <row r="15" spans="1:7" ht="31.5">
      <c r="A15" s="198" t="s">
        <v>322</v>
      </c>
      <c r="B15" s="197">
        <v>12.23</v>
      </c>
      <c r="C15" s="197">
        <v>14.89</v>
      </c>
      <c r="D15" s="197">
        <v>9.81</v>
      </c>
      <c r="E15" s="197">
        <v>11.77</v>
      </c>
      <c r="F15" s="194"/>
      <c r="G15" s="194"/>
    </row>
    <row r="16" spans="1:7" ht="15.75">
      <c r="A16" s="191"/>
      <c r="B16" s="191"/>
      <c r="C16" s="191"/>
      <c r="D16" s="191"/>
      <c r="E16" s="191"/>
      <c r="F16" s="194"/>
      <c r="G16" s="194"/>
    </row>
    <row r="17" spans="1:7" ht="15.75">
      <c r="A17" s="191"/>
      <c r="B17" s="191"/>
      <c r="C17" s="191"/>
      <c r="D17" s="191"/>
      <c r="E17" s="191"/>
      <c r="F17" s="194"/>
      <c r="G17" s="194"/>
    </row>
    <row r="18" spans="1:7" ht="15.75">
      <c r="A18" s="192" t="s">
        <v>323</v>
      </c>
      <c r="B18" s="191"/>
      <c r="C18" s="191">
        <v>1994</v>
      </c>
      <c r="D18" s="191"/>
      <c r="E18" s="191">
        <v>1994</v>
      </c>
      <c r="F18" s="194">
        <v>1994</v>
      </c>
      <c r="G18" s="194"/>
    </row>
    <row r="19" spans="1:7" ht="30.75">
      <c r="A19" s="191"/>
      <c r="B19" s="191"/>
      <c r="C19" s="191" t="s">
        <v>310</v>
      </c>
      <c r="D19" s="191"/>
      <c r="E19" s="192" t="s">
        <v>311</v>
      </c>
      <c r="F19" s="199" t="s">
        <v>324</v>
      </c>
      <c r="G19" s="194"/>
    </row>
    <row r="20" spans="1:7" ht="15.75">
      <c r="A20" s="191" t="s">
        <v>57</v>
      </c>
      <c r="B20" s="191"/>
      <c r="C20" s="191" t="s">
        <v>325</v>
      </c>
      <c r="D20" s="191"/>
      <c r="E20" s="191" t="s">
        <v>325</v>
      </c>
      <c r="F20" s="194" t="s">
        <v>325</v>
      </c>
      <c r="G20" s="194"/>
    </row>
    <row r="21" spans="1:7" ht="15.75">
      <c r="A21" s="191" t="s">
        <v>317</v>
      </c>
      <c r="B21" s="191"/>
      <c r="C21" s="197">
        <f>32743/33537</f>
        <v>0.9763246563497033</v>
      </c>
      <c r="D21" s="191"/>
      <c r="E21" s="197">
        <f>692/642</f>
        <v>1.0778816199376946</v>
      </c>
      <c r="F21" s="200">
        <f>5622/4851</f>
        <v>1.1589363017934446</v>
      </c>
      <c r="G21" s="194"/>
    </row>
    <row r="22" spans="1:7" ht="15.75">
      <c r="A22" s="191" t="s">
        <v>326</v>
      </c>
      <c r="B22" s="191"/>
      <c r="C22" s="197">
        <f>90976/149342</f>
        <v>0.6091789315798637</v>
      </c>
      <c r="D22" s="191"/>
      <c r="E22" s="197">
        <f>42597/83907</f>
        <v>0.507669205191462</v>
      </c>
      <c r="F22" s="200">
        <f>48100/64726</f>
        <v>0.7431325896857522</v>
      </c>
      <c r="G22" s="194"/>
    </row>
    <row r="23" spans="1:7" ht="15.75">
      <c r="A23" s="192" t="s">
        <v>327</v>
      </c>
      <c r="B23" s="191"/>
      <c r="C23" s="197">
        <f>34027/59788</f>
        <v>0.5691275841305947</v>
      </c>
      <c r="D23" s="191"/>
      <c r="E23" s="197">
        <f>7920/17069</f>
        <v>0.4639990626281563</v>
      </c>
      <c r="F23" s="200" t="s">
        <v>314</v>
      </c>
      <c r="G23" s="194"/>
    </row>
    <row r="24" spans="1:7" ht="15.75">
      <c r="A24" s="191" t="s">
        <v>328</v>
      </c>
      <c r="B24" s="191"/>
      <c r="C24" s="197">
        <f>8856/19935</f>
        <v>0.44424379232505645</v>
      </c>
      <c r="D24" s="191"/>
      <c r="E24" s="197">
        <f>87441/200793</f>
        <v>0.43547832842778383</v>
      </c>
      <c r="F24" s="200">
        <f>20346/24214</f>
        <v>0.8402577021557777</v>
      </c>
      <c r="G24" s="194"/>
    </row>
    <row r="25" spans="1:7" ht="15.75">
      <c r="A25" s="191"/>
      <c r="B25" s="191"/>
      <c r="C25" s="191"/>
      <c r="D25" s="191"/>
      <c r="E25" s="191"/>
      <c r="F25" s="194"/>
      <c r="G25" s="194"/>
    </row>
    <row r="26" spans="1:7" ht="15.75">
      <c r="A26" s="191" t="s">
        <v>318</v>
      </c>
      <c r="B26" s="191"/>
      <c r="C26" s="197">
        <f>189968/206196</f>
        <v>0.921298182311975</v>
      </c>
      <c r="D26" s="191"/>
      <c r="E26" s="197">
        <f>37991/52025</f>
        <v>0.7302450744834215</v>
      </c>
      <c r="F26" s="200">
        <f>33526/29869</f>
        <v>1.1224346312230071</v>
      </c>
      <c r="G26" s="194"/>
    </row>
    <row r="27" spans="1:7" ht="15.75">
      <c r="A27" s="192" t="s">
        <v>319</v>
      </c>
      <c r="B27" s="191"/>
      <c r="C27" s="197">
        <f>212070/217977</f>
        <v>0.9729008106359845</v>
      </c>
      <c r="D27" s="191"/>
      <c r="E27" s="197">
        <f>28049/33334</f>
        <v>0.8414531709365812</v>
      </c>
      <c r="F27" s="200">
        <f>38557/34901</f>
        <v>1.1047534454600154</v>
      </c>
      <c r="G27" s="194"/>
    </row>
    <row r="28" spans="1:7" ht="15.75">
      <c r="A28" s="192" t="s">
        <v>320</v>
      </c>
      <c r="B28" s="191"/>
      <c r="C28" s="197">
        <f>149856/144649</f>
        <v>1.035997483563661</v>
      </c>
      <c r="D28" s="191"/>
      <c r="E28" s="197">
        <f>49099/50203</f>
        <v>0.9780092823138059</v>
      </c>
      <c r="F28" s="200">
        <f>41592/36789</f>
        <v>1.1305553290385713</v>
      </c>
      <c r="G28" s="194"/>
    </row>
    <row r="29" spans="1:7" ht="15.75">
      <c r="A29" s="191"/>
      <c r="B29" s="191"/>
      <c r="C29" s="191"/>
      <c r="D29" s="191"/>
      <c r="E29" s="191"/>
      <c r="F29" s="194"/>
      <c r="G29" s="194"/>
    </row>
    <row r="30" spans="1:7" ht="15.75">
      <c r="A30" s="191" t="s">
        <v>321</v>
      </c>
      <c r="B30" s="191"/>
      <c r="C30" s="197">
        <f>40249/61941</f>
        <v>0.6497957733972651</v>
      </c>
      <c r="D30" s="191"/>
      <c r="E30" s="197">
        <f>3607/6529</f>
        <v>0.5524582631337112</v>
      </c>
      <c r="F30" s="200">
        <f>14272/14937</f>
        <v>0.9554796813282453</v>
      </c>
      <c r="G30" s="194"/>
    </row>
    <row r="31" spans="1:7" ht="15.75">
      <c r="A31" s="191" t="s">
        <v>329</v>
      </c>
      <c r="B31" s="191"/>
      <c r="C31" s="197">
        <f>56141/82283</f>
        <v>0.6822916033688611</v>
      </c>
      <c r="D31" s="191"/>
      <c r="E31" s="197">
        <f>2584/3575</f>
        <v>0.7227972027972028</v>
      </c>
      <c r="F31" s="200">
        <f>9756/10424</f>
        <v>0.9359171143514965</v>
      </c>
      <c r="G31" s="194"/>
    </row>
    <row r="32" spans="1:7" ht="15.75">
      <c r="A32" s="191"/>
      <c r="B32" s="191"/>
      <c r="C32" s="191"/>
      <c r="D32" s="191"/>
      <c r="E32" s="191"/>
      <c r="F32" s="194"/>
      <c r="G32" s="194"/>
    </row>
    <row r="33" spans="1:7" ht="31.5">
      <c r="A33" s="198" t="s">
        <v>322</v>
      </c>
      <c r="B33" s="191"/>
      <c r="C33" s="197">
        <v>15.02</v>
      </c>
      <c r="D33" s="191"/>
      <c r="E33" s="197">
        <v>10.94</v>
      </c>
      <c r="F33" s="200">
        <f>512958/36247</f>
        <v>14.151736695450658</v>
      </c>
      <c r="G33" s="194" t="s">
        <v>330</v>
      </c>
    </row>
    <row r="34" spans="1:7" ht="15.75">
      <c r="A34" s="191"/>
      <c r="B34" s="191"/>
      <c r="C34" s="191"/>
      <c r="D34" s="191"/>
      <c r="E34" s="191"/>
      <c r="F34" s="194"/>
      <c r="G34" s="194"/>
    </row>
    <row r="35" spans="1:7" ht="15.75">
      <c r="A35" s="191" t="s">
        <v>331</v>
      </c>
      <c r="B35" s="191"/>
      <c r="C35" s="197">
        <f>8380/2393</f>
        <v>3.501880484747179</v>
      </c>
      <c r="D35" s="191"/>
      <c r="E35" s="197">
        <f>2109/610</f>
        <v>3.457377049180328</v>
      </c>
      <c r="F35" s="200" t="s">
        <v>314</v>
      </c>
      <c r="G35" s="194"/>
    </row>
    <row r="36" spans="1:7" ht="15.75">
      <c r="A36" s="191" t="s">
        <v>332</v>
      </c>
      <c r="B36" s="191"/>
      <c r="C36" s="197">
        <f>10058/2810</f>
        <v>3.579359430604982</v>
      </c>
      <c r="D36" s="191"/>
      <c r="E36" s="197" t="s">
        <v>314</v>
      </c>
      <c r="F36" s="200" t="s">
        <v>314</v>
      </c>
      <c r="G36" s="194"/>
    </row>
    <row r="37" spans="1:7" ht="15.75">
      <c r="A37" s="191" t="s">
        <v>333</v>
      </c>
      <c r="B37" s="191"/>
      <c r="C37" s="197">
        <f>20002/3971</f>
        <v>5.037018383278771</v>
      </c>
      <c r="D37" s="191"/>
      <c r="E37" s="197" t="s">
        <v>314</v>
      </c>
      <c r="F37" s="200" t="s">
        <v>314</v>
      </c>
      <c r="G37" s="194"/>
    </row>
  </sheetData>
  <printOptions gridLines="1"/>
  <pageMargins left="0.75" right="0.75" top="1" bottom="1" header="0.5" footer="0.5"/>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sheetPr codeName="Sheet12"/>
  <dimension ref="A1:O87"/>
  <sheetViews>
    <sheetView workbookViewId="0" topLeftCell="A1">
      <selection activeCell="L76" sqref="L76"/>
    </sheetView>
  </sheetViews>
  <sheetFormatPr defaultColWidth="9.140625" defaultRowHeight="12.75"/>
  <cols>
    <col min="1" max="1" width="18.28125" style="120" customWidth="1"/>
    <col min="2" max="3" width="12.421875" style="120" customWidth="1"/>
    <col min="4" max="4" width="16.57421875" style="120" customWidth="1"/>
    <col min="5" max="5" width="19.00390625" style="120" customWidth="1"/>
    <col min="6" max="6" width="13.00390625" style="120" customWidth="1"/>
    <col min="7" max="7" width="11.421875" style="120" customWidth="1"/>
    <col min="8" max="8" width="12.421875" style="120" customWidth="1"/>
    <col min="9" max="9" width="11.421875" style="120" customWidth="1"/>
    <col min="10" max="10" width="15.57421875" style="120" customWidth="1"/>
    <col min="11" max="11" width="11.421875" style="120" customWidth="1"/>
    <col min="12" max="12" width="12.8515625" style="120" customWidth="1"/>
    <col min="13" max="16384" width="11.421875" style="120" customWidth="1"/>
  </cols>
  <sheetData>
    <row r="1" ht="15.75">
      <c r="A1" s="120" t="s">
        <v>334</v>
      </c>
    </row>
    <row r="3" spans="1:12" ht="15.75">
      <c r="A3" s="120" t="s">
        <v>254</v>
      </c>
      <c r="C3" s="120" t="s">
        <v>62</v>
      </c>
      <c r="D3" s="120" t="s">
        <v>62</v>
      </c>
      <c r="E3" s="120" t="s">
        <v>238</v>
      </c>
      <c r="L3" s="121" t="s">
        <v>335</v>
      </c>
    </row>
    <row r="4" spans="1:15" ht="15.75">
      <c r="A4" s="120" t="s">
        <v>336</v>
      </c>
      <c r="B4" s="120" t="s">
        <v>337</v>
      </c>
      <c r="C4" s="120" t="s">
        <v>338</v>
      </c>
      <c r="D4" s="120" t="s">
        <v>339</v>
      </c>
      <c r="E4" s="120" t="s">
        <v>338</v>
      </c>
      <c r="F4" s="120" t="s">
        <v>340</v>
      </c>
      <c r="G4" s="120" t="s">
        <v>341</v>
      </c>
      <c r="H4" s="120" t="s">
        <v>342</v>
      </c>
      <c r="I4" s="120" t="s">
        <v>341</v>
      </c>
      <c r="J4" s="120" t="s">
        <v>340</v>
      </c>
      <c r="K4" s="120" t="s">
        <v>341</v>
      </c>
      <c r="L4" s="120" t="s">
        <v>343</v>
      </c>
      <c r="M4" s="120" t="s">
        <v>62</v>
      </c>
      <c r="N4" s="120" t="s">
        <v>344</v>
      </c>
      <c r="O4" s="120" t="s">
        <v>345</v>
      </c>
    </row>
    <row r="5" spans="1:15" ht="15.75">
      <c r="A5" s="120" t="s">
        <v>346</v>
      </c>
      <c r="B5" s="120">
        <v>49</v>
      </c>
      <c r="C5" s="120">
        <v>33537</v>
      </c>
      <c r="D5" s="201">
        <v>32743</v>
      </c>
      <c r="E5" s="202">
        <f aca="true" t="shared" si="0" ref="E5:F11">C5/B5</f>
        <v>684.4285714285714</v>
      </c>
      <c r="F5" s="122">
        <f t="shared" si="0"/>
        <v>0.9763246563497033</v>
      </c>
      <c r="G5" s="120">
        <v>38</v>
      </c>
      <c r="H5" s="203">
        <f aca="true" t="shared" si="1" ref="H5:H11">F5/G5</f>
        <v>0.025692754114465876</v>
      </c>
      <c r="I5" s="120">
        <v>38</v>
      </c>
      <c r="J5" s="122">
        <v>0.9763246563497033</v>
      </c>
      <c r="K5" s="120">
        <v>38</v>
      </c>
      <c r="L5" s="122">
        <f aca="true" t="shared" si="2" ref="L5:L11">K5*$C$16</f>
        <v>0.7946081202726633</v>
      </c>
      <c r="M5" s="201">
        <f aca="true" t="shared" si="3" ref="M5:M11">E5*L5</f>
        <v>543.8525006037614</v>
      </c>
      <c r="N5" s="204">
        <f aca="true" t="shared" si="4" ref="N5:N11">D5/B5</f>
        <v>668.2244897959183</v>
      </c>
      <c r="O5" s="204">
        <f aca="true" t="shared" si="5" ref="O5:O11">N5-M5</f>
        <v>124.37198919215689</v>
      </c>
    </row>
    <row r="6" spans="1:15" ht="15.75">
      <c r="A6" s="120" t="s">
        <v>347</v>
      </c>
      <c r="B6" s="120">
        <v>25</v>
      </c>
      <c r="C6" s="120">
        <v>28395</v>
      </c>
      <c r="D6" s="201">
        <v>24466</v>
      </c>
      <c r="E6" s="202">
        <f t="shared" si="0"/>
        <v>1135.8</v>
      </c>
      <c r="F6" s="122">
        <f t="shared" si="0"/>
        <v>0.861630568762106</v>
      </c>
      <c r="G6" s="120">
        <v>32</v>
      </c>
      <c r="H6" s="203">
        <f t="shared" si="1"/>
        <v>0.02692595527381581</v>
      </c>
      <c r="I6" s="120">
        <v>32</v>
      </c>
      <c r="J6" s="122">
        <v>0.861630568762106</v>
      </c>
      <c r="K6" s="120">
        <v>32</v>
      </c>
      <c r="L6" s="122">
        <f t="shared" si="2"/>
        <v>0.6691436802296111</v>
      </c>
      <c r="M6" s="201">
        <f t="shared" si="3"/>
        <v>760.0133920047923</v>
      </c>
      <c r="N6" s="204">
        <f t="shared" si="4"/>
        <v>978.64</v>
      </c>
      <c r="O6" s="204">
        <f t="shared" si="5"/>
        <v>218.62660799520768</v>
      </c>
    </row>
    <row r="7" spans="1:15" ht="15.75">
      <c r="A7" s="120" t="s">
        <v>348</v>
      </c>
      <c r="B7" s="120">
        <v>38</v>
      </c>
      <c r="C7" s="120">
        <v>44805</v>
      </c>
      <c r="D7" s="201">
        <v>31681</v>
      </c>
      <c r="E7" s="202">
        <f t="shared" si="0"/>
        <v>1179.078947368421</v>
      </c>
      <c r="F7" s="122">
        <f t="shared" si="0"/>
        <v>0.7070862626938957</v>
      </c>
      <c r="G7" s="120">
        <v>31</v>
      </c>
      <c r="H7" s="203">
        <f t="shared" si="1"/>
        <v>0.02280923428044825</v>
      </c>
      <c r="I7" s="120">
        <v>31</v>
      </c>
      <c r="J7" s="122">
        <v>0.7070862626938957</v>
      </c>
      <c r="K7" s="120">
        <v>31</v>
      </c>
      <c r="L7" s="122">
        <f t="shared" si="2"/>
        <v>0.6482329402224358</v>
      </c>
      <c r="M7" s="201">
        <f t="shared" si="3"/>
        <v>764.3178128070062</v>
      </c>
      <c r="N7" s="204">
        <f t="shared" si="4"/>
        <v>833.7105263157895</v>
      </c>
      <c r="O7" s="204">
        <f t="shared" si="5"/>
        <v>69.39271350878323</v>
      </c>
    </row>
    <row r="8" spans="1:15" ht="15.75">
      <c r="A8" s="120" t="s">
        <v>349</v>
      </c>
      <c r="B8" s="120">
        <v>45</v>
      </c>
      <c r="C8" s="120">
        <v>45524</v>
      </c>
      <c r="D8" s="201">
        <v>28829</v>
      </c>
      <c r="E8" s="202">
        <f t="shared" si="0"/>
        <v>1011.6444444444444</v>
      </c>
      <c r="F8" s="122">
        <f t="shared" si="0"/>
        <v>0.633270362885511</v>
      </c>
      <c r="G8" s="120">
        <v>29</v>
      </c>
      <c r="H8" s="203">
        <f t="shared" si="1"/>
        <v>0.02183690906501762</v>
      </c>
      <c r="I8" s="120">
        <v>29</v>
      </c>
      <c r="J8" s="122">
        <v>0.6330245814036338</v>
      </c>
      <c r="K8" s="120">
        <v>29</v>
      </c>
      <c r="L8" s="122">
        <f t="shared" si="2"/>
        <v>0.6064114602080851</v>
      </c>
      <c r="M8" s="201">
        <f t="shared" si="3"/>
        <v>613.4727847669526</v>
      </c>
      <c r="N8" s="204">
        <f t="shared" si="4"/>
        <v>640.6444444444444</v>
      </c>
      <c r="O8" s="204">
        <f t="shared" si="5"/>
        <v>27.17165967749179</v>
      </c>
    </row>
    <row r="9" spans="1:15" ht="15.75">
      <c r="A9" s="120" t="s">
        <v>350</v>
      </c>
      <c r="B9" s="120">
        <v>141</v>
      </c>
      <c r="C9" s="120">
        <v>164142</v>
      </c>
      <c r="D9" s="201">
        <v>100038</v>
      </c>
      <c r="E9" s="202">
        <f t="shared" si="0"/>
        <v>1164.127659574468</v>
      </c>
      <c r="F9" s="122">
        <f t="shared" si="0"/>
        <v>0.6094601016193296</v>
      </c>
      <c r="G9" s="120">
        <v>27</v>
      </c>
      <c r="H9" s="203">
        <f t="shared" si="1"/>
        <v>0.022572596356271468</v>
      </c>
      <c r="I9" s="120">
        <v>27</v>
      </c>
      <c r="J9" s="122">
        <v>0.6091789315798637</v>
      </c>
      <c r="K9" s="120">
        <v>27</v>
      </c>
      <c r="L9" s="122">
        <f t="shared" si="2"/>
        <v>0.5645899801937344</v>
      </c>
      <c r="M9" s="201">
        <f t="shared" si="3"/>
        <v>657.2548122621273</v>
      </c>
      <c r="N9" s="204">
        <f t="shared" si="4"/>
        <v>709.4893617021277</v>
      </c>
      <c r="O9" s="204">
        <f t="shared" si="5"/>
        <v>52.234549440000364</v>
      </c>
    </row>
    <row r="10" spans="1:15" ht="15.75">
      <c r="A10" s="120" t="s">
        <v>351</v>
      </c>
      <c r="B10" s="120">
        <v>47</v>
      </c>
      <c r="C10" s="120">
        <v>59788</v>
      </c>
      <c r="D10" s="201">
        <v>34027</v>
      </c>
      <c r="E10" s="202">
        <f t="shared" si="0"/>
        <v>1272.0851063829787</v>
      </c>
      <c r="F10" s="122">
        <f t="shared" si="0"/>
        <v>0.5691275841305947</v>
      </c>
      <c r="G10" s="120">
        <v>25</v>
      </c>
      <c r="H10" s="203">
        <f t="shared" si="1"/>
        <v>0.02276510336522379</v>
      </c>
      <c r="I10" s="120">
        <v>25</v>
      </c>
      <c r="J10" s="122">
        <v>0.5691275841305947</v>
      </c>
      <c r="K10" s="120">
        <v>25</v>
      </c>
      <c r="L10" s="122">
        <f t="shared" si="2"/>
        <v>0.5227685001793837</v>
      </c>
      <c r="M10" s="201">
        <f t="shared" si="3"/>
        <v>665.0060231643615</v>
      </c>
      <c r="N10" s="204">
        <f t="shared" si="4"/>
        <v>723.9787234042553</v>
      </c>
      <c r="O10" s="204">
        <f t="shared" si="5"/>
        <v>58.97270023989381</v>
      </c>
    </row>
    <row r="11" spans="1:15" ht="15.75">
      <c r="A11" s="120" t="s">
        <v>352</v>
      </c>
      <c r="B11" s="120">
        <v>17</v>
      </c>
      <c r="C11" s="120">
        <v>19935</v>
      </c>
      <c r="D11" s="201">
        <v>8856</v>
      </c>
      <c r="E11" s="202">
        <f t="shared" si="0"/>
        <v>1172.6470588235295</v>
      </c>
      <c r="F11" s="122">
        <f t="shared" si="0"/>
        <v>0.44424379232505645</v>
      </c>
      <c r="G11" s="120">
        <v>19</v>
      </c>
      <c r="H11" s="203">
        <f t="shared" si="1"/>
        <v>0.023381252227634552</v>
      </c>
      <c r="I11" s="120">
        <v>19</v>
      </c>
      <c r="J11" s="122">
        <v>0.44424379232505645</v>
      </c>
      <c r="K11" s="120">
        <v>19</v>
      </c>
      <c r="L11" s="122">
        <f t="shared" si="2"/>
        <v>0.3973040601363316</v>
      </c>
      <c r="M11" s="201">
        <f t="shared" si="3"/>
        <v>465.897437577516</v>
      </c>
      <c r="N11" s="204">
        <f t="shared" si="4"/>
        <v>520.9411764705883</v>
      </c>
      <c r="O11" s="204">
        <f t="shared" si="5"/>
        <v>55.043738893072316</v>
      </c>
    </row>
    <row r="12" spans="1:10" ht="15.75">
      <c r="A12" s="120" t="s">
        <v>62</v>
      </c>
      <c r="B12" s="120">
        <f>SUM(B5:B11)</f>
        <v>362</v>
      </c>
      <c r="C12" s="120">
        <f>SUM(C5:C11)</f>
        <v>396126</v>
      </c>
      <c r="D12" s="201">
        <f>SUM(D5:D11)</f>
        <v>260640</v>
      </c>
      <c r="E12" s="202">
        <f>C12/B12</f>
        <v>1094.2707182320441</v>
      </c>
      <c r="G12" s="203"/>
      <c r="H12" s="203"/>
      <c r="I12" s="122"/>
      <c r="J12" s="125"/>
    </row>
    <row r="13" spans="5:10" ht="15.75">
      <c r="E13" s="205"/>
      <c r="G13" s="203"/>
      <c r="I13" s="122"/>
      <c r="J13" s="125"/>
    </row>
    <row r="14" spans="1:7" ht="15.75">
      <c r="A14" s="121" t="s">
        <v>353</v>
      </c>
      <c r="B14" s="201"/>
      <c r="C14" s="205"/>
      <c r="E14" s="203" t="s">
        <v>354</v>
      </c>
      <c r="G14" s="122"/>
    </row>
    <row r="15" spans="1:7" ht="15.75">
      <c r="A15" s="120" t="s">
        <v>355</v>
      </c>
      <c r="B15" s="201"/>
      <c r="C15" s="205"/>
      <c r="E15" s="120" t="s">
        <v>355</v>
      </c>
      <c r="G15" s="122"/>
    </row>
    <row r="16" spans="2:6" ht="31.5">
      <c r="B16" s="206" t="s">
        <v>356</v>
      </c>
      <c r="C16" s="207">
        <f>SLOPE(F7:F11,G7:G11)</f>
        <v>0.020910740007175348</v>
      </c>
      <c r="F16" s="208">
        <f>AVERAGE(H7:H11)</f>
        <v>0.022673019058919136</v>
      </c>
    </row>
    <row r="17" spans="2:3" ht="15.75">
      <c r="B17" s="120" t="s">
        <v>357</v>
      </c>
      <c r="C17" s="209">
        <f>RSQ(F7:F11,G7:G11)</f>
        <v>0.9860024801514309</v>
      </c>
    </row>
    <row r="18" ht="15.75">
      <c r="E18" s="204"/>
    </row>
    <row r="20" spans="1:2" ht="15.75">
      <c r="A20" s="125"/>
      <c r="B20" s="120" t="s">
        <v>358</v>
      </c>
    </row>
    <row r="21" spans="1:4" ht="15.75">
      <c r="A21" s="120" t="s">
        <v>57</v>
      </c>
      <c r="B21" s="120" t="s">
        <v>359</v>
      </c>
      <c r="C21" s="120" t="s">
        <v>360</v>
      </c>
      <c r="D21" s="120" t="s">
        <v>361</v>
      </c>
    </row>
    <row r="22" spans="1:4" ht="15.75">
      <c r="A22" s="120" t="s">
        <v>362</v>
      </c>
      <c r="B22" s="120">
        <v>19</v>
      </c>
      <c r="C22" s="122">
        <f>B22*$C$16</f>
        <v>0.3973040601363316</v>
      </c>
      <c r="D22" s="122">
        <f>B22*$F$16</f>
        <v>0.43078736211946356</v>
      </c>
    </row>
    <row r="23" spans="1:4" ht="15.75">
      <c r="A23" s="120" t="s">
        <v>363</v>
      </c>
      <c r="B23" s="120">
        <v>11</v>
      </c>
      <c r="C23" s="122">
        <f>B23*$C$16</f>
        <v>0.23001814007892882</v>
      </c>
      <c r="D23" s="122">
        <f>B23*$F$16</f>
        <v>0.2494032096481105</v>
      </c>
    </row>
    <row r="24" spans="1:4" ht="15.75">
      <c r="A24" s="120" t="s">
        <v>364</v>
      </c>
      <c r="B24" s="120">
        <v>8</v>
      </c>
      <c r="C24" s="122">
        <f>B24*$C$16</f>
        <v>0.16728592005740278</v>
      </c>
      <c r="D24" s="122">
        <f>B24*$F$16</f>
        <v>0.1813841524713531</v>
      </c>
    </row>
    <row r="25" spans="1:4" ht="15.75">
      <c r="A25" s="120" t="s">
        <v>365</v>
      </c>
      <c r="B25" s="120">
        <v>38</v>
      </c>
      <c r="C25" s="122">
        <f>B25*$C$16</f>
        <v>0.7946081202726633</v>
      </c>
      <c r="D25" s="122">
        <f>B25*$F$16</f>
        <v>0.8615747242389271</v>
      </c>
    </row>
    <row r="37" spans="1:9" ht="15.75">
      <c r="A37" s="120" t="s">
        <v>366</v>
      </c>
      <c r="C37" s="120" t="s">
        <v>62</v>
      </c>
      <c r="D37" s="120" t="s">
        <v>62</v>
      </c>
      <c r="E37" s="120" t="s">
        <v>238</v>
      </c>
      <c r="G37" s="120" t="s">
        <v>62</v>
      </c>
      <c r="I37" s="120" t="s">
        <v>367</v>
      </c>
    </row>
    <row r="38" spans="1:10" ht="15.75">
      <c r="A38" s="120" t="s">
        <v>336</v>
      </c>
      <c r="B38" s="120" t="s">
        <v>337</v>
      </c>
      <c r="C38" s="120" t="s">
        <v>338</v>
      </c>
      <c r="D38" s="120" t="s">
        <v>339</v>
      </c>
      <c r="E38" s="120" t="s">
        <v>338</v>
      </c>
      <c r="F38" s="120" t="s">
        <v>340</v>
      </c>
      <c r="G38" s="120" t="s">
        <v>341</v>
      </c>
      <c r="H38" s="120" t="s">
        <v>342</v>
      </c>
      <c r="I38" s="120" t="s">
        <v>341</v>
      </c>
      <c r="J38" s="121" t="s">
        <v>368</v>
      </c>
    </row>
    <row r="39" spans="1:10" ht="15.75">
      <c r="A39" s="120" t="s">
        <v>362</v>
      </c>
      <c r="B39" s="120">
        <v>201</v>
      </c>
      <c r="C39" s="120">
        <v>206196</v>
      </c>
      <c r="D39" s="204">
        <v>189968</v>
      </c>
      <c r="E39" s="210">
        <f aca="true" t="shared" si="6" ref="E39:F41">C39/B39</f>
        <v>1025.8507462686566</v>
      </c>
      <c r="F39" s="122">
        <f t="shared" si="6"/>
        <v>0.921298182311975</v>
      </c>
      <c r="G39" s="120">
        <v>19</v>
      </c>
      <c r="H39" s="211">
        <f>F39/G39</f>
        <v>0.04848937801641974</v>
      </c>
      <c r="I39" s="120">
        <v>19</v>
      </c>
      <c r="J39" s="212">
        <f>F39/I39</f>
        <v>0.04848937801641974</v>
      </c>
    </row>
    <row r="40" spans="1:10" ht="15.75">
      <c r="A40" s="120" t="s">
        <v>369</v>
      </c>
      <c r="B40" s="120">
        <v>197</v>
      </c>
      <c r="C40" s="120">
        <v>217977</v>
      </c>
      <c r="D40" s="204">
        <v>212070</v>
      </c>
      <c r="E40" s="210">
        <f t="shared" si="6"/>
        <v>1106.482233502538</v>
      </c>
      <c r="F40" s="122">
        <f t="shared" si="6"/>
        <v>0.9729008106359845</v>
      </c>
      <c r="G40" s="120">
        <v>25</v>
      </c>
      <c r="H40" s="211">
        <f>F40/G40</f>
        <v>0.03891603242543938</v>
      </c>
      <c r="I40" s="120">
        <v>6</v>
      </c>
      <c r="J40" s="212">
        <f>(F40-F39)/I40</f>
        <v>0.008600438054001588</v>
      </c>
    </row>
    <row r="41" spans="1:10" ht="15.75">
      <c r="A41" s="120" t="s">
        <v>370</v>
      </c>
      <c r="B41" s="120">
        <v>131</v>
      </c>
      <c r="C41" s="120">
        <v>144649</v>
      </c>
      <c r="D41" s="204">
        <v>149856</v>
      </c>
      <c r="E41" s="210">
        <f t="shared" si="6"/>
        <v>1104.1908396946565</v>
      </c>
      <c r="F41" s="122">
        <f t="shared" si="6"/>
        <v>1.035997483563661</v>
      </c>
      <c r="G41" s="120">
        <v>30</v>
      </c>
      <c r="H41" s="211">
        <f>F41/G41</f>
        <v>0.03453324945212203</v>
      </c>
      <c r="I41" s="120">
        <v>5</v>
      </c>
      <c r="J41" s="212">
        <f>(F41-F40)/I41</f>
        <v>0.01261933458553528</v>
      </c>
    </row>
    <row r="44" spans="6:10" ht="15.75">
      <c r="F44" s="120" t="s">
        <v>371</v>
      </c>
      <c r="J44" s="213">
        <f>AVERAGE(J40:J41)</f>
        <v>0.010609886319768433</v>
      </c>
    </row>
    <row r="45" ht="15.75">
      <c r="F45" s="120" t="s">
        <v>372</v>
      </c>
    </row>
    <row r="47" spans="6:7" ht="15.75">
      <c r="F47" s="125"/>
      <c r="G47" s="120" t="s">
        <v>358</v>
      </c>
    </row>
    <row r="48" spans="6:10" ht="15.75">
      <c r="F48" s="120" t="s">
        <v>57</v>
      </c>
      <c r="G48" s="120" t="s">
        <v>359</v>
      </c>
      <c r="H48" s="120" t="s">
        <v>361</v>
      </c>
      <c r="I48" s="120" t="s">
        <v>373</v>
      </c>
      <c r="J48" s="120" t="s">
        <v>62</v>
      </c>
    </row>
    <row r="49" spans="6:10" ht="15.75">
      <c r="F49" s="120" t="s">
        <v>374</v>
      </c>
      <c r="G49" s="120">
        <v>11</v>
      </c>
      <c r="H49" s="122">
        <f>G49*$J$44</f>
        <v>0.11670874951745276</v>
      </c>
      <c r="I49" s="120">
        <v>0.5</v>
      </c>
      <c r="J49" s="125">
        <f>H49+I49</f>
        <v>0.6167087495174528</v>
      </c>
    </row>
    <row r="50" spans="6:10" ht="15.75">
      <c r="F50" s="121" t="s">
        <v>375</v>
      </c>
      <c r="G50" s="120">
        <v>8</v>
      </c>
      <c r="H50" s="122">
        <f>G50*$J$44</f>
        <v>0.08487909055814746</v>
      </c>
      <c r="I50" s="120">
        <v>0.5</v>
      </c>
      <c r="J50" s="125">
        <f>$J49+H50</f>
        <v>0.7015878400756003</v>
      </c>
    </row>
    <row r="51" spans="6:10" ht="15.75">
      <c r="F51" s="121" t="s">
        <v>363</v>
      </c>
      <c r="G51" s="120">
        <v>11</v>
      </c>
      <c r="H51" s="122">
        <f>G51*$J$44</f>
        <v>0.11670874951745276</v>
      </c>
      <c r="I51" s="120">
        <v>0.5</v>
      </c>
      <c r="J51" s="125">
        <f>$J50+H51</f>
        <v>0.8182965895930531</v>
      </c>
    </row>
    <row r="52" spans="6:10" ht="15.75">
      <c r="F52" s="121" t="s">
        <v>370</v>
      </c>
      <c r="G52" s="120">
        <v>38</v>
      </c>
      <c r="H52" s="122">
        <f>G52*$J$44</f>
        <v>0.4031756801512004</v>
      </c>
      <c r="I52" s="120">
        <v>0.5</v>
      </c>
      <c r="J52" s="125">
        <f>H52+I52</f>
        <v>0.9031756801512004</v>
      </c>
    </row>
    <row r="55" ht="15.75">
      <c r="A55" s="120" t="s">
        <v>270</v>
      </c>
    </row>
    <row r="56" ht="15.75">
      <c r="A56" s="120" t="s">
        <v>376</v>
      </c>
    </row>
    <row r="57" spans="1:9" ht="25.5">
      <c r="A57" s="214" t="s">
        <v>57</v>
      </c>
      <c r="B57" s="215" t="s">
        <v>377</v>
      </c>
      <c r="C57" s="215" t="s">
        <v>378</v>
      </c>
      <c r="D57" s="216" t="s">
        <v>379</v>
      </c>
      <c r="E57" s="215" t="s">
        <v>380</v>
      </c>
      <c r="F57" s="215" t="s">
        <v>237</v>
      </c>
      <c r="G57" s="215" t="s">
        <v>381</v>
      </c>
      <c r="H57" s="215" t="s">
        <v>382</v>
      </c>
      <c r="I57" s="215" t="s">
        <v>202</v>
      </c>
    </row>
    <row r="58" spans="1:9" ht="15.75">
      <c r="A58" s="217" t="s">
        <v>383</v>
      </c>
      <c r="B58" s="218">
        <v>6.49</v>
      </c>
      <c r="C58" s="219">
        <v>0.65</v>
      </c>
      <c r="D58" s="220">
        <f aca="true" t="shared" si="7" ref="D58:D63">1/((1/C58)+0.08)</f>
        <v>0.6178707224334601</v>
      </c>
      <c r="E58" s="221">
        <f aca="true" t="shared" si="8" ref="E58:E63">1/D58</f>
        <v>1.6184615384615384</v>
      </c>
      <c r="F58" s="222">
        <v>0</v>
      </c>
      <c r="G58" s="223">
        <f>SUM($F$58:F58)</f>
        <v>0</v>
      </c>
      <c r="H58" s="222">
        <v>0</v>
      </c>
      <c r="I58" s="222">
        <v>0</v>
      </c>
    </row>
    <row r="59" spans="1:9" ht="15.75">
      <c r="A59" s="217" t="s">
        <v>384</v>
      </c>
      <c r="B59" s="218">
        <v>6.63</v>
      </c>
      <c r="C59" s="219">
        <v>0.5</v>
      </c>
      <c r="D59" s="220">
        <f t="shared" si="7"/>
        <v>0.4807692307692307</v>
      </c>
      <c r="E59" s="221">
        <f t="shared" si="8"/>
        <v>2.08</v>
      </c>
      <c r="F59" s="224">
        <f>B59-B58</f>
        <v>0.13999999999999968</v>
      </c>
      <c r="G59" s="223">
        <f>SUM($F$58:F59)</f>
        <v>0.13999999999999968</v>
      </c>
      <c r="H59" s="220">
        <f>D58-D59</f>
        <v>0.13710149166422936</v>
      </c>
      <c r="I59" s="223">
        <f>F59/H59</f>
        <v>1.0211413333333306</v>
      </c>
    </row>
    <row r="60" spans="1:9" ht="15.75">
      <c r="A60" s="225" t="s">
        <v>385</v>
      </c>
      <c r="B60" s="218">
        <v>8.21</v>
      </c>
      <c r="C60" s="219">
        <v>0.4</v>
      </c>
      <c r="D60" s="220">
        <f t="shared" si="7"/>
        <v>0.38759689922480617</v>
      </c>
      <c r="E60" s="221">
        <f t="shared" si="8"/>
        <v>2.58</v>
      </c>
      <c r="F60" s="224">
        <f>B60-B59</f>
        <v>1.580000000000001</v>
      </c>
      <c r="G60" s="223">
        <f>SUM($F$58:F60)</f>
        <v>1.7200000000000006</v>
      </c>
      <c r="H60" s="220">
        <f>D59-D60</f>
        <v>0.09317233154442456</v>
      </c>
      <c r="I60" s="223">
        <f>F60/H60</f>
        <v>16.957824000000013</v>
      </c>
    </row>
    <row r="61" spans="1:9" ht="15.75">
      <c r="A61" s="222" t="s">
        <v>386</v>
      </c>
      <c r="B61" s="218">
        <v>8.66</v>
      </c>
      <c r="C61" s="219">
        <v>0.35</v>
      </c>
      <c r="D61" s="220">
        <f t="shared" si="7"/>
        <v>0.3404669260700389</v>
      </c>
      <c r="E61" s="221">
        <f t="shared" si="8"/>
        <v>2.937142857142857</v>
      </c>
      <c r="F61" s="224">
        <f>B61-B60</f>
        <v>0.4499999999999993</v>
      </c>
      <c r="G61" s="223">
        <f>SUM($F$58:F61)</f>
        <v>2.17</v>
      </c>
      <c r="H61" s="220">
        <f>D60-D61</f>
        <v>0.047129973154767246</v>
      </c>
      <c r="I61" s="223">
        <f>F61/H61</f>
        <v>9.548063999999995</v>
      </c>
    </row>
    <row r="62" spans="1:9" ht="15.75">
      <c r="A62" s="217" t="s">
        <v>387</v>
      </c>
      <c r="B62" s="218">
        <v>10.1</v>
      </c>
      <c r="C62" s="219">
        <v>0.25</v>
      </c>
      <c r="D62" s="220">
        <f t="shared" si="7"/>
        <v>0.24509803921568626</v>
      </c>
      <c r="E62" s="221">
        <f t="shared" si="8"/>
        <v>4.08</v>
      </c>
      <c r="F62" s="224">
        <f>B62-B61</f>
        <v>1.4399999999999995</v>
      </c>
      <c r="G62" s="223">
        <f>SUM($F$58:F62)</f>
        <v>3.6099999999999994</v>
      </c>
      <c r="H62" s="220">
        <f>D61-D62</f>
        <v>0.09536888685435266</v>
      </c>
      <c r="I62" s="223">
        <f>F62/H62</f>
        <v>15.099263999999991</v>
      </c>
    </row>
    <row r="63" spans="1:9" ht="15.75">
      <c r="A63" s="222" t="s">
        <v>388</v>
      </c>
      <c r="B63" s="223">
        <v>14.73</v>
      </c>
      <c r="C63" s="226">
        <v>0.2</v>
      </c>
      <c r="D63" s="220">
        <f t="shared" si="7"/>
        <v>0.19685039370078738</v>
      </c>
      <c r="E63" s="221">
        <f t="shared" si="8"/>
        <v>5.08</v>
      </c>
      <c r="F63" s="224">
        <f>B63-B62</f>
        <v>4.630000000000001</v>
      </c>
      <c r="G63" s="223">
        <f>SUM($F$58:F63)</f>
        <v>8.24</v>
      </c>
      <c r="H63" s="220">
        <f>D62-D63</f>
        <v>0.04824764551489888</v>
      </c>
      <c r="I63" s="223">
        <f>F63/H63</f>
        <v>95.963232</v>
      </c>
    </row>
    <row r="64" spans="1:9" ht="15.75">
      <c r="A64" s="194"/>
      <c r="B64" s="223"/>
      <c r="C64" s="223"/>
      <c r="D64" s="220"/>
      <c r="E64" s="227" t="s">
        <v>389</v>
      </c>
      <c r="F64" s="228"/>
      <c r="G64" s="228">
        <f>G63</f>
        <v>8.24</v>
      </c>
      <c r="H64" s="229">
        <f>SUM(H58:H63)</f>
        <v>0.4210203287326727</v>
      </c>
      <c r="I64" s="222"/>
    </row>
    <row r="65" spans="1:9" ht="15.75">
      <c r="A65" s="194"/>
      <c r="B65" s="230" t="s">
        <v>310</v>
      </c>
      <c r="C65" s="230"/>
      <c r="D65" s="230"/>
      <c r="E65" s="230" t="s">
        <v>311</v>
      </c>
      <c r="F65" s="230"/>
      <c r="G65" s="228"/>
      <c r="H65" s="229"/>
      <c r="I65" s="222"/>
    </row>
    <row r="66" spans="1:8" ht="15.75">
      <c r="A66" s="230" t="s">
        <v>390</v>
      </c>
      <c r="B66" s="230" t="s">
        <v>391</v>
      </c>
      <c r="C66" s="230" t="s">
        <v>392</v>
      </c>
      <c r="D66" s="230" t="s">
        <v>238</v>
      </c>
      <c r="E66" s="230" t="s">
        <v>390</v>
      </c>
      <c r="F66" s="230" t="s">
        <v>391</v>
      </c>
      <c r="G66" s="230" t="s">
        <v>392</v>
      </c>
      <c r="H66" s="230" t="s">
        <v>238</v>
      </c>
    </row>
    <row r="67" spans="1:8" ht="47.25">
      <c r="A67" s="231" t="s">
        <v>322</v>
      </c>
      <c r="B67" s="232">
        <v>15.02</v>
      </c>
      <c r="C67" s="232">
        <v>14.89</v>
      </c>
      <c r="D67" s="122">
        <f>(B67+C67)/2</f>
        <v>14.955</v>
      </c>
      <c r="E67" s="231" t="s">
        <v>322</v>
      </c>
      <c r="F67" s="232">
        <f>'Retrofit Cost Data'!E33</f>
        <v>10.94</v>
      </c>
      <c r="G67" s="232">
        <f>'Retrofit Cost Data'!E15</f>
        <v>11.77</v>
      </c>
      <c r="H67" s="122">
        <f>(F67+G67)/2</f>
        <v>11.355</v>
      </c>
    </row>
    <row r="68" spans="2:10" ht="15.75">
      <c r="B68" s="120" t="s">
        <v>393</v>
      </c>
      <c r="D68" s="125">
        <f>B60</f>
        <v>8.21</v>
      </c>
      <c r="F68" s="120" t="s">
        <v>393</v>
      </c>
      <c r="H68" s="125">
        <f>D68*I68</f>
        <v>6.2336710130391175</v>
      </c>
      <c r="I68" s="233">
        <f>H67/D67</f>
        <v>0.7592778335005015</v>
      </c>
      <c r="J68" s="121" t="s">
        <v>394</v>
      </c>
    </row>
    <row r="69" spans="2:8" ht="16.5" thickBot="1">
      <c r="B69" s="120" t="s">
        <v>395</v>
      </c>
      <c r="D69" s="125">
        <v>6.75</v>
      </c>
      <c r="F69" s="120" t="s">
        <v>395</v>
      </c>
      <c r="H69" s="125">
        <f>H67-H68</f>
        <v>5.121328986960883</v>
      </c>
    </row>
    <row r="70" spans="1:11" ht="26.25" thickBot="1">
      <c r="A70" s="234" t="s">
        <v>57</v>
      </c>
      <c r="B70" s="235" t="s">
        <v>377</v>
      </c>
      <c r="C70" s="235" t="s">
        <v>396</v>
      </c>
      <c r="D70" s="235" t="s">
        <v>397</v>
      </c>
      <c r="E70" s="235" t="s">
        <v>380</v>
      </c>
      <c r="F70" s="235" t="s">
        <v>237</v>
      </c>
      <c r="G70" s="235" t="s">
        <v>381</v>
      </c>
      <c r="H70" s="235" t="s">
        <v>382</v>
      </c>
      <c r="I70" s="235" t="s">
        <v>202</v>
      </c>
      <c r="J70" s="236" t="s">
        <v>398</v>
      </c>
      <c r="K70" s="237"/>
    </row>
    <row r="71" spans="1:10" ht="15.75">
      <c r="A71" s="238" t="s">
        <v>399</v>
      </c>
      <c r="B71" s="238">
        <v>0</v>
      </c>
      <c r="C71" s="238">
        <v>0</v>
      </c>
      <c r="D71" s="238">
        <v>0</v>
      </c>
      <c r="E71" s="238">
        <v>1.03</v>
      </c>
      <c r="F71" s="238">
        <v>0</v>
      </c>
      <c r="G71" s="238">
        <v>0</v>
      </c>
      <c r="H71" s="239">
        <v>0</v>
      </c>
      <c r="I71" s="240">
        <v>0</v>
      </c>
      <c r="J71" s="241"/>
    </row>
    <row r="72" spans="1:10" ht="15.75">
      <c r="A72" s="238" t="s">
        <v>383</v>
      </c>
      <c r="B72" s="238">
        <v>6.49</v>
      </c>
      <c r="C72" s="238">
        <f aca="true" t="shared" si="9" ref="C72:C77">$D$69</f>
        <v>6.75</v>
      </c>
      <c r="D72" s="238">
        <f aca="true" t="shared" si="10" ref="D72:D77">B72+C72</f>
        <v>13.24</v>
      </c>
      <c r="E72" s="238">
        <v>1.6184615384615384</v>
      </c>
      <c r="F72" s="238">
        <f>D72</f>
        <v>13.24</v>
      </c>
      <c r="G72" s="238">
        <f>SUM($F72:F$72)</f>
        <v>13.24</v>
      </c>
      <c r="H72" s="239">
        <f aca="true" t="shared" si="11" ref="H72:H77">(1/E71)-(1/E72)</f>
        <v>0.3530030639743069</v>
      </c>
      <c r="I72" s="240">
        <f aca="true" t="shared" si="12" ref="I72:I77">F72/H72</f>
        <v>37.50675660130719</v>
      </c>
      <c r="J72" s="241">
        <f>G72/(SUM($H$72:H72))</f>
        <v>37.50675660130719</v>
      </c>
    </row>
    <row r="73" spans="1:10" ht="15.75">
      <c r="A73" s="238" t="s">
        <v>384</v>
      </c>
      <c r="B73" s="238">
        <v>6.63</v>
      </c>
      <c r="C73" s="238">
        <f t="shared" si="9"/>
        <v>6.75</v>
      </c>
      <c r="D73" s="238">
        <f t="shared" si="10"/>
        <v>13.379999999999999</v>
      </c>
      <c r="E73" s="238">
        <v>2.08</v>
      </c>
      <c r="F73" s="238">
        <f>B73-B72</f>
        <v>0.13999999999999968</v>
      </c>
      <c r="G73" s="238">
        <f>SUM($F$72:F73)</f>
        <v>13.379999999999999</v>
      </c>
      <c r="H73" s="239">
        <f t="shared" si="11"/>
        <v>0.13710149166422936</v>
      </c>
      <c r="I73" s="240">
        <f t="shared" si="12"/>
        <v>1.0211413333333306</v>
      </c>
      <c r="J73" s="241">
        <f>G73/(SUM($H$72:H73))</f>
        <v>27.300297142857136</v>
      </c>
    </row>
    <row r="74" spans="1:10" ht="15.75">
      <c r="A74" s="238" t="s">
        <v>385</v>
      </c>
      <c r="B74" s="238">
        <v>8.21</v>
      </c>
      <c r="C74" s="238">
        <f t="shared" si="9"/>
        <v>6.75</v>
      </c>
      <c r="D74" s="238">
        <f t="shared" si="10"/>
        <v>14.96</v>
      </c>
      <c r="E74" s="238">
        <v>2.58</v>
      </c>
      <c r="F74" s="238">
        <f>B74-B73</f>
        <v>1.580000000000001</v>
      </c>
      <c r="G74" s="238">
        <f>SUM($F$72:F74)</f>
        <v>14.96</v>
      </c>
      <c r="H74" s="239">
        <f t="shared" si="11"/>
        <v>0.09317233154442456</v>
      </c>
      <c r="I74" s="240">
        <f t="shared" si="12"/>
        <v>16.957824000000013</v>
      </c>
      <c r="J74" s="241">
        <f>G74/(SUM($H$72:H74))</f>
        <v>25.64819612903226</v>
      </c>
    </row>
    <row r="75" spans="1:10" ht="15.75">
      <c r="A75" s="238" t="s">
        <v>386</v>
      </c>
      <c r="B75" s="238">
        <v>8.66</v>
      </c>
      <c r="C75" s="238">
        <f t="shared" si="9"/>
        <v>6.75</v>
      </c>
      <c r="D75" s="238">
        <f t="shared" si="10"/>
        <v>15.41</v>
      </c>
      <c r="E75" s="238">
        <v>2.937142857142857</v>
      </c>
      <c r="F75" s="238">
        <f>B75-B74</f>
        <v>0.4499999999999993</v>
      </c>
      <c r="G75" s="238">
        <f>SUM($F$72:F75)</f>
        <v>15.41</v>
      </c>
      <c r="H75" s="239">
        <f t="shared" si="11"/>
        <v>0.047129973154767246</v>
      </c>
      <c r="I75" s="240">
        <f t="shared" si="12"/>
        <v>9.548063999999995</v>
      </c>
      <c r="J75" s="241">
        <f>G75/(SUM($H$72:H75))</f>
        <v>24.444530936329592</v>
      </c>
    </row>
    <row r="76" spans="1:10" ht="15.75">
      <c r="A76" s="238" t="s">
        <v>387</v>
      </c>
      <c r="B76" s="238">
        <v>10.1</v>
      </c>
      <c r="C76" s="238">
        <f t="shared" si="9"/>
        <v>6.75</v>
      </c>
      <c r="D76" s="238">
        <f t="shared" si="10"/>
        <v>16.85</v>
      </c>
      <c r="E76" s="238">
        <v>4.08</v>
      </c>
      <c r="F76" s="238">
        <f>B76-B75</f>
        <v>1.4399999999999995</v>
      </c>
      <c r="G76" s="238">
        <f>SUM($F$72:F76)</f>
        <v>16.85</v>
      </c>
      <c r="H76" s="239">
        <f t="shared" si="11"/>
        <v>0.09536888685435266</v>
      </c>
      <c r="I76" s="240">
        <f t="shared" si="12"/>
        <v>15.099263999999991</v>
      </c>
      <c r="J76" s="241">
        <f>G76/(SUM($H$72:H76))</f>
        <v>23.21653770491804</v>
      </c>
    </row>
    <row r="77" spans="1:10" ht="15.75">
      <c r="A77" s="238" t="s">
        <v>388</v>
      </c>
      <c r="B77" s="238">
        <v>14.73</v>
      </c>
      <c r="C77" s="238">
        <f t="shared" si="9"/>
        <v>6.75</v>
      </c>
      <c r="D77" s="238">
        <f t="shared" si="10"/>
        <v>21.48</v>
      </c>
      <c r="E77" s="238">
        <v>5.08</v>
      </c>
      <c r="F77" s="238">
        <f>B77-B76</f>
        <v>4.630000000000001</v>
      </c>
      <c r="G77" s="238">
        <f>SUM($F$72:F77)</f>
        <v>21.480000000000004</v>
      </c>
      <c r="H77" s="239">
        <f t="shared" si="11"/>
        <v>0.04824764551489888</v>
      </c>
      <c r="I77" s="240">
        <f t="shared" si="12"/>
        <v>95.963232</v>
      </c>
      <c r="J77" s="241">
        <f>G77/(SUM($H$72:H77))</f>
        <v>27.751099259259266</v>
      </c>
    </row>
    <row r="78" spans="5:9" ht="15.75">
      <c r="E78" s="227" t="s">
        <v>389</v>
      </c>
      <c r="F78" s="228"/>
      <c r="G78" s="228">
        <f>G77</f>
        <v>21.480000000000004</v>
      </c>
      <c r="H78" s="229">
        <f>SUM(H72:H77)</f>
        <v>0.7740233927069795</v>
      </c>
      <c r="I78" s="222"/>
    </row>
    <row r="79" spans="4:5" ht="15.75">
      <c r="D79" s="230" t="s">
        <v>310</v>
      </c>
      <c r="E79" s="230" t="s">
        <v>311</v>
      </c>
    </row>
    <row r="80" spans="2:6" ht="15.75">
      <c r="B80" s="120" t="s">
        <v>400</v>
      </c>
      <c r="D80" s="125">
        <f>'RESWX ECM Inflation DGP'!G19</f>
        <v>10.293369467028004</v>
      </c>
      <c r="E80" s="122">
        <f>D80*I68</f>
        <v>7.815527268345234</v>
      </c>
      <c r="F80" s="121" t="s">
        <v>394</v>
      </c>
    </row>
    <row r="81" spans="2:7" ht="15.75">
      <c r="B81" s="121" t="s">
        <v>401</v>
      </c>
      <c r="D81" s="125"/>
      <c r="F81" s="120" t="s">
        <v>402</v>
      </c>
      <c r="G81" s="120" t="s">
        <v>403</v>
      </c>
    </row>
    <row r="82" spans="2:5" ht="15.75">
      <c r="B82" s="125" t="s">
        <v>383</v>
      </c>
      <c r="D82" s="125">
        <f>F72-$D$80</f>
        <v>2.946630532971996</v>
      </c>
      <c r="E82" s="125">
        <f aca="true" t="shared" si="13" ref="E82:E87">((B72*$I$68)+$H$69)-$E$80</f>
        <v>2.233514858033904</v>
      </c>
    </row>
    <row r="83" spans="2:5" ht="15.75">
      <c r="B83" s="125" t="s">
        <v>384</v>
      </c>
      <c r="D83" s="125">
        <f>D73-$D$80</f>
        <v>3.086630532971995</v>
      </c>
      <c r="E83" s="125">
        <f t="shared" si="13"/>
        <v>2.3398137547239743</v>
      </c>
    </row>
    <row r="84" spans="2:8" ht="15.75">
      <c r="B84" s="125" t="s">
        <v>385</v>
      </c>
      <c r="D84" s="125">
        <f>D74-$D$80</f>
        <v>4.666630532971997</v>
      </c>
      <c r="E84" s="125">
        <f t="shared" si="13"/>
        <v>3.539472731654766</v>
      </c>
      <c r="H84" s="125">
        <f>E84+E80</f>
        <v>11.355</v>
      </c>
    </row>
    <row r="85" spans="2:5" ht="15.75">
      <c r="B85" s="125" t="s">
        <v>386</v>
      </c>
      <c r="D85" s="125">
        <f>D75-$D$80</f>
        <v>5.116630532971996</v>
      </c>
      <c r="E85" s="125">
        <f t="shared" si="13"/>
        <v>3.881147756729992</v>
      </c>
    </row>
    <row r="86" spans="2:5" ht="15.75">
      <c r="B86" s="125" t="s">
        <v>387</v>
      </c>
      <c r="D86" s="125">
        <f>D76-$D$80</f>
        <v>6.556630532971997</v>
      </c>
      <c r="E86" s="125">
        <f t="shared" si="13"/>
        <v>4.974507836970713</v>
      </c>
    </row>
    <row r="87" spans="2:5" ht="15.75">
      <c r="B87" s="125" t="s">
        <v>388</v>
      </c>
      <c r="D87" s="125">
        <f>D77-$D$80</f>
        <v>11.186630532971996</v>
      </c>
      <c r="E87" s="125">
        <f t="shared" si="13"/>
        <v>8.489964206078035</v>
      </c>
    </row>
  </sheetData>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5.xml><?xml version="1.0" encoding="utf-8"?>
<worksheet xmlns="http://schemas.openxmlformats.org/spreadsheetml/2006/main" xmlns:r="http://schemas.openxmlformats.org/officeDocument/2006/relationships">
  <sheetPr codeName="Sheet13"/>
  <dimension ref="A1:K41"/>
  <sheetViews>
    <sheetView zoomScale="75" zoomScaleNormal="75" workbookViewId="0" topLeftCell="C1">
      <selection activeCell="J12" sqref="J12"/>
    </sheetView>
  </sheetViews>
  <sheetFormatPr defaultColWidth="9.140625" defaultRowHeight="12.75"/>
  <cols>
    <col min="1" max="1" width="29.140625" style="120" customWidth="1"/>
    <col min="2" max="3" width="11.421875" style="120" customWidth="1"/>
    <col min="4" max="4" width="24.421875" style="120" customWidth="1"/>
    <col min="5" max="6" width="11.421875" style="120" customWidth="1"/>
    <col min="7" max="7" width="29.140625" style="120" customWidth="1"/>
    <col min="8" max="9" width="11.421875" style="120" customWidth="1"/>
    <col min="10" max="10" width="24.421875" style="120" customWidth="1"/>
    <col min="11" max="16384" width="11.421875" style="120" customWidth="1"/>
  </cols>
  <sheetData>
    <row r="1" spans="1:7" ht="15.75">
      <c r="A1" s="242" t="s">
        <v>404</v>
      </c>
      <c r="G1" s="243" t="s">
        <v>405</v>
      </c>
    </row>
    <row r="2" spans="2:11" ht="15.75">
      <c r="B2" s="120" t="s">
        <v>406</v>
      </c>
      <c r="D2" s="121" t="s">
        <v>392</v>
      </c>
      <c r="E2" s="121"/>
      <c r="H2" s="120" t="s">
        <v>406</v>
      </c>
      <c r="J2" s="121" t="s">
        <v>392</v>
      </c>
      <c r="K2" s="121"/>
    </row>
    <row r="3" spans="1:11" ht="15.75">
      <c r="A3" s="120" t="s">
        <v>57</v>
      </c>
      <c r="B3" s="120" t="s">
        <v>407</v>
      </c>
      <c r="E3" s="195" t="s">
        <v>407</v>
      </c>
      <c r="G3" s="120" t="s">
        <v>57</v>
      </c>
      <c r="H3" s="120" t="s">
        <v>407</v>
      </c>
      <c r="K3" s="195" t="s">
        <v>407</v>
      </c>
    </row>
    <row r="4" spans="1:11" ht="15.75">
      <c r="A4" s="120" t="s">
        <v>317</v>
      </c>
      <c r="B4" s="122">
        <f>32743/33537</f>
        <v>0.9763246563497033</v>
      </c>
      <c r="D4" s="120" t="s">
        <v>57</v>
      </c>
      <c r="E4" s="120" t="s">
        <v>312</v>
      </c>
      <c r="G4" s="120" t="s">
        <v>317</v>
      </c>
      <c r="H4" s="200">
        <f>692/642</f>
        <v>1.0778816199376946</v>
      </c>
      <c r="J4" s="120" t="s">
        <v>57</v>
      </c>
      <c r="K4" s="120" t="s">
        <v>312</v>
      </c>
    </row>
    <row r="5" spans="1:11" ht="15.75">
      <c r="A5" s="120" t="s">
        <v>326</v>
      </c>
      <c r="B5" s="122">
        <f>90976/149342</f>
        <v>0.6091789315798637</v>
      </c>
      <c r="D5" s="120" t="s">
        <v>313</v>
      </c>
      <c r="E5" s="122">
        <v>0.35</v>
      </c>
      <c r="G5" s="120" t="s">
        <v>326</v>
      </c>
      <c r="H5" s="200">
        <f>42597/83907</f>
        <v>0.507669205191462</v>
      </c>
      <c r="J5" s="120" t="s">
        <v>313</v>
      </c>
      <c r="K5" s="122">
        <v>0.33</v>
      </c>
    </row>
    <row r="6" spans="1:11" ht="15.75">
      <c r="A6" s="121" t="s">
        <v>327</v>
      </c>
      <c r="B6" s="122">
        <f>34027/59788</f>
        <v>0.5691275841305947</v>
      </c>
      <c r="D6" s="120" t="s">
        <v>316</v>
      </c>
      <c r="E6" s="122">
        <v>0.49</v>
      </c>
      <c r="G6" s="121" t="s">
        <v>327</v>
      </c>
      <c r="H6" s="200">
        <f>7920/17069</f>
        <v>0.4639990626281563</v>
      </c>
      <c r="J6" s="120" t="s">
        <v>316</v>
      </c>
      <c r="K6" s="122">
        <v>0.5</v>
      </c>
    </row>
    <row r="7" spans="1:11" ht="15.75">
      <c r="A7" s="120" t="s">
        <v>328</v>
      </c>
      <c r="B7" s="122">
        <f>8856/19935</f>
        <v>0.44424379232505645</v>
      </c>
      <c r="D7" s="120" t="s">
        <v>317</v>
      </c>
      <c r="E7" s="122">
        <v>0.57</v>
      </c>
      <c r="G7" s="120" t="s">
        <v>328</v>
      </c>
      <c r="H7" s="200">
        <f>87441/200793</f>
        <v>0.43547832842778383</v>
      </c>
      <c r="J7" s="120" t="s">
        <v>317</v>
      </c>
      <c r="K7" s="244" t="s">
        <v>314</v>
      </c>
    </row>
    <row r="8" spans="2:11" ht="15.75">
      <c r="B8" s="122"/>
      <c r="E8" s="122"/>
      <c r="H8" s="122"/>
      <c r="K8" s="122"/>
    </row>
    <row r="9" spans="1:10" ht="15.75">
      <c r="A9" s="230" t="s">
        <v>57</v>
      </c>
      <c r="B9" s="230" t="s">
        <v>391</v>
      </c>
      <c r="C9" s="230" t="s">
        <v>392</v>
      </c>
      <c r="D9" s="230" t="s">
        <v>408</v>
      </c>
      <c r="G9" s="230" t="s">
        <v>57</v>
      </c>
      <c r="H9" s="230" t="s">
        <v>391</v>
      </c>
      <c r="I9" s="230" t="s">
        <v>392</v>
      </c>
      <c r="J9" s="230" t="s">
        <v>408</v>
      </c>
    </row>
    <row r="10" spans="1:11" ht="15.75">
      <c r="A10" s="242" t="s">
        <v>313</v>
      </c>
      <c r="B10" s="245">
        <f>'Set Up Cost Analysis'!C22</f>
        <v>0.3973040601363316</v>
      </c>
      <c r="C10" s="232">
        <v>0.35</v>
      </c>
      <c r="D10" s="232">
        <v>0.51</v>
      </c>
      <c r="E10" s="122"/>
      <c r="G10" s="242" t="s">
        <v>313</v>
      </c>
      <c r="H10" s="245">
        <v>0.44</v>
      </c>
      <c r="I10" s="232">
        <v>0.33</v>
      </c>
      <c r="J10" s="232">
        <v>0.51</v>
      </c>
      <c r="K10" s="122"/>
    </row>
    <row r="11" spans="1:11" ht="15.75">
      <c r="A11" s="242" t="s">
        <v>409</v>
      </c>
      <c r="B11" s="245">
        <f>'Set Up Cost Analysis'!C23</f>
        <v>0.23001814007892882</v>
      </c>
      <c r="C11" s="232">
        <v>0.14</v>
      </c>
      <c r="D11" s="232">
        <v>0.14</v>
      </c>
      <c r="E11" s="122"/>
      <c r="G11" s="242" t="s">
        <v>409</v>
      </c>
      <c r="H11" s="245">
        <v>0.11</v>
      </c>
      <c r="I11" s="232">
        <v>0.17</v>
      </c>
      <c r="J11" s="232">
        <v>0.14</v>
      </c>
      <c r="K11" s="122"/>
    </row>
    <row r="12" spans="1:11" ht="15.75">
      <c r="A12" s="242" t="s">
        <v>410</v>
      </c>
      <c r="B12" s="245">
        <f>'Set Up Cost Analysis'!C24</f>
        <v>0.16728592005740278</v>
      </c>
      <c r="C12" s="232">
        <v>0.08</v>
      </c>
      <c r="D12" s="232">
        <v>0.1</v>
      </c>
      <c r="E12" s="122"/>
      <c r="G12" s="242" t="s">
        <v>410</v>
      </c>
      <c r="H12" s="245">
        <v>0.08</v>
      </c>
      <c r="I12" s="232">
        <v>0.12</v>
      </c>
      <c r="J12" s="232">
        <v>0.1</v>
      </c>
      <c r="K12" s="122"/>
    </row>
    <row r="13" spans="1:11" ht="15.75">
      <c r="A13" s="230" t="s">
        <v>317</v>
      </c>
      <c r="B13" s="245">
        <f>'Set Up Cost Analysis'!C25</f>
        <v>0.7946081202726633</v>
      </c>
      <c r="C13" s="232">
        <f>SUM(C10:C12)</f>
        <v>0.57</v>
      </c>
      <c r="D13" s="232">
        <f>SUM(D10:D12)</f>
        <v>0.75</v>
      </c>
      <c r="E13" s="122"/>
      <c r="G13" s="230" t="s">
        <v>317</v>
      </c>
      <c r="H13" s="245">
        <f>SUM(H10:H12)</f>
        <v>0.63</v>
      </c>
      <c r="I13" s="232">
        <f>SUM(I10:I12)</f>
        <v>0.62</v>
      </c>
      <c r="J13" s="232">
        <f>SUM(J10:J12)</f>
        <v>0.75</v>
      </c>
      <c r="K13" s="122"/>
    </row>
    <row r="14" spans="5:11" ht="15.75">
      <c r="E14" s="122"/>
      <c r="K14" s="122"/>
    </row>
    <row r="15" spans="1:11" ht="15.75">
      <c r="A15" s="120" t="s">
        <v>318</v>
      </c>
      <c r="B15" s="122">
        <f>189968/206196</f>
        <v>0.921298182311975</v>
      </c>
      <c r="D15" s="120" t="s">
        <v>318</v>
      </c>
      <c r="E15" s="122">
        <v>0.63</v>
      </c>
      <c r="G15" s="120" t="s">
        <v>318</v>
      </c>
      <c r="H15" s="200">
        <f>37991/52025</f>
        <v>0.7302450744834215</v>
      </c>
      <c r="J15" s="120" t="s">
        <v>318</v>
      </c>
      <c r="K15" s="122">
        <v>0.6</v>
      </c>
    </row>
    <row r="16" spans="1:11" ht="15.75">
      <c r="A16" s="121" t="s">
        <v>319</v>
      </c>
      <c r="B16" s="122">
        <f>212070/217977</f>
        <v>0.9729008106359845</v>
      </c>
      <c r="D16" s="120" t="s">
        <v>319</v>
      </c>
      <c r="E16" s="122">
        <v>0.66</v>
      </c>
      <c r="G16" s="121" t="s">
        <v>319</v>
      </c>
      <c r="H16" s="200">
        <f>28049/33334</f>
        <v>0.8414531709365812</v>
      </c>
      <c r="J16" s="120" t="s">
        <v>319</v>
      </c>
      <c r="K16" s="122">
        <v>0.63</v>
      </c>
    </row>
    <row r="17" spans="1:11" ht="15.75">
      <c r="A17" s="121" t="s">
        <v>320</v>
      </c>
      <c r="B17" s="122">
        <f>149856/144649</f>
        <v>1.035997483563661</v>
      </c>
      <c r="D17" s="120" t="s">
        <v>320</v>
      </c>
      <c r="E17" s="122">
        <v>0.73</v>
      </c>
      <c r="G17" s="121" t="s">
        <v>320</v>
      </c>
      <c r="H17" s="200">
        <f>49099/50203</f>
        <v>0.9780092823138059</v>
      </c>
      <c r="J17" s="120" t="s">
        <v>320</v>
      </c>
      <c r="K17" s="244" t="s">
        <v>314</v>
      </c>
    </row>
    <row r="18" spans="1:11" ht="15.75">
      <c r="A18" s="121"/>
      <c r="B18" s="122"/>
      <c r="E18" s="122"/>
      <c r="G18" s="121"/>
      <c r="H18" s="122"/>
      <c r="K18" s="122"/>
    </row>
    <row r="19" spans="1:11" ht="15.75">
      <c r="A19" s="230" t="s">
        <v>57</v>
      </c>
      <c r="B19" s="230" t="s">
        <v>391</v>
      </c>
      <c r="C19" s="230" t="s">
        <v>392</v>
      </c>
      <c r="D19" s="230" t="s">
        <v>408</v>
      </c>
      <c r="E19" s="122"/>
      <c r="G19" s="230" t="s">
        <v>57</v>
      </c>
      <c r="H19" s="230" t="s">
        <v>391</v>
      </c>
      <c r="I19" s="230" t="s">
        <v>392</v>
      </c>
      <c r="J19" s="230" t="s">
        <v>408</v>
      </c>
      <c r="K19" s="122"/>
    </row>
    <row r="20" spans="1:11" ht="15.75">
      <c r="A20" s="230" t="s">
        <v>318</v>
      </c>
      <c r="B20" s="232">
        <f>189968/206196</f>
        <v>0.921298182311975</v>
      </c>
      <c r="C20" s="232">
        <v>0.63</v>
      </c>
      <c r="D20" s="232">
        <v>0.58</v>
      </c>
      <c r="E20" s="122"/>
      <c r="G20" s="230" t="s">
        <v>318</v>
      </c>
      <c r="H20" s="232">
        <v>0.73</v>
      </c>
      <c r="I20" s="232">
        <v>0.6</v>
      </c>
      <c r="J20" s="232">
        <v>0.58</v>
      </c>
      <c r="K20" s="122"/>
    </row>
    <row r="21" spans="1:11" ht="15.75">
      <c r="A21" s="242" t="s">
        <v>411</v>
      </c>
      <c r="B21" s="232">
        <v>0.05</v>
      </c>
      <c r="C21" s="232">
        <v>0.03</v>
      </c>
      <c r="D21" s="232">
        <v>0.1</v>
      </c>
      <c r="E21" s="122"/>
      <c r="G21" s="242" t="s">
        <v>411</v>
      </c>
      <c r="H21" s="232">
        <v>0.09</v>
      </c>
      <c r="I21" s="232">
        <v>0.03</v>
      </c>
      <c r="J21" s="232">
        <v>0.1</v>
      </c>
      <c r="K21" s="122"/>
    </row>
    <row r="22" spans="1:11" ht="15.75">
      <c r="A22" s="242" t="s">
        <v>412</v>
      </c>
      <c r="B22" s="232">
        <v>0.07</v>
      </c>
      <c r="C22" s="232">
        <v>0.07</v>
      </c>
      <c r="D22" s="232">
        <v>0.08</v>
      </c>
      <c r="E22" s="122"/>
      <c r="G22" s="242" t="s">
        <v>412</v>
      </c>
      <c r="H22" s="232">
        <v>0.08</v>
      </c>
      <c r="I22" s="232">
        <v>0.08</v>
      </c>
      <c r="J22" s="232">
        <v>0.08</v>
      </c>
      <c r="K22" s="122"/>
    </row>
    <row r="23" spans="1:11" ht="15.75">
      <c r="A23" s="242" t="s">
        <v>320</v>
      </c>
      <c r="B23" s="232">
        <f>SUM(B20:B22)</f>
        <v>1.0412981823119751</v>
      </c>
      <c r="C23" s="232">
        <f>SUM(C20:C22)</f>
        <v>0.73</v>
      </c>
      <c r="D23" s="232">
        <f>SUM(D20:D22)</f>
        <v>0.7599999999999999</v>
      </c>
      <c r="E23" s="122"/>
      <c r="G23" s="242" t="s">
        <v>320</v>
      </c>
      <c r="H23" s="232">
        <f>SUM(H20:H22)</f>
        <v>0.8999999999999999</v>
      </c>
      <c r="I23" s="232">
        <f>SUM(I20:I22)</f>
        <v>0.71</v>
      </c>
      <c r="J23" s="232">
        <f>SUM(J20:J22)</f>
        <v>0.7599999999999999</v>
      </c>
      <c r="K23" s="122"/>
    </row>
    <row r="24" spans="1:11" ht="15.75">
      <c r="A24" s="230"/>
      <c r="B24" s="230"/>
      <c r="C24" s="230"/>
      <c r="E24" s="122"/>
      <c r="G24" s="230"/>
      <c r="H24" s="230"/>
      <c r="I24" s="230"/>
      <c r="K24" s="122"/>
    </row>
    <row r="25" spans="1:11" ht="15.75">
      <c r="A25" s="120" t="s">
        <v>321</v>
      </c>
      <c r="B25" s="122">
        <f>40249/61941</f>
        <v>0.6497957733972651</v>
      </c>
      <c r="D25" s="120" t="s">
        <v>321</v>
      </c>
      <c r="E25" s="122">
        <v>0.79</v>
      </c>
      <c r="G25" s="120" t="s">
        <v>321</v>
      </c>
      <c r="H25" s="200">
        <f>3607/6529</f>
        <v>0.5524582631337112</v>
      </c>
      <c r="J25" s="120" t="s">
        <v>321</v>
      </c>
      <c r="K25" s="122">
        <v>0.79</v>
      </c>
    </row>
    <row r="26" spans="1:11" ht="15.75">
      <c r="A26" s="120" t="s">
        <v>329</v>
      </c>
      <c r="B26" s="122">
        <f>56141/82283</f>
        <v>0.6822916033688611</v>
      </c>
      <c r="E26" s="122"/>
      <c r="G26" s="120" t="s">
        <v>329</v>
      </c>
      <c r="H26" s="200">
        <f>2584/3575</f>
        <v>0.7227972027972028</v>
      </c>
      <c r="K26" s="122"/>
    </row>
    <row r="27" spans="2:11" ht="15.75">
      <c r="B27" s="122"/>
      <c r="E27" s="122"/>
      <c r="H27" s="122"/>
      <c r="K27" s="122"/>
    </row>
    <row r="28" spans="1:11" ht="15.75">
      <c r="A28" s="230" t="s">
        <v>57</v>
      </c>
      <c r="B28" s="230" t="s">
        <v>391</v>
      </c>
      <c r="C28" s="230" t="s">
        <v>392</v>
      </c>
      <c r="D28" s="230" t="s">
        <v>408</v>
      </c>
      <c r="E28" s="122"/>
      <c r="G28" s="230" t="s">
        <v>57</v>
      </c>
      <c r="H28" s="230" t="s">
        <v>391</v>
      </c>
      <c r="I28" s="230" t="s">
        <v>392</v>
      </c>
      <c r="J28" s="230" t="s">
        <v>408</v>
      </c>
      <c r="K28" s="122"/>
    </row>
    <row r="29" spans="1:10" ht="15.75">
      <c r="A29" s="230" t="s">
        <v>321</v>
      </c>
      <c r="B29" s="232">
        <f>40249/61941</f>
        <v>0.6497957733972651</v>
      </c>
      <c r="C29" s="232">
        <v>0.79</v>
      </c>
      <c r="D29" s="230">
        <v>0.65</v>
      </c>
      <c r="G29" s="230" t="s">
        <v>321</v>
      </c>
      <c r="H29" s="232">
        <v>0.55</v>
      </c>
      <c r="I29" s="232">
        <v>0.79</v>
      </c>
      <c r="J29" s="230">
        <v>0.65</v>
      </c>
    </row>
    <row r="30" spans="1:11" ht="15.75">
      <c r="A30" s="230" t="s">
        <v>329</v>
      </c>
      <c r="B30" s="232">
        <f>56141/82283</f>
        <v>0.6822916033688611</v>
      </c>
      <c r="C30" s="230"/>
      <c r="D30" s="230" t="s">
        <v>314</v>
      </c>
      <c r="E30" s="122"/>
      <c r="G30" s="230" t="s">
        <v>329</v>
      </c>
      <c r="H30" s="232">
        <v>0.72</v>
      </c>
      <c r="I30" s="230" t="s">
        <v>413</v>
      </c>
      <c r="J30" s="230" t="s">
        <v>314</v>
      </c>
      <c r="K30" s="122"/>
    </row>
    <row r="32" spans="1:11" ht="31.5">
      <c r="A32" s="246" t="s">
        <v>322</v>
      </c>
      <c r="B32" s="122">
        <v>15.02</v>
      </c>
      <c r="D32" s="246" t="s">
        <v>322</v>
      </c>
      <c r="E32" s="122">
        <v>14.89</v>
      </c>
      <c r="G32" s="246" t="s">
        <v>322</v>
      </c>
      <c r="H32" s="200">
        <v>10.94</v>
      </c>
      <c r="J32" s="246" t="s">
        <v>322</v>
      </c>
      <c r="K32" s="122">
        <v>14.89</v>
      </c>
    </row>
    <row r="33" spans="1:11" ht="15.75">
      <c r="A33" s="246"/>
      <c r="B33" s="122"/>
      <c r="D33" s="246"/>
      <c r="E33" s="122"/>
      <c r="G33" s="246"/>
      <c r="H33" s="122"/>
      <c r="J33" s="246"/>
      <c r="K33" s="122"/>
    </row>
    <row r="34" spans="1:10" ht="15.75">
      <c r="A34" s="230" t="s">
        <v>57</v>
      </c>
      <c r="B34" s="230" t="s">
        <v>391</v>
      </c>
      <c r="C34" s="230" t="s">
        <v>392</v>
      </c>
      <c r="D34" s="230" t="s">
        <v>414</v>
      </c>
      <c r="E34" s="230" t="s">
        <v>408</v>
      </c>
      <c r="G34" s="230" t="s">
        <v>57</v>
      </c>
      <c r="H34" s="230" t="s">
        <v>391</v>
      </c>
      <c r="I34" s="230" t="s">
        <v>392</v>
      </c>
      <c r="J34" s="232" t="s">
        <v>408</v>
      </c>
    </row>
    <row r="35" spans="1:10" ht="31.5">
      <c r="A35" s="231" t="s">
        <v>322</v>
      </c>
      <c r="B35" s="232">
        <v>15.02</v>
      </c>
      <c r="C35" s="232">
        <v>14.89</v>
      </c>
      <c r="D35" s="247">
        <v>16.25</v>
      </c>
      <c r="E35" s="230">
        <v>15.63</v>
      </c>
      <c r="G35" s="231" t="s">
        <v>322</v>
      </c>
      <c r="H35" s="232">
        <v>10.94</v>
      </c>
      <c r="I35" s="232">
        <v>11.77</v>
      </c>
      <c r="J35" s="232">
        <v>15.63</v>
      </c>
    </row>
    <row r="36" spans="1:9" ht="15.75">
      <c r="A36" s="246"/>
      <c r="B36" s="122"/>
      <c r="C36" s="122"/>
      <c r="G36" s="246"/>
      <c r="H36" s="122"/>
      <c r="I36" s="122"/>
    </row>
    <row r="37" spans="1:10" ht="15.75">
      <c r="A37" s="230" t="s">
        <v>57</v>
      </c>
      <c r="B37" s="230" t="s">
        <v>391</v>
      </c>
      <c r="C37" s="230" t="s">
        <v>392</v>
      </c>
      <c r="D37" s="230" t="s">
        <v>408</v>
      </c>
      <c r="G37" s="230" t="s">
        <v>57</v>
      </c>
      <c r="H37" s="230" t="s">
        <v>391</v>
      </c>
      <c r="I37" s="230" t="s">
        <v>392</v>
      </c>
      <c r="J37" s="230" t="s">
        <v>408</v>
      </c>
    </row>
    <row r="38" spans="1:9" ht="15.75">
      <c r="A38" s="230"/>
      <c r="B38" s="230" t="s">
        <v>415</v>
      </c>
      <c r="C38" s="230" t="s">
        <v>415</v>
      </c>
      <c r="G38" s="230"/>
      <c r="H38" s="230" t="s">
        <v>415</v>
      </c>
      <c r="I38" s="230" t="s">
        <v>415</v>
      </c>
    </row>
    <row r="39" spans="1:10" ht="15.75">
      <c r="A39" s="230" t="s">
        <v>331</v>
      </c>
      <c r="B39" s="232">
        <f>8380/2393</f>
        <v>3.501880484747179</v>
      </c>
      <c r="C39" s="230" t="s">
        <v>314</v>
      </c>
      <c r="D39" s="230" t="s">
        <v>314</v>
      </c>
      <c r="G39" s="230" t="s">
        <v>331</v>
      </c>
      <c r="H39" s="248">
        <f>2109/610</f>
        <v>3.457377049180328</v>
      </c>
      <c r="I39" s="230" t="s">
        <v>314</v>
      </c>
      <c r="J39" s="230" t="s">
        <v>314</v>
      </c>
    </row>
    <row r="40" spans="1:3" ht="15.75">
      <c r="A40" s="120" t="s">
        <v>332</v>
      </c>
      <c r="B40" s="122">
        <f>10058/2810</f>
        <v>3.579359430604982</v>
      </c>
      <c r="C40" s="120" t="s">
        <v>314</v>
      </c>
    </row>
    <row r="41" spans="1:3" ht="15.75">
      <c r="A41" s="120" t="s">
        <v>333</v>
      </c>
      <c r="B41" s="122">
        <f>20002/3971</f>
        <v>5.037018383278771</v>
      </c>
      <c r="C41" s="120" t="s">
        <v>314</v>
      </c>
    </row>
  </sheetData>
  <printOptions gridLines="1" horizontalCentered="1" verticalCentered="1"/>
  <pageMargins left="0.5" right="0.5" top="0.5" bottom="0.5" header="0.5" footer="0.5"/>
  <pageSetup orientation="portrait" r:id="rId1"/>
  <headerFooter alignWithMargins="0">
    <oddHeader>&amp;C&amp;F</oddHeader>
  </headerFooter>
</worksheet>
</file>

<file path=xl/worksheets/sheet16.xml><?xml version="1.0" encoding="utf-8"?>
<worksheet xmlns="http://schemas.openxmlformats.org/spreadsheetml/2006/main" xmlns:r="http://schemas.openxmlformats.org/officeDocument/2006/relationships">
  <sheetPr codeName="Sheet14"/>
  <dimension ref="A1:J27"/>
  <sheetViews>
    <sheetView workbookViewId="0" topLeftCell="A13">
      <selection activeCell="D34" sqref="D34"/>
    </sheetView>
  </sheetViews>
  <sheetFormatPr defaultColWidth="9.140625" defaultRowHeight="12.75"/>
  <cols>
    <col min="1" max="1" width="29.00390625" style="120" customWidth="1"/>
    <col min="2" max="3" width="11.57421875" style="120" customWidth="1"/>
    <col min="4" max="4" width="12.28125" style="120" customWidth="1"/>
    <col min="5" max="6" width="13.140625" style="120" customWidth="1"/>
    <col min="7" max="7" width="18.140625" style="120" customWidth="1"/>
    <col min="8" max="8" width="28.140625" style="120" customWidth="1"/>
    <col min="9" max="10" width="11.421875" style="120" customWidth="1"/>
    <col min="11" max="11" width="12.57421875" style="120" customWidth="1"/>
    <col min="12" max="16384" width="11.421875" style="120" customWidth="1"/>
  </cols>
  <sheetData>
    <row r="1" ht="15.75">
      <c r="A1" s="242" t="s">
        <v>404</v>
      </c>
    </row>
    <row r="2" spans="2:8" ht="15.75">
      <c r="B2" s="122"/>
      <c r="E2" s="122"/>
      <c r="F2" s="122"/>
      <c r="H2" s="120">
        <v>1.070345240470964</v>
      </c>
    </row>
    <row r="3" spans="1:8" ht="47.25">
      <c r="A3" s="230" t="s">
        <v>57</v>
      </c>
      <c r="B3" s="249" t="s">
        <v>391</v>
      </c>
      <c r="C3" s="249" t="s">
        <v>392</v>
      </c>
      <c r="D3" s="249" t="s">
        <v>408</v>
      </c>
      <c r="E3" s="249" t="s">
        <v>416</v>
      </c>
      <c r="F3" s="249" t="s">
        <v>424</v>
      </c>
      <c r="G3" s="253" t="s">
        <v>437</v>
      </c>
      <c r="H3" s="252" t="s">
        <v>423</v>
      </c>
    </row>
    <row r="4" spans="1:8" ht="15.75">
      <c r="A4" s="242" t="s">
        <v>313</v>
      </c>
      <c r="B4" s="245">
        <v>0.3973040601363316</v>
      </c>
      <c r="C4" s="232">
        <v>0.35</v>
      </c>
      <c r="D4" s="232">
        <v>0.51</v>
      </c>
      <c r="E4" s="232">
        <v>0.51</v>
      </c>
      <c r="F4" s="232">
        <f>PacPUDResWXCst!K7</f>
        <v>1.158718036195294</v>
      </c>
      <c r="G4" s="250">
        <f>(B4+C4+D4+F4)/3</f>
        <v>0.8053406987772086</v>
      </c>
      <c r="H4" s="125">
        <f>G4*H$2</f>
        <v>0.8619925838937454</v>
      </c>
    </row>
    <row r="5" spans="1:8" ht="15.75">
      <c r="A5" s="242" t="s">
        <v>409</v>
      </c>
      <c r="B5" s="245">
        <v>0.23001814007892882</v>
      </c>
      <c r="C5" s="232">
        <v>0.14</v>
      </c>
      <c r="D5" s="232">
        <v>0.14</v>
      </c>
      <c r="E5" s="232">
        <v>0.14</v>
      </c>
      <c r="F5" s="232">
        <f>PacPUDResWXCst!J43</f>
        <v>0.3923602577203201</v>
      </c>
      <c r="G5" s="250">
        <f>(B5+C5)/2</f>
        <v>0.18500907003946443</v>
      </c>
      <c r="H5" s="125">
        <f aca="true" t="shared" si="0" ref="H5:H11">G5*H$2</f>
        <v>0.19802357756069996</v>
      </c>
    </row>
    <row r="6" spans="1:8" ht="15.75">
      <c r="A6" s="242" t="s">
        <v>410</v>
      </c>
      <c r="B6" s="245">
        <v>0.16728592005740278</v>
      </c>
      <c r="C6" s="232">
        <v>0.08</v>
      </c>
      <c r="D6" s="232">
        <v>0.1</v>
      </c>
      <c r="E6" s="232">
        <v>0.1</v>
      </c>
      <c r="F6" s="232">
        <f>PacPUDResWXCst!J42-PacPUDResWXCst!J41</f>
        <v>0.1747565157504719</v>
      </c>
      <c r="G6" s="250">
        <f>(B6+C6)/2</f>
        <v>0.1236429600287014</v>
      </c>
      <c r="H6" s="125">
        <f t="shared" si="0"/>
        <v>0.13234065378446216</v>
      </c>
    </row>
    <row r="7" spans="1:8" ht="15.75">
      <c r="A7" s="230" t="s">
        <v>317</v>
      </c>
      <c r="B7" s="245">
        <v>0.7946081202726633</v>
      </c>
      <c r="C7" s="232">
        <v>0.57</v>
      </c>
      <c r="D7" s="232">
        <v>0.75</v>
      </c>
      <c r="E7" s="232">
        <v>0.75</v>
      </c>
      <c r="F7" s="232">
        <f>PacPUDResWXCst!K35</f>
        <v>1.1284375281877732</v>
      </c>
      <c r="G7" s="250">
        <f>(B7+C7+F7)/3</f>
        <v>0.8310152161534788</v>
      </c>
      <c r="H7" s="125">
        <f t="shared" si="0"/>
        <v>0.8894731813688254</v>
      </c>
    </row>
    <row r="8" spans="1:8" ht="15.75">
      <c r="A8" s="230" t="s">
        <v>318</v>
      </c>
      <c r="B8" s="232">
        <v>0.921298182311975</v>
      </c>
      <c r="C8" s="232">
        <v>0.63</v>
      </c>
      <c r="D8" s="232">
        <v>0.58</v>
      </c>
      <c r="E8" s="232">
        <v>0.58</v>
      </c>
      <c r="F8" s="232">
        <f>PacPUDResWXCst!P14</f>
        <v>0.6871147117176439</v>
      </c>
      <c r="G8" s="250">
        <f>(B8+C8+F8)/3</f>
        <v>0.7461376313432062</v>
      </c>
      <c r="H8" s="125">
        <f t="shared" si="0"/>
        <v>0.7986248624444795</v>
      </c>
    </row>
    <row r="9" spans="1:8" ht="15.75">
      <c r="A9" s="242" t="s">
        <v>418</v>
      </c>
      <c r="B9" s="232">
        <v>0.12</v>
      </c>
      <c r="C9" s="232">
        <v>0.1</v>
      </c>
      <c r="D9" s="232">
        <v>0.1</v>
      </c>
      <c r="E9" s="232">
        <v>0.18</v>
      </c>
      <c r="F9" s="232">
        <f>F10-F8</f>
        <v>0.19453910418758424</v>
      </c>
      <c r="G9" s="250">
        <f>(B9+C9+F9)/3</f>
        <v>0.13817970139586142</v>
      </c>
      <c r="H9" s="125">
        <f t="shared" si="0"/>
        <v>0.14789998571875929</v>
      </c>
    </row>
    <row r="10" spans="1:8" ht="15.75">
      <c r="A10" s="242" t="s">
        <v>320</v>
      </c>
      <c r="B10" s="232">
        <v>1.0412981823119751</v>
      </c>
      <c r="C10" s="232">
        <v>0.73</v>
      </c>
      <c r="D10" s="232">
        <v>0.76</v>
      </c>
      <c r="E10" s="232">
        <v>0.76</v>
      </c>
      <c r="F10" s="232">
        <f>PacPUDResWXCst!P33</f>
        <v>0.8816538159052282</v>
      </c>
      <c r="G10" s="250">
        <f>(B10+C10+F10)/3</f>
        <v>0.8843173327390678</v>
      </c>
      <c r="H10" s="125">
        <f t="shared" si="0"/>
        <v>0.9465248481632389</v>
      </c>
    </row>
    <row r="11" spans="1:8" ht="15.75">
      <c r="A11" s="230" t="s">
        <v>321</v>
      </c>
      <c r="B11" s="232">
        <v>0.6497957733972651</v>
      </c>
      <c r="C11" s="232">
        <v>0.79</v>
      </c>
      <c r="D11" s="232">
        <v>0.65</v>
      </c>
      <c r="E11" s="232">
        <v>0.65</v>
      </c>
      <c r="F11" s="232">
        <f>PacPUDResWXCst!D31</f>
        <v>0.8236415633937083</v>
      </c>
      <c r="G11" s="250">
        <f>(B11+C11+F11)/3</f>
        <v>0.7544791122636578</v>
      </c>
      <c r="H11" s="125">
        <f t="shared" si="0"/>
        <v>0.8075531268461642</v>
      </c>
    </row>
    <row r="12" spans="1:8" ht="15.75">
      <c r="A12" s="230" t="s">
        <v>329</v>
      </c>
      <c r="B12" s="232">
        <v>0.6822916033688611</v>
      </c>
      <c r="C12" s="230" t="s">
        <v>314</v>
      </c>
      <c r="D12" s="230" t="s">
        <v>314</v>
      </c>
      <c r="E12" s="230" t="s">
        <v>314</v>
      </c>
      <c r="F12" s="230"/>
      <c r="G12" s="250"/>
      <c r="H12" s="125"/>
    </row>
    <row r="13" spans="1:8" ht="31.5">
      <c r="A13" s="231" t="s">
        <v>419</v>
      </c>
      <c r="B13" s="232">
        <v>15.02</v>
      </c>
      <c r="C13" s="232">
        <v>14.89</v>
      </c>
      <c r="D13" s="232">
        <v>15.63</v>
      </c>
      <c r="E13" s="232">
        <v>14.96</v>
      </c>
      <c r="F13" s="232"/>
      <c r="G13" s="250">
        <f>(B13+C13)/2</f>
        <v>14.955</v>
      </c>
      <c r="H13" s="125">
        <f>E13*H$2</f>
        <v>16.01236479744562</v>
      </c>
    </row>
    <row r="14" spans="1:10" ht="15.75">
      <c r="A14" s="246"/>
      <c r="B14" s="122"/>
      <c r="C14" s="122"/>
      <c r="H14" s="246"/>
      <c r="I14" s="122"/>
      <c r="J14" s="122"/>
    </row>
    <row r="15" ht="15.75">
      <c r="A15" s="243" t="s">
        <v>405</v>
      </c>
    </row>
    <row r="16" spans="2:6" ht="15.75">
      <c r="B16" s="122"/>
      <c r="E16" s="122"/>
      <c r="F16" s="122"/>
    </row>
    <row r="17" spans="1:7" ht="15.75">
      <c r="A17" s="230" t="s">
        <v>57</v>
      </c>
      <c r="B17" s="230" t="s">
        <v>391</v>
      </c>
      <c r="C17" s="230" t="s">
        <v>392</v>
      </c>
      <c r="D17" s="230" t="s">
        <v>408</v>
      </c>
      <c r="E17" s="230" t="s">
        <v>416</v>
      </c>
      <c r="F17" s="230"/>
      <c r="G17" s="120" t="s">
        <v>417</v>
      </c>
    </row>
    <row r="18" spans="1:8" ht="15.75">
      <c r="A18" s="242" t="s">
        <v>313</v>
      </c>
      <c r="B18" s="245">
        <v>0.44</v>
      </c>
      <c r="C18" s="232">
        <v>0.33</v>
      </c>
      <c r="D18" s="232">
        <v>0.51</v>
      </c>
      <c r="E18" s="232">
        <v>0.51</v>
      </c>
      <c r="F18" s="232"/>
      <c r="G18" s="250">
        <f aca="true" t="shared" si="1" ref="G18:G25">(B18+C18)/2</f>
        <v>0.385</v>
      </c>
      <c r="H18" s="125">
        <f aca="true" t="shared" si="2" ref="H18:H25">E18*H$2</f>
        <v>0.5458760726401916</v>
      </c>
    </row>
    <row r="19" spans="1:8" ht="15.75">
      <c r="A19" s="242" t="s">
        <v>409</v>
      </c>
      <c r="B19" s="245">
        <v>0.11</v>
      </c>
      <c r="C19" s="232">
        <v>0.17</v>
      </c>
      <c r="D19" s="232">
        <v>0.14</v>
      </c>
      <c r="E19" s="232">
        <v>0.14</v>
      </c>
      <c r="F19" s="232"/>
      <c r="G19" s="250">
        <f t="shared" si="1"/>
        <v>0.14</v>
      </c>
      <c r="H19" s="125">
        <f t="shared" si="2"/>
        <v>0.14984833366593497</v>
      </c>
    </row>
    <row r="20" spans="1:8" ht="15.75">
      <c r="A20" s="242" t="s">
        <v>410</v>
      </c>
      <c r="B20" s="245">
        <v>0.08</v>
      </c>
      <c r="C20" s="232">
        <v>0.12</v>
      </c>
      <c r="D20" s="232">
        <v>0.1</v>
      </c>
      <c r="E20" s="232">
        <v>0.1</v>
      </c>
      <c r="F20" s="232"/>
      <c r="G20" s="250">
        <f t="shared" si="1"/>
        <v>0.1</v>
      </c>
      <c r="H20" s="125">
        <f t="shared" si="2"/>
        <v>0.1070345240470964</v>
      </c>
    </row>
    <row r="21" spans="1:8" ht="15.75">
      <c r="A21" s="230" t="s">
        <v>317</v>
      </c>
      <c r="B21" s="245">
        <v>0.63</v>
      </c>
      <c r="C21" s="232">
        <v>0.62</v>
      </c>
      <c r="D21" s="232">
        <v>0.75</v>
      </c>
      <c r="E21" s="232">
        <v>0.75</v>
      </c>
      <c r="F21" s="232"/>
      <c r="G21" s="250">
        <f t="shared" si="1"/>
        <v>0.625</v>
      </c>
      <c r="H21" s="125">
        <f t="shared" si="2"/>
        <v>0.802758930353223</v>
      </c>
    </row>
    <row r="22" spans="1:8" ht="15.75">
      <c r="A22" s="230" t="s">
        <v>318</v>
      </c>
      <c r="B22" s="232">
        <v>0.73</v>
      </c>
      <c r="C22" s="232">
        <v>0.6</v>
      </c>
      <c r="D22" s="232">
        <v>0.58</v>
      </c>
      <c r="E22" s="232">
        <v>0.58</v>
      </c>
      <c r="F22" s="232"/>
      <c r="G22" s="250">
        <f t="shared" si="1"/>
        <v>0.665</v>
      </c>
      <c r="H22" s="125">
        <f t="shared" si="2"/>
        <v>0.620800239473159</v>
      </c>
    </row>
    <row r="23" spans="1:8" ht="15.75">
      <c r="A23" s="242" t="s">
        <v>418</v>
      </c>
      <c r="B23" s="232">
        <v>0.17</v>
      </c>
      <c r="C23" s="232">
        <v>0.11</v>
      </c>
      <c r="D23" s="232">
        <v>0.1</v>
      </c>
      <c r="E23" s="232">
        <v>0.18</v>
      </c>
      <c r="F23" s="232"/>
      <c r="G23" s="250">
        <f t="shared" si="1"/>
        <v>0.14</v>
      </c>
      <c r="H23" s="125">
        <f t="shared" si="2"/>
        <v>0.1926621432847735</v>
      </c>
    </row>
    <row r="24" spans="1:8" ht="15.75">
      <c r="A24" s="242" t="s">
        <v>320</v>
      </c>
      <c r="B24" s="232">
        <v>0.9</v>
      </c>
      <c r="C24" s="232">
        <v>0.71</v>
      </c>
      <c r="D24" s="232">
        <v>0.76</v>
      </c>
      <c r="E24" s="232">
        <v>0.76</v>
      </c>
      <c r="F24" s="232"/>
      <c r="G24" s="250">
        <f t="shared" si="1"/>
        <v>0.8049999999999999</v>
      </c>
      <c r="H24" s="125">
        <f t="shared" si="2"/>
        <v>0.8134623827579326</v>
      </c>
    </row>
    <row r="25" spans="1:8" ht="15.75">
      <c r="A25" s="230" t="s">
        <v>321</v>
      </c>
      <c r="B25" s="232">
        <v>0.55</v>
      </c>
      <c r="C25" s="232">
        <v>0.79</v>
      </c>
      <c r="D25" s="232">
        <v>0.65</v>
      </c>
      <c r="E25" s="232">
        <v>0.65</v>
      </c>
      <c r="F25" s="232"/>
      <c r="G25" s="250">
        <f t="shared" si="1"/>
        <v>0.67</v>
      </c>
      <c r="H25" s="125">
        <f t="shared" si="2"/>
        <v>0.6957244063061265</v>
      </c>
    </row>
    <row r="26" spans="1:8" ht="15.75">
      <c r="A26" s="230" t="s">
        <v>329</v>
      </c>
      <c r="B26" s="232">
        <v>0.72</v>
      </c>
      <c r="C26" s="230" t="s">
        <v>314</v>
      </c>
      <c r="D26" s="230" t="s">
        <v>314</v>
      </c>
      <c r="E26" s="230" t="s">
        <v>314</v>
      </c>
      <c r="F26" s="230"/>
      <c r="G26" s="250"/>
      <c r="H26" s="125"/>
    </row>
    <row r="27" spans="1:8" ht="31.5">
      <c r="A27" s="231" t="s">
        <v>419</v>
      </c>
      <c r="B27" s="232">
        <v>10.94</v>
      </c>
      <c r="C27" s="232">
        <v>11.77</v>
      </c>
      <c r="D27" s="232">
        <v>15.63</v>
      </c>
      <c r="E27" s="232">
        <v>11.36</v>
      </c>
      <c r="F27" s="232"/>
      <c r="G27" s="250">
        <f>(B27+C27)/2</f>
        <v>11.355</v>
      </c>
      <c r="H27" s="125">
        <f>E27*H$2</f>
        <v>12.15912193175015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sheetPr codeName="Sheet16"/>
  <dimension ref="A2:H81"/>
  <sheetViews>
    <sheetView zoomScale="75" zoomScaleNormal="75" workbookViewId="0" topLeftCell="B1">
      <selection activeCell="C22" sqref="C22"/>
    </sheetView>
  </sheetViews>
  <sheetFormatPr defaultColWidth="9.140625" defaultRowHeight="12.75"/>
  <cols>
    <col min="1" max="1" width="11.421875" style="0" customWidth="1"/>
    <col min="2" max="2" width="10.00390625" style="557" customWidth="1"/>
    <col min="3" max="3" width="123.140625" style="0" customWidth="1"/>
    <col min="4" max="4" width="29.00390625" style="0" customWidth="1"/>
    <col min="6" max="6" width="10.28125" style="0" bestFit="1" customWidth="1"/>
    <col min="8" max="8" width="8.7109375" style="0" customWidth="1"/>
  </cols>
  <sheetData>
    <row r="2" spans="1:3" ht="25.5">
      <c r="A2" s="558" t="s">
        <v>505</v>
      </c>
      <c r="B2" s="559" t="s">
        <v>506</v>
      </c>
      <c r="C2" s="558" t="s">
        <v>507</v>
      </c>
    </row>
    <row r="3" spans="1:4" ht="12.75">
      <c r="A3" t="s">
        <v>526</v>
      </c>
      <c r="B3" s="557">
        <v>4692</v>
      </c>
      <c r="C3" t="s">
        <v>450</v>
      </c>
      <c r="D3" s="257">
        <f>B3/(SUM(B3:B5))</f>
        <v>0.03022786865179325</v>
      </c>
    </row>
    <row r="4" spans="1:4" ht="12.75">
      <c r="A4" t="s">
        <v>524</v>
      </c>
      <c r="B4" s="557">
        <v>13568</v>
      </c>
      <c r="C4" t="s">
        <v>449</v>
      </c>
      <c r="D4" s="257">
        <f>B4/(SUM(B3:B5))</f>
        <v>0.08741085291294348</v>
      </c>
    </row>
    <row r="5" spans="1:4" ht="12.75">
      <c r="A5" t="s">
        <v>512</v>
      </c>
      <c r="B5" s="251">
        <v>136961</v>
      </c>
      <c r="C5" t="s">
        <v>448</v>
      </c>
      <c r="D5" s="257">
        <f>B5/(SUM(B3:B5))</f>
        <v>0.8823612784352632</v>
      </c>
    </row>
    <row r="6" spans="1:4" ht="12.75">
      <c r="A6" t="s">
        <v>514</v>
      </c>
      <c r="B6" s="557">
        <v>46053.5</v>
      </c>
      <c r="C6" t="s">
        <v>459</v>
      </c>
      <c r="D6" s="257">
        <f>B6/(SUM(B6:B8))</f>
        <v>0.06007606447543754</v>
      </c>
    </row>
    <row r="7" spans="1:4" ht="12.75">
      <c r="A7" t="s">
        <v>516</v>
      </c>
      <c r="B7" s="557">
        <v>38090</v>
      </c>
      <c r="C7" t="s">
        <v>458</v>
      </c>
      <c r="D7" s="257">
        <f>B7/(SUM(B6:B8))</f>
        <v>0.04968780431171173</v>
      </c>
    </row>
    <row r="8" spans="1:4" ht="12.75">
      <c r="A8" t="s">
        <v>508</v>
      </c>
      <c r="B8" s="251">
        <v>682443</v>
      </c>
      <c r="C8" t="s">
        <v>457</v>
      </c>
      <c r="D8" s="257">
        <f>B8/(SUM(B6:B8))</f>
        <v>0.8902361312128507</v>
      </c>
    </row>
    <row r="9" spans="1:4" ht="12.75">
      <c r="A9" t="s">
        <v>523</v>
      </c>
      <c r="B9" s="557">
        <v>13657</v>
      </c>
      <c r="C9" t="s">
        <v>453</v>
      </c>
      <c r="D9" s="257">
        <f>B9/(SUM(B9:B11))</f>
        <v>0.023573702125896722</v>
      </c>
    </row>
    <row r="10" spans="1:4" ht="12.75">
      <c r="A10" t="s">
        <v>517</v>
      </c>
      <c r="B10" s="557">
        <v>32985</v>
      </c>
      <c r="C10" t="s">
        <v>452</v>
      </c>
      <c r="D10" s="257">
        <f>B10/(SUM(B9:B11))</f>
        <v>0.05693626452534989</v>
      </c>
    </row>
    <row r="11" spans="1:4" ht="12.75">
      <c r="A11" t="s">
        <v>510</v>
      </c>
      <c r="B11" s="251">
        <v>532690</v>
      </c>
      <c r="C11" t="s">
        <v>451</v>
      </c>
      <c r="D11" s="257">
        <f>B11/(SUM(B9:B11))</f>
        <v>0.9194900333487533</v>
      </c>
    </row>
    <row r="12" spans="1:4" ht="12.75">
      <c r="A12" t="s">
        <v>525</v>
      </c>
      <c r="B12" s="557">
        <v>6189</v>
      </c>
      <c r="C12" t="s">
        <v>456</v>
      </c>
      <c r="D12" s="257">
        <f>B12/(SUM(B12:B14))</f>
        <v>0.040553025587262065</v>
      </c>
    </row>
    <row r="13" spans="1:4" ht="12.75">
      <c r="A13" t="s">
        <v>528</v>
      </c>
      <c r="B13" s="557">
        <v>777</v>
      </c>
      <c r="C13" t="s">
        <v>455</v>
      </c>
      <c r="D13" s="257">
        <f>B13/(SUM(B12:B14))</f>
        <v>0.005091242669462373</v>
      </c>
    </row>
    <row r="14" spans="1:4" ht="12.75">
      <c r="A14" t="s">
        <v>513</v>
      </c>
      <c r="B14" s="251">
        <v>145649</v>
      </c>
      <c r="C14" t="s">
        <v>454</v>
      </c>
      <c r="D14" s="257">
        <f>B14/(SUM(B12:B14))</f>
        <v>0.9543557317432756</v>
      </c>
    </row>
    <row r="15" spans="1:4" ht="12.75">
      <c r="A15" t="s">
        <v>521</v>
      </c>
      <c r="B15" s="557">
        <v>19871.4</v>
      </c>
      <c r="C15" t="s">
        <v>447</v>
      </c>
      <c r="D15" s="257">
        <f>B15/(SUM(B15:B17))</f>
        <v>0.043385072263696284</v>
      </c>
    </row>
    <row r="16" spans="1:4" ht="12.75">
      <c r="A16" t="s">
        <v>518</v>
      </c>
      <c r="B16" s="557">
        <v>25841.5</v>
      </c>
      <c r="C16" t="s">
        <v>446</v>
      </c>
      <c r="D16" s="257">
        <f>B16/(SUM(B15:B17))</f>
        <v>0.05641954491894419</v>
      </c>
    </row>
    <row r="17" spans="1:4" ht="12.75">
      <c r="A17" t="s">
        <v>511</v>
      </c>
      <c r="B17" s="251">
        <v>412311</v>
      </c>
      <c r="C17" t="s">
        <v>445</v>
      </c>
      <c r="D17" s="257">
        <f>B17/(SUM(B15:B17))</f>
        <v>0.9001953828173594</v>
      </c>
    </row>
    <row r="18" spans="1:4" ht="12.75">
      <c r="A18" t="s">
        <v>515</v>
      </c>
      <c r="B18" s="557">
        <v>41317.2</v>
      </c>
      <c r="C18" t="s">
        <v>444</v>
      </c>
      <c r="D18" s="257">
        <f>B18/(SUM(B18:B20))</f>
        <v>0.6447229625560972</v>
      </c>
    </row>
    <row r="19" spans="1:4" ht="12.75">
      <c r="A19" t="s">
        <v>527</v>
      </c>
      <c r="B19" s="557">
        <v>2030</v>
      </c>
      <c r="C19" t="s">
        <v>443</v>
      </c>
      <c r="D19" s="257">
        <f>B19/(SUM(B18:B20))</f>
        <v>0.03167658055213997</v>
      </c>
    </row>
    <row r="20" spans="1:4" ht="12.75">
      <c r="A20" t="s">
        <v>520</v>
      </c>
      <c r="B20" s="557">
        <v>20738</v>
      </c>
      <c r="C20" t="s">
        <v>442</v>
      </c>
      <c r="D20" s="257">
        <f>B20/(SUM(B18:B20))</f>
        <v>0.32360045689176287</v>
      </c>
    </row>
    <row r="21" spans="1:4" ht="12.75">
      <c r="A21" t="s">
        <v>522</v>
      </c>
      <c r="B21" s="557">
        <v>17070.46</v>
      </c>
      <c r="C21" t="s">
        <v>441</v>
      </c>
      <c r="D21" s="257">
        <f>B21/(SUM(B21:B23))</f>
        <v>0.030193359288428027</v>
      </c>
    </row>
    <row r="22" spans="1:4" ht="12.75">
      <c r="A22" t="s">
        <v>519</v>
      </c>
      <c r="B22" s="557">
        <v>24379.75</v>
      </c>
      <c r="C22" t="s">
        <v>440</v>
      </c>
      <c r="D22" s="257">
        <f>B22/(SUM(B21:B23))</f>
        <v>0.04312165876678503</v>
      </c>
    </row>
    <row r="23" spans="1:4" ht="12.75">
      <c r="A23" t="s">
        <v>509</v>
      </c>
      <c r="B23" s="251">
        <v>523921.13</v>
      </c>
      <c r="C23" t="s">
        <v>439</v>
      </c>
      <c r="D23" s="257">
        <f>B23/(SUM(B21:B23))</f>
        <v>0.926684981944787</v>
      </c>
    </row>
    <row r="24" ht="12.75">
      <c r="B24" s="557">
        <f>SUM(B3:B23)</f>
        <v>2741234.94</v>
      </c>
    </row>
    <row r="25" ht="12.75">
      <c r="A25" t="s">
        <v>1</v>
      </c>
    </row>
    <row r="26" spans="1:3" ht="12.75">
      <c r="A26" s="257">
        <f>B26/B$33</f>
        <v>0.055795114437669546</v>
      </c>
      <c r="B26" s="560">
        <f>B5</f>
        <v>136961</v>
      </c>
      <c r="C26" t="str">
        <f>C5</f>
        <v>Single Family Weatherization - R0 to R19 Attic Insulation (Cost and Savings are per sq.ft. of attic area insulated) - Heating Zone 1</v>
      </c>
    </row>
    <row r="27" spans="1:3" ht="12.75">
      <c r="A27" s="257">
        <f aca="true" t="shared" si="0" ref="A27:A32">B27/B$33</f>
        <v>0.2780133416241596</v>
      </c>
      <c r="B27" s="560">
        <f>B8</f>
        <v>682443</v>
      </c>
      <c r="C27" t="str">
        <f>C8</f>
        <v>Single Family Weatherization - R19 to R38 Attic Insulation (Cost and Savings are per sq.ft. of attic area insulated) - Heating Zone 1</v>
      </c>
    </row>
    <row r="28" spans="1:3" ht="12.75">
      <c r="A28" s="257">
        <f t="shared" si="0"/>
        <v>0.21700702761955734</v>
      </c>
      <c r="B28" s="560">
        <f>B11</f>
        <v>532690</v>
      </c>
      <c r="C28" t="str">
        <f>C11</f>
        <v>Single Family Weatherization - R0 to R19 Floor Insulation (Cost and Savings are per sq.ft. of floor area insulated) - Heating Zone 1</v>
      </c>
    </row>
    <row r="29" spans="1:3" ht="12.75">
      <c r="A29" s="257">
        <f t="shared" si="0"/>
        <v>0.059334428214835845</v>
      </c>
      <c r="B29" s="560">
        <f>B14</f>
        <v>145649</v>
      </c>
      <c r="C29" t="str">
        <f>C14</f>
        <v>Single Family Weatherization - R19 to R30 Floor Insulation (Cost and Savings are per sq.ft. of floor area insulated) - Heating Zone 1</v>
      </c>
    </row>
    <row r="30" spans="1:3" ht="12.75">
      <c r="A30" s="257">
        <f t="shared" si="0"/>
        <v>0.1679670813509683</v>
      </c>
      <c r="B30" s="560">
        <f>B17</f>
        <v>412311</v>
      </c>
      <c r="C30" t="str">
        <f>C17</f>
        <v>Single Family Weatherization - R0 to R11 Wall Insulation (Cost and Savings are per sq.ft. of wall area insulated) - Heating Zone 1</v>
      </c>
    </row>
    <row r="31" spans="1:3" ht="12.75">
      <c r="A31" s="257">
        <f t="shared" si="0"/>
        <v>0.008448237696923877</v>
      </c>
      <c r="B31" s="560">
        <f>B20</f>
        <v>20738</v>
      </c>
      <c r="C31" t="str">
        <f>C20</f>
        <v>Single Family Weatherization - Infiltration Control (Cost and Savings per sq.ft. of floor area for each  0.1 ach reduction) - Heating Zone 1</v>
      </c>
    </row>
    <row r="32" spans="1:3" ht="12.75">
      <c r="A32" s="257">
        <f t="shared" si="0"/>
        <v>0.21343476905588557</v>
      </c>
      <c r="B32" s="560">
        <f>B23</f>
        <v>523921.13</v>
      </c>
      <c r="C32" t="str">
        <f>C23</f>
        <v>Single Family Weatherization - Energy Star Prime Window Replacement (Cost and Savings are per sq.ft. of glazed area replaced) - Heating Zone 1</v>
      </c>
    </row>
    <row r="33" ht="12.75">
      <c r="B33" s="557">
        <f>SUM(B26:B32)</f>
        <v>2454713.13</v>
      </c>
    </row>
    <row r="34" ht="12.75">
      <c r="A34" t="s">
        <v>2</v>
      </c>
    </row>
    <row r="35" spans="1:3" ht="12.75">
      <c r="A35" s="257">
        <f>B35/B$42</f>
        <v>0.09855361958288314</v>
      </c>
      <c r="B35" s="560">
        <f>B4</f>
        <v>13568</v>
      </c>
      <c r="C35" s="560" t="str">
        <f>C4</f>
        <v>Single Family Weatherization - R0 to R19 Attic Insulation (Cost and Savings are per sq.ft. of attic area insulated) - Heating Zone 2</v>
      </c>
    </row>
    <row r="36" spans="1:3" ht="12.75">
      <c r="A36" s="257">
        <f aca="true" t="shared" si="1" ref="A36:A41">B36/B$42</f>
        <v>0.27667359742865705</v>
      </c>
      <c r="B36" s="560">
        <f>B7</f>
        <v>38090</v>
      </c>
      <c r="C36" s="560" t="str">
        <f>C7</f>
        <v>Single Family Weatherization - R19 to R38 Attic Insulation (Cost and Savings are per sq.ft. of attic area insulated) - Heating Zone 2</v>
      </c>
    </row>
    <row r="37" spans="1:3" ht="12.75">
      <c r="A37" s="257">
        <f t="shared" si="1"/>
        <v>0.23959250751336972</v>
      </c>
      <c r="B37" s="560">
        <f>B10</f>
        <v>32985</v>
      </c>
      <c r="C37" s="560" t="str">
        <f>C10</f>
        <v>Single Family Weatherization - R0 to R19 Floor Insulation (Cost and Savings are per sq.ft. of floor area insulated) - Heating Zone 2</v>
      </c>
    </row>
    <row r="38" spans="1:3" ht="12.75">
      <c r="A38" s="257">
        <f t="shared" si="1"/>
        <v>0.005643879895039814</v>
      </c>
      <c r="B38" s="560">
        <f>B13</f>
        <v>777</v>
      </c>
      <c r="C38" s="560" t="str">
        <f>C13</f>
        <v>Single Family Weatherization - R19 to R30 Floor Insulation (Cost and Savings are per sq.ft. of floor area insulated) - Heating Zone 2</v>
      </c>
    </row>
    <row r="39" spans="1:3" ht="12.75">
      <c r="A39" s="257">
        <f t="shared" si="1"/>
        <v>0.18770440451437756</v>
      </c>
      <c r="B39" s="560">
        <f>B16</f>
        <v>25841.5</v>
      </c>
      <c r="C39" s="560" t="str">
        <f>C16</f>
        <v>Single Family Weatherization - R0 to R11 Wall Insulation (Cost and Savings are per sq.ft. of wall area insulated) - Heating Zone 2</v>
      </c>
    </row>
    <row r="40" spans="1:3" ht="12.75">
      <c r="A40" s="257">
        <f t="shared" si="1"/>
        <v>0.014745271797851766</v>
      </c>
      <c r="B40" s="560">
        <f>B19</f>
        <v>2030</v>
      </c>
      <c r="C40" s="560" t="str">
        <f>C19</f>
        <v>Single Family Weatherization - Infiltration Control (Cost and Savings per sq.ft. of floor area for each  0.1 ach reduction) - Heating Zone 2</v>
      </c>
    </row>
    <row r="41" spans="1:3" ht="12.75">
      <c r="A41" s="257">
        <f t="shared" si="1"/>
        <v>0.177086719267821</v>
      </c>
      <c r="B41" s="560">
        <f>B22</f>
        <v>24379.75</v>
      </c>
      <c r="C41" s="560" t="str">
        <f>C22</f>
        <v>Single Family Weatherization - Energy Star Prime Window Replacement (Cost and Savings are per sq.ft. of glazed area replaced) - Heating Zone 2</v>
      </c>
    </row>
    <row r="42" ht="12.75">
      <c r="B42" s="557">
        <f>SUM(B35:B41)</f>
        <v>137671.25</v>
      </c>
    </row>
    <row r="43" ht="12.75">
      <c r="A43" t="s">
        <v>3</v>
      </c>
    </row>
    <row r="44" spans="1:3" ht="12.75">
      <c r="A44" s="257">
        <f>B44/B$51</f>
        <v>0.03152154751718771</v>
      </c>
      <c r="B44" s="560">
        <f>B3</f>
        <v>4692</v>
      </c>
      <c r="C44" s="560" t="str">
        <f>C3</f>
        <v>Single Family Weatherization - R0 to R19 Attic Insulation (Cost and Savings are per sq.ft. of attic area insulated) - Heating Zone 3</v>
      </c>
    </row>
    <row r="45" spans="1:3" ht="12.75">
      <c r="A45" s="257">
        <f aca="true" t="shared" si="2" ref="A45:A50">B45/B$51</f>
        <v>0.3093942004652183</v>
      </c>
      <c r="B45" s="560">
        <f>B6</f>
        <v>46053.5</v>
      </c>
      <c r="C45" s="560" t="str">
        <f>C6</f>
        <v>Single Family Weatherization - R19 to R38 Attic Insulation (Cost and Savings are per sq.ft. of attic area insulated) - Heating Zone 3</v>
      </c>
    </row>
    <row r="46" spans="1:3" ht="12.75">
      <c r="A46" s="257">
        <f t="shared" si="2"/>
        <v>0.0917497387984298</v>
      </c>
      <c r="B46" s="560">
        <f>B9</f>
        <v>13657</v>
      </c>
      <c r="C46" s="560" t="str">
        <f>C9</f>
        <v>Single Family Weatherization - R0 to R19 Floor Insulation (Cost and Savings are per sq.ft. of floor area insulated) - Heating Zone 3</v>
      </c>
    </row>
    <row r="47" spans="1:3" ht="12.75">
      <c r="A47" s="257">
        <f t="shared" si="2"/>
        <v>0.041578614148310905</v>
      </c>
      <c r="B47" s="560">
        <f>B12</f>
        <v>6189</v>
      </c>
      <c r="C47" s="560" t="str">
        <f>C12</f>
        <v>Single Family Weatherization - R19 to R30 Floor Insulation (Cost and Savings are per sq.ft. of floor area insulated) - Heating Zone 3</v>
      </c>
    </row>
    <row r="48" spans="1:3" ht="12.75">
      <c r="A48" s="257">
        <f t="shared" si="2"/>
        <v>0.13349899389024808</v>
      </c>
      <c r="B48" s="560">
        <f>B15</f>
        <v>19871.4</v>
      </c>
      <c r="C48" s="560" t="str">
        <f>C15</f>
        <v>Single Family Weatherization - R0 to R11 Wall Insulation (Cost and Savings are per sq.ft. of wall area insulated) - Heating Zone 3</v>
      </c>
    </row>
    <row r="49" spans="1:3" ht="12.75">
      <c r="A49" s="257">
        <f t="shared" si="2"/>
        <v>0.27757503901900005</v>
      </c>
      <c r="B49" s="560">
        <f>B18</f>
        <v>41317.2</v>
      </c>
      <c r="C49" s="560" t="str">
        <f>C18</f>
        <v>Single Family Weatherization - Infiltration Control (Cost and Savings per sq.ft. of floor area for each  0.1 ach reduction) - Heating Zone 3</v>
      </c>
    </row>
    <row r="50" spans="1:3" ht="12.75">
      <c r="A50" s="257">
        <f t="shared" si="2"/>
        <v>0.11468186616160532</v>
      </c>
      <c r="B50" s="560">
        <f>B21</f>
        <v>17070.46</v>
      </c>
      <c r="C50" s="560" t="str">
        <f>C21</f>
        <v>Single Family Weatherization - Energy Star Prime Window Replacement (Cost and Savings are per sq.ft. of glazed area replaced) - Heating Zone 3</v>
      </c>
    </row>
    <row r="51" ht="12.75">
      <c r="B51" s="557">
        <f>SUM(B44:B50)</f>
        <v>148850.55999999997</v>
      </c>
    </row>
    <row r="52" spans="1:3" ht="12.75">
      <c r="A52" s="255" t="s">
        <v>4</v>
      </c>
      <c r="B52" s="562"/>
      <c r="C52" s="255"/>
    </row>
    <row r="53" spans="1:3" ht="12.75">
      <c r="A53" s="561">
        <f>B53/B$60</f>
        <v>0.05662447889271396</v>
      </c>
      <c r="B53" s="562">
        <f>B26+B35+B44</f>
        <v>155221</v>
      </c>
      <c r="C53" s="563" t="s">
        <v>529</v>
      </c>
    </row>
    <row r="54" spans="1:3" ht="12.75">
      <c r="A54" s="561">
        <f aca="true" t="shared" si="3" ref="A54:A59">B54/B$60</f>
        <v>0.27965005436564294</v>
      </c>
      <c r="B54" s="562">
        <f aca="true" t="shared" si="4" ref="B54:B60">B27+B36+B45</f>
        <v>766586.5</v>
      </c>
      <c r="C54" s="563" t="s">
        <v>530</v>
      </c>
    </row>
    <row r="55" spans="1:3" ht="12.75">
      <c r="A55" s="561">
        <f t="shared" si="3"/>
        <v>0.21133978395883135</v>
      </c>
      <c r="B55" s="562">
        <f t="shared" si="4"/>
        <v>579332</v>
      </c>
      <c r="C55" s="563" t="s">
        <v>531</v>
      </c>
    </row>
    <row r="56" spans="1:3" ht="12.75">
      <c r="A56" s="561">
        <f t="shared" si="3"/>
        <v>0.05567381247519047</v>
      </c>
      <c r="B56" s="562">
        <f t="shared" si="4"/>
        <v>152615</v>
      </c>
      <c r="C56" s="563" t="s">
        <v>532</v>
      </c>
    </row>
    <row r="57" spans="1:3" ht="12.75">
      <c r="A57" s="561">
        <f t="shared" si="3"/>
        <v>0.16708669998201614</v>
      </c>
      <c r="B57" s="562">
        <f t="shared" si="4"/>
        <v>458023.9</v>
      </c>
      <c r="C57" s="563" t="s">
        <v>533</v>
      </c>
    </row>
    <row r="58" spans="1:3" ht="12.75">
      <c r="A58" s="561">
        <f t="shared" si="3"/>
        <v>0.023378222371556377</v>
      </c>
      <c r="B58" s="562">
        <f t="shared" si="4"/>
        <v>64085.2</v>
      </c>
      <c r="C58" s="563" t="s">
        <v>534</v>
      </c>
    </row>
    <row r="59" spans="1:3" ht="12.75">
      <c r="A59" s="561">
        <f t="shared" si="3"/>
        <v>0.20624694795404877</v>
      </c>
      <c r="B59" s="562">
        <f t="shared" si="4"/>
        <v>565371.34</v>
      </c>
      <c r="C59" s="563" t="s">
        <v>535</v>
      </c>
    </row>
    <row r="60" spans="2:3" ht="12.75">
      <c r="B60" s="557">
        <f t="shared" si="4"/>
        <v>2741234.94</v>
      </c>
      <c r="C60" s="557">
        <f>C33</f>
        <v>0</v>
      </c>
    </row>
    <row r="62" spans="1:4" ht="12.75">
      <c r="A62" s="257">
        <f>B62/B$64</f>
        <v>0.16838765143481693</v>
      </c>
      <c r="B62" s="557">
        <v>155221</v>
      </c>
      <c r="C62" s="563" t="s">
        <v>529</v>
      </c>
      <c r="D62" s="560">
        <f>B62/H$75</f>
        <v>156.9855172134795</v>
      </c>
    </row>
    <row r="63" spans="1:4" ht="12.75">
      <c r="A63" s="257">
        <f>B63/B$64</f>
        <v>0.8316123485651831</v>
      </c>
      <c r="B63" s="557">
        <v>766586.5</v>
      </c>
      <c r="C63" s="563" t="s">
        <v>530</v>
      </c>
      <c r="D63" s="560">
        <f>B63/H$75</f>
        <v>775.3008819126987</v>
      </c>
    </row>
    <row r="64" spans="2:3" ht="12.75">
      <c r="B64" s="557">
        <f>SUM(B62:B63)</f>
        <v>921807.5</v>
      </c>
      <c r="C64" s="563" t="s">
        <v>539</v>
      </c>
    </row>
    <row r="65" spans="1:4" ht="12.75">
      <c r="A65" s="257">
        <f>B65/B$67</f>
        <v>0.7914944661293782</v>
      </c>
      <c r="B65" s="557">
        <v>579332</v>
      </c>
      <c r="C65" s="563" t="s">
        <v>531</v>
      </c>
      <c r="D65" s="560">
        <f>B65/H$77</f>
        <v>585.9177151179255</v>
      </c>
    </row>
    <row r="66" spans="1:4" ht="12.75">
      <c r="A66" s="257">
        <f>B66/B$67</f>
        <v>0.2085055338706218</v>
      </c>
      <c r="B66" s="557">
        <v>152615</v>
      </c>
      <c r="C66" s="563" t="s">
        <v>532</v>
      </c>
      <c r="D66" s="560">
        <f>B66/H$77</f>
        <v>154.349892795016</v>
      </c>
    </row>
    <row r="67" spans="2:3" ht="12.75">
      <c r="B67" s="557">
        <f>SUM(B65:B66)</f>
        <v>731947</v>
      </c>
      <c r="C67" s="563"/>
    </row>
    <row r="68" spans="2:4" ht="12.75">
      <c r="B68" s="557">
        <v>458023.9</v>
      </c>
      <c r="C68" s="563" t="s">
        <v>533</v>
      </c>
      <c r="D68" s="560">
        <f>B68/H$74</f>
        <v>386.51805907172997</v>
      </c>
    </row>
    <row r="69" spans="2:3" ht="12.75">
      <c r="B69" s="557">
        <v>64085.2</v>
      </c>
      <c r="C69" s="563" t="s">
        <v>534</v>
      </c>
    </row>
    <row r="70" spans="2:4" ht="12.75">
      <c r="B70" s="557">
        <v>565371.34</v>
      </c>
      <c r="C70" s="563" t="s">
        <v>535</v>
      </c>
      <c r="D70" s="560">
        <f>B70/H78</f>
        <v>2721.7953976506838</v>
      </c>
    </row>
    <row r="73" spans="4:8" ht="12.75">
      <c r="D73" s="569" t="s">
        <v>540</v>
      </c>
      <c r="E73" s="569">
        <v>850</v>
      </c>
      <c r="F73" s="569">
        <v>1350</v>
      </c>
      <c r="G73" s="569">
        <v>2184</v>
      </c>
      <c r="H73" s="574">
        <f>SUMPRODUCT('Cost-Effectiveness Level'!$I$3:$K$3,E73:G73)</f>
        <v>1600.28</v>
      </c>
    </row>
    <row r="74" spans="4:8" ht="12.75">
      <c r="D74" s="570" t="s">
        <v>541</v>
      </c>
      <c r="E74" s="571">
        <v>810</v>
      </c>
      <c r="F74" s="571">
        <v>1011</v>
      </c>
      <c r="G74" s="571">
        <v>1521</v>
      </c>
      <c r="H74" s="573">
        <f>SUMPRODUCT('Cost-Effectiveness Level'!$I$3:$K$3,E74:G74)</f>
        <v>1185</v>
      </c>
    </row>
    <row r="75" spans="4:8" ht="12.75">
      <c r="D75" s="570" t="s">
        <v>279</v>
      </c>
      <c r="E75" s="571">
        <v>850</v>
      </c>
      <c r="F75" s="571">
        <v>1350</v>
      </c>
      <c r="G75" s="571">
        <v>728</v>
      </c>
      <c r="H75" s="573">
        <f>SUMPRODUCT('Cost-Effectiveness Level'!$I$3:$K$3,E75:G75)</f>
        <v>988.76</v>
      </c>
    </row>
    <row r="76" spans="4:8" ht="12.75">
      <c r="D76" s="570" t="s">
        <v>542</v>
      </c>
      <c r="E76" s="571">
        <v>0</v>
      </c>
      <c r="F76" s="571">
        <v>0</v>
      </c>
      <c r="G76" s="571">
        <v>0</v>
      </c>
      <c r="H76" s="573">
        <f>SUMPRODUCT('Cost-Effectiveness Level'!$I$3:$K$3,E76:G76)</f>
        <v>0</v>
      </c>
    </row>
    <row r="77" spans="4:8" ht="12.75">
      <c r="D77" s="572" t="s">
        <v>282</v>
      </c>
      <c r="E77" s="571">
        <v>850</v>
      </c>
      <c r="F77" s="571">
        <v>1350</v>
      </c>
      <c r="G77" s="571">
        <v>728</v>
      </c>
      <c r="H77" s="573">
        <f>SUMPRODUCT('Cost-Effectiveness Level'!$I$3:$K$3,E77:G77)</f>
        <v>988.76</v>
      </c>
    </row>
    <row r="78" spans="4:8" ht="12.75">
      <c r="D78" s="572" t="s">
        <v>239</v>
      </c>
      <c r="E78" s="571">
        <v>94</v>
      </c>
      <c r="F78" s="571">
        <v>149</v>
      </c>
      <c r="G78" s="571">
        <v>315</v>
      </c>
      <c r="H78" s="573">
        <f>SUMPRODUCT('Cost-Effectiveness Level'!$I$3:$K$3,E78:G78)</f>
        <v>207.71999999999997</v>
      </c>
    </row>
    <row r="79" spans="4:8" ht="12.75">
      <c r="D79" s="570" t="s">
        <v>543</v>
      </c>
      <c r="E79" s="571">
        <v>40</v>
      </c>
      <c r="F79" s="571">
        <v>40</v>
      </c>
      <c r="G79" s="571">
        <v>40</v>
      </c>
      <c r="H79" s="573">
        <f>SUMPRODUCT('Cost-Effectiveness Level'!$I$3:$K$3,E79:G79)</f>
        <v>40</v>
      </c>
    </row>
    <row r="80" spans="4:8" ht="12.75">
      <c r="D80" s="572" t="s">
        <v>544</v>
      </c>
      <c r="E80" s="571">
        <v>0</v>
      </c>
      <c r="F80" s="571">
        <v>0</v>
      </c>
      <c r="G80" s="571">
        <v>864</v>
      </c>
      <c r="H80" s="573">
        <f>SUMPRODUCT('Cost-Effectiveness Level'!$I$3:$K$3,E80:G80)</f>
        <v>362.88</v>
      </c>
    </row>
    <row r="81" spans="4:8" ht="12.75">
      <c r="D81" s="570" t="s">
        <v>545</v>
      </c>
      <c r="E81" s="571">
        <v>6800</v>
      </c>
      <c r="F81" s="571">
        <v>10800</v>
      </c>
      <c r="G81" s="571">
        <v>17472</v>
      </c>
      <c r="H81" s="573">
        <f>SUMPRODUCT('Cost-Effectiveness Level'!$I$3:$K$3,E81:G81)</f>
        <v>12802.24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K28"/>
  <sheetViews>
    <sheetView workbookViewId="0" topLeftCell="A1">
      <selection activeCell="A1" sqref="A1"/>
    </sheetView>
  </sheetViews>
  <sheetFormatPr defaultColWidth="9.140625" defaultRowHeight="12.75"/>
  <cols>
    <col min="1" max="1" width="27.57421875" style="3" customWidth="1"/>
    <col min="2" max="2" width="9.28125" style="3" customWidth="1"/>
    <col min="3" max="3" width="7.140625" style="3" customWidth="1"/>
    <col min="4" max="4" width="36.28125" style="3" customWidth="1"/>
    <col min="5" max="5" width="6.57421875" style="3" customWidth="1"/>
    <col min="6" max="8" width="8.421875" style="3" customWidth="1"/>
    <col min="9" max="11" width="8.57421875" style="3" customWidth="1"/>
    <col min="12" max="16384" width="9.140625" style="3" customWidth="1"/>
  </cols>
  <sheetData>
    <row r="1" spans="1:11" ht="15">
      <c r="A1" s="1" t="s">
        <v>6</v>
      </c>
      <c r="B1" s="2"/>
      <c r="C1"/>
      <c r="D1" s="25" t="s">
        <v>7</v>
      </c>
      <c r="E1" s="25"/>
      <c r="F1" s="26"/>
      <c r="G1" s="27"/>
      <c r="H1" s="26"/>
      <c r="I1" s="26"/>
      <c r="J1"/>
      <c r="K1"/>
    </row>
    <row r="2" spans="1:11" ht="15" customHeight="1">
      <c r="A2" s="17" t="s">
        <v>8</v>
      </c>
      <c r="B2" s="18">
        <v>45</v>
      </c>
      <c r="C2" s="4"/>
      <c r="D2" s="17"/>
      <c r="E2" s="17"/>
      <c r="F2" s="28" t="s">
        <v>25</v>
      </c>
      <c r="G2" s="28" t="s">
        <v>26</v>
      </c>
      <c r="H2" s="28" t="s">
        <v>27</v>
      </c>
      <c r="I2" s="28" t="s">
        <v>9</v>
      </c>
      <c r="J2"/>
      <c r="K2"/>
    </row>
    <row r="3" spans="1:11" ht="15" customHeight="1">
      <c r="A3" s="17" t="s">
        <v>10</v>
      </c>
      <c r="B3" s="18">
        <v>2001</v>
      </c>
      <c r="C3" s="4"/>
      <c r="D3" s="17" t="s">
        <v>11</v>
      </c>
      <c r="E3" s="17"/>
      <c r="F3" s="19">
        <v>0.07</v>
      </c>
      <c r="G3" s="19">
        <v>0.05</v>
      </c>
      <c r="H3" s="19">
        <v>0.0475</v>
      </c>
      <c r="I3" s="19">
        <v>0.05</v>
      </c>
      <c r="J3"/>
      <c r="K3"/>
    </row>
    <row r="4" spans="1:11" ht="15" customHeight="1">
      <c r="A4" s="17" t="s">
        <v>12</v>
      </c>
      <c r="B4" s="18">
        <v>2000</v>
      </c>
      <c r="C4" s="4"/>
      <c r="D4" s="17" t="s">
        <v>13</v>
      </c>
      <c r="E4" s="17"/>
      <c r="F4" s="18">
        <v>10</v>
      </c>
      <c r="G4" s="18">
        <v>10</v>
      </c>
      <c r="H4" s="18">
        <v>15</v>
      </c>
      <c r="I4" s="18">
        <v>1</v>
      </c>
      <c r="J4"/>
      <c r="K4"/>
    </row>
    <row r="5" spans="1:11" ht="15" customHeight="1">
      <c r="A5" s="17" t="s">
        <v>14</v>
      </c>
      <c r="B5" s="18">
        <v>2000</v>
      </c>
      <c r="C5" s="4"/>
      <c r="D5" s="17" t="s">
        <v>28</v>
      </c>
      <c r="E5" s="17"/>
      <c r="F5" s="20">
        <v>0</v>
      </c>
      <c r="G5" s="20">
        <v>0</v>
      </c>
      <c r="H5" s="20">
        <v>1</v>
      </c>
      <c r="I5" s="29"/>
      <c r="J5"/>
      <c r="K5"/>
    </row>
    <row r="6" spans="1:11" ht="15" customHeight="1">
      <c r="A6" s="17" t="s">
        <v>15</v>
      </c>
      <c r="B6" s="19">
        <v>0.0475</v>
      </c>
      <c r="C6" s="4"/>
      <c r="D6" s="5"/>
      <c r="E6" s="5"/>
      <c r="F6" s="5"/>
      <c r="G6" s="5"/>
      <c r="H6" s="5"/>
      <c r="I6" s="5"/>
      <c r="J6"/>
      <c r="K6"/>
    </row>
    <row r="7" spans="1:11" ht="15" customHeight="1">
      <c r="A7" s="17" t="s">
        <v>16</v>
      </c>
      <c r="B7" s="20">
        <v>0</v>
      </c>
      <c r="C7" s="4"/>
      <c r="D7" s="6" t="s">
        <v>17</v>
      </c>
      <c r="E7" s="6"/>
      <c r="F7" s="16" t="b">
        <v>1</v>
      </c>
      <c r="G7" s="5"/>
      <c r="H7" s="5"/>
      <c r="I7"/>
      <c r="K7"/>
    </row>
    <row r="8" spans="1:11" ht="15" customHeight="1">
      <c r="A8" s="17" t="s">
        <v>18</v>
      </c>
      <c r="B8" s="20">
        <v>0</v>
      </c>
      <c r="C8" s="4"/>
      <c r="D8" s="30" t="s">
        <v>162</v>
      </c>
      <c r="E8" s="31" t="b">
        <v>0</v>
      </c>
      <c r="F8" s="16"/>
      <c r="G8" s="5"/>
      <c r="H8" s="5"/>
      <c r="I8"/>
      <c r="J8"/>
      <c r="K8"/>
    </row>
    <row r="9" spans="1:11" ht="15" customHeight="1">
      <c r="A9" s="17" t="s">
        <v>29</v>
      </c>
      <c r="B9" s="21">
        <v>1</v>
      </c>
      <c r="C9" s="4"/>
      <c r="D9" s="92" t="s">
        <v>244</v>
      </c>
      <c r="E9" s="31" t="b">
        <v>1</v>
      </c>
      <c r="F9"/>
      <c r="G9" s="5"/>
      <c r="H9" s="5"/>
      <c r="I9"/>
      <c r="J9"/>
      <c r="K9"/>
    </row>
    <row r="10" spans="1:10" ht="15" customHeight="1">
      <c r="A10" s="17" t="s">
        <v>30</v>
      </c>
      <c r="B10" s="21">
        <v>0</v>
      </c>
      <c r="C10" s="4"/>
      <c r="D10" s="30" t="s">
        <v>197</v>
      </c>
      <c r="E10" s="32" t="b">
        <v>1</v>
      </c>
      <c r="F10" s="8"/>
      <c r="G10" s="9"/>
      <c r="H10" s="5"/>
      <c r="I10"/>
      <c r="J10"/>
    </row>
    <row r="11" spans="1:11" s="10" customFormat="1" ht="15" customHeight="1">
      <c r="A11" s="87" t="s">
        <v>31</v>
      </c>
      <c r="B11" s="21">
        <v>0</v>
      </c>
      <c r="C11" s="4"/>
      <c r="D11" s="30" t="s">
        <v>198</v>
      </c>
      <c r="E11" s="32" t="b">
        <v>1</v>
      </c>
      <c r="F11" s="5"/>
      <c r="G11" s="5"/>
      <c r="H11" s="5"/>
      <c r="I11"/>
      <c r="J11"/>
      <c r="K11" s="3"/>
    </row>
    <row r="12" spans="1:10" ht="15" customHeight="1">
      <c r="A12" s="17" t="s">
        <v>32</v>
      </c>
      <c r="B12" s="18">
        <v>45</v>
      </c>
      <c r="C12" s="4"/>
      <c r="D12" s="30" t="s">
        <v>199</v>
      </c>
      <c r="E12" s="32" t="b">
        <v>1</v>
      </c>
      <c r="F12" s="4"/>
      <c r="G12" s="5"/>
      <c r="H12" s="5"/>
      <c r="I12"/>
      <c r="J12" s="11"/>
    </row>
    <row r="13" spans="1:9" ht="15" customHeight="1">
      <c r="A13" s="34" t="s">
        <v>34</v>
      </c>
      <c r="B13" s="20">
        <v>0.025</v>
      </c>
      <c r="C13" s="4"/>
      <c r="D13" s="17" t="s">
        <v>245</v>
      </c>
      <c r="E13" s="33" t="b">
        <v>0</v>
      </c>
      <c r="F13" s="4"/>
      <c r="G13" s="5"/>
      <c r="H13" s="5"/>
      <c r="I13"/>
    </row>
    <row r="14" spans="1:9" ht="15" customHeight="1">
      <c r="A14" s="34" t="s">
        <v>33</v>
      </c>
      <c r="B14" s="22">
        <v>3</v>
      </c>
      <c r="C14" s="4"/>
      <c r="D14" s="17" t="s">
        <v>499</v>
      </c>
      <c r="E14" s="33" t="b">
        <v>0</v>
      </c>
      <c r="F14" s="5"/>
      <c r="G14" s="5"/>
      <c r="H14" s="5"/>
      <c r="I14"/>
    </row>
    <row r="15" spans="1:9" ht="14.25">
      <c r="A15" s="34" t="s">
        <v>35</v>
      </c>
      <c r="B15" s="20">
        <v>0.05</v>
      </c>
      <c r="C15" s="4"/>
      <c r="D15" s="17" t="s">
        <v>246</v>
      </c>
      <c r="E15" s="33" t="b">
        <v>0</v>
      </c>
      <c r="F15" s="5"/>
      <c r="G15" s="13"/>
      <c r="H15" s="5"/>
      <c r="I15"/>
    </row>
    <row r="16" spans="1:9" ht="14.25">
      <c r="A16" s="34" t="s">
        <v>36</v>
      </c>
      <c r="B16" s="22">
        <v>20</v>
      </c>
      <c r="C16" s="4"/>
      <c r="D16" s="17" t="s">
        <v>420</v>
      </c>
      <c r="E16" s="33" t="b">
        <v>0</v>
      </c>
      <c r="F16" s="4"/>
      <c r="G16" s="5"/>
      <c r="H16" s="5"/>
      <c r="I16" s="5"/>
    </row>
    <row r="17" spans="1:9" ht="14.25">
      <c r="A17" s="17" t="s">
        <v>19</v>
      </c>
      <c r="B17" s="23">
        <v>0</v>
      </c>
      <c r="C17" s="4"/>
      <c r="D17" s="17" t="s">
        <v>558</v>
      </c>
      <c r="E17" s="33" t="b">
        <v>0</v>
      </c>
      <c r="F17" s="4"/>
      <c r="G17" s="5"/>
      <c r="H17"/>
      <c r="I17" s="5"/>
    </row>
    <row r="18" spans="1:9" ht="14.25">
      <c r="A18" s="17" t="s">
        <v>20</v>
      </c>
      <c r="B18" s="24">
        <v>0.1</v>
      </c>
      <c r="C18" s="4"/>
      <c r="D18" s="5"/>
      <c r="E18" s="5"/>
      <c r="F18" s="4"/>
      <c r="G18" s="5"/>
      <c r="H18" s="5"/>
      <c r="I18" s="5"/>
    </row>
    <row r="19" spans="1:9" ht="15" customHeight="1">
      <c r="A19" s="17" t="s">
        <v>21</v>
      </c>
      <c r="B19" s="24">
        <v>0.2</v>
      </c>
      <c r="C19"/>
      <c r="D19"/>
      <c r="E19"/>
      <c r="F19" s="5"/>
      <c r="G19" s="5"/>
      <c r="H19" s="5"/>
      <c r="I19" s="5"/>
    </row>
    <row r="20" spans="1:9" ht="15" customHeight="1">
      <c r="A20" s="17" t="s">
        <v>22</v>
      </c>
      <c r="B20" s="35">
        <v>0.25</v>
      </c>
      <c r="C20"/>
      <c r="D20"/>
      <c r="E20"/>
      <c r="F20" s="5"/>
      <c r="G20" s="5"/>
      <c r="H20" s="5"/>
      <c r="I20" s="5"/>
    </row>
    <row r="21" spans="1:9" ht="37.5" customHeight="1">
      <c r="A21" s="17" t="s">
        <v>23</v>
      </c>
      <c r="B21" s="728" t="s">
        <v>601</v>
      </c>
      <c r="C21" s="729"/>
      <c r="D21" s="730"/>
      <c r="E21" s="12"/>
      <c r="F21" s="5"/>
      <c r="G21" s="5"/>
      <c r="H21" s="14"/>
      <c r="I21" s="5"/>
    </row>
    <row r="22" spans="1:9" ht="14.25">
      <c r="A22" s="34" t="s">
        <v>5</v>
      </c>
      <c r="B22" s="7" t="s">
        <v>498</v>
      </c>
      <c r="C22" s="4"/>
      <c r="D22" s="4"/>
      <c r="E22" s="4"/>
      <c r="F22" s="5"/>
      <c r="G22" s="5"/>
      <c r="H22" s="5"/>
      <c r="I22" s="5"/>
    </row>
    <row r="23" spans="1:9" ht="14.25">
      <c r="A23" s="17" t="s">
        <v>24</v>
      </c>
      <c r="B23" s="7" t="s">
        <v>163</v>
      </c>
      <c r="C23" s="5"/>
      <c r="D23" s="5"/>
      <c r="E23" s="5"/>
      <c r="F23" s="5"/>
      <c r="G23" s="5"/>
      <c r="H23" s="5"/>
      <c r="I23" s="5"/>
    </row>
    <row r="24" spans="1:2" ht="14.25">
      <c r="A24"/>
      <c r="B24"/>
    </row>
    <row r="25" spans="1:2" ht="14.25">
      <c r="A25"/>
      <c r="B25"/>
    </row>
    <row r="26" spans="1:2" ht="14.25">
      <c r="A26"/>
      <c r="B26"/>
    </row>
    <row r="27" ht="14.25">
      <c r="A27" s="15"/>
    </row>
    <row r="28" ht="14.25">
      <c r="A28" s="5"/>
    </row>
    <row r="32" ht="14.25"/>
    <row r="34" ht="14.25"/>
    <row r="35" ht="14.25"/>
    <row r="36" ht="14.25"/>
    <row r="37" ht="14.25"/>
    <row r="38" ht="14.25"/>
    <row r="39" ht="14.25"/>
    <row r="40" ht="14.25"/>
    <row r="41" ht="14.25"/>
    <row r="42" ht="14.25"/>
  </sheetData>
  <mergeCells count="1">
    <mergeCell ref="B21:D21"/>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41"/>
  <dimension ref="A1:AO529"/>
  <sheetViews>
    <sheetView workbookViewId="0" topLeftCell="B13">
      <selection activeCell="K41" sqref="K41"/>
    </sheetView>
  </sheetViews>
  <sheetFormatPr defaultColWidth="9.140625" defaultRowHeight="12.75"/>
  <cols>
    <col min="1" max="1" width="128.00390625" style="37" customWidth="1"/>
    <col min="2" max="2" width="51.421875" style="37" customWidth="1"/>
    <col min="3" max="3" width="8.8515625" style="37" customWidth="1"/>
    <col min="4" max="4" width="8.57421875" style="37" customWidth="1"/>
    <col min="5" max="5" width="8.421875" style="37" customWidth="1"/>
    <col min="6" max="6" width="9.00390625" style="37" customWidth="1"/>
    <col min="7" max="7" width="10.28125" style="37" customWidth="1"/>
    <col min="8" max="8" width="12.2812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16384" width="8.8515625" style="37" customWidth="1"/>
  </cols>
  <sheetData>
    <row r="1" ht="14.25">
      <c r="A1" s="36" t="s">
        <v>132</v>
      </c>
    </row>
    <row r="2" ht="12.75">
      <c r="A2" s="37" t="s">
        <v>168</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671" t="str">
        <f>B6</f>
        <v>Single Family Weatherization - Zone 1</v>
      </c>
      <c r="B6" s="672" t="s">
        <v>553</v>
      </c>
      <c r="C6" s="562">
        <f>IF('Cost-Effectiveness Level'!$AI$16=1,'Cost-Effectiveness Level'!U21,'Cost-Effectiveness Level'!U35)</f>
        <v>2720.5716576608024</v>
      </c>
      <c r="D6" s="673">
        <v>45</v>
      </c>
      <c r="E6" s="674">
        <f>IF('Cost-Effectiveness Level'!AI$16=1,'Cost-Effectiveness Level'!V21,'Cost-Effectiveness Level'!V35)</f>
        <v>1230.0254590235586</v>
      </c>
      <c r="F6" s="675">
        <v>0</v>
      </c>
      <c r="G6" s="256" t="s">
        <v>169</v>
      </c>
      <c r="H6"/>
      <c r="I6"/>
      <c r="J6"/>
      <c r="K6"/>
      <c r="L6"/>
      <c r="M6"/>
      <c r="N6"/>
      <c r="O6"/>
      <c r="P6"/>
      <c r="Q6"/>
      <c r="R6"/>
      <c r="S6"/>
      <c r="T6"/>
      <c r="U6"/>
      <c r="V6"/>
      <c r="W6"/>
    </row>
    <row r="7" spans="1:23" ht="12.75">
      <c r="A7" s="671" t="str">
        <f>B7</f>
        <v>Single Family Weatherization - Zone 2</v>
      </c>
      <c r="B7" s="672" t="s">
        <v>554</v>
      </c>
      <c r="C7" s="562">
        <f>IF('Cost-Effectiveness Level'!$AI$16=1,'Cost-Effectiveness Level'!U22,'Cost-Effectiveness Level'!U36)</f>
        <v>3472.853507631033</v>
      </c>
      <c r="D7" s="673">
        <v>45</v>
      </c>
      <c r="E7" s="674">
        <f>IF('Cost-Effectiveness Level'!AI$16=1,'Cost-Effectiveness Level'!V22,'Cost-Effectiveness Level'!V36)</f>
        <v>1230.0254590235586</v>
      </c>
      <c r="F7" s="675">
        <v>0</v>
      </c>
      <c r="G7" s="256" t="s">
        <v>169</v>
      </c>
      <c r="H7"/>
      <c r="I7"/>
      <c r="J7"/>
      <c r="K7"/>
      <c r="L7"/>
      <c r="M7"/>
      <c r="N7"/>
      <c r="O7"/>
      <c r="P7"/>
      <c r="Q7"/>
      <c r="R7"/>
      <c r="S7"/>
      <c r="T7"/>
      <c r="U7"/>
      <c r="V7"/>
      <c r="W7"/>
    </row>
    <row r="8" spans="1:23" ht="12.75">
      <c r="A8" s="671" t="str">
        <f>B8</f>
        <v>Single Family Weatherization - Zone 3</v>
      </c>
      <c r="B8" s="672" t="s">
        <v>555</v>
      </c>
      <c r="C8" s="562">
        <f>IF('Cost-Effectiveness Level'!$AI$16=1,'Cost-Effectiveness Level'!U23,'Cost-Effectiveness Level'!U37)</f>
        <v>3922.0424703627264</v>
      </c>
      <c r="D8" s="673">
        <v>45</v>
      </c>
      <c r="E8" s="674">
        <f>IF('Cost-Effectiveness Level'!AI$16=1,'Cost-Effectiveness Level'!V23,'Cost-Effectiveness Level'!V37)</f>
        <v>1230.0254590235586</v>
      </c>
      <c r="F8" s="675">
        <v>0</v>
      </c>
      <c r="G8" s="256" t="s">
        <v>169</v>
      </c>
      <c r="H8"/>
      <c r="I8"/>
      <c r="J8"/>
      <c r="K8"/>
      <c r="L8"/>
      <c r="M8"/>
      <c r="N8"/>
      <c r="O8"/>
      <c r="P8"/>
      <c r="Q8"/>
      <c r="R8"/>
      <c r="S8"/>
      <c r="T8"/>
      <c r="U8"/>
      <c r="V8"/>
      <c r="W8"/>
    </row>
    <row r="9" spans="1:23" ht="12.75">
      <c r="A9" s="671" t="str">
        <f>B9</f>
        <v>Single Family Weatherization - PNW Average Climate</v>
      </c>
      <c r="B9" s="672" t="s">
        <v>556</v>
      </c>
      <c r="C9" s="562">
        <f>IF('Cost-Effectiveness Level'!$AI$16=1,'Cost-Effectiveness Level'!U24,'Cost-Effectiveness Level'!U38)</f>
        <v>2935.176224632179</v>
      </c>
      <c r="D9" s="673">
        <v>45</v>
      </c>
      <c r="E9" s="674">
        <f>IF('Cost-Effectiveness Level'!AI$16=1,'Cost-Effectiveness Level'!V24,'Cost-Effectiveness Level'!V38)</f>
        <v>1230.0254590235586</v>
      </c>
      <c r="F9" s="675">
        <v>0</v>
      </c>
      <c r="G9" s="256" t="s">
        <v>169</v>
      </c>
      <c r="H9"/>
      <c r="I9"/>
      <c r="J9"/>
      <c r="K9"/>
      <c r="L9"/>
      <c r="M9"/>
      <c r="N9"/>
      <c r="O9"/>
      <c r="P9"/>
      <c r="Q9"/>
      <c r="R9"/>
      <c r="S9"/>
      <c r="T9"/>
      <c r="U9"/>
      <c r="V9"/>
      <c r="W9"/>
    </row>
    <row r="10" spans="1:41" ht="12.75" customHeight="1">
      <c r="A10"/>
      <c r="B10"/>
      <c r="C10"/>
      <c r="D10"/>
      <c r="E10"/>
      <c r="F10"/>
      <c r="G10"/>
      <c r="H10"/>
      <c r="I10"/>
      <c r="J10"/>
      <c r="K10"/>
      <c r="L10"/>
      <c r="M10"/>
      <c r="N10"/>
      <c r="O10"/>
      <c r="P10"/>
      <c r="Q10"/>
      <c r="R10"/>
      <c r="S10"/>
      <c r="T10"/>
      <c r="U10"/>
      <c r="V10"/>
      <c r="W10"/>
      <c r="Z10"/>
      <c r="AA10"/>
      <c r="AB10"/>
      <c r="AC10"/>
      <c r="AD10"/>
      <c r="AE10"/>
      <c r="AF10"/>
      <c r="AG10"/>
      <c r="AH10"/>
      <c r="AI10"/>
      <c r="AJ10"/>
      <c r="AK10"/>
      <c r="AL10"/>
      <c r="AM10"/>
      <c r="AN10"/>
      <c r="AO10"/>
    </row>
    <row r="11" spans="1:41" ht="12.75" customHeight="1" thickBot="1">
      <c r="A11"/>
      <c r="B11"/>
      <c r="C11"/>
      <c r="D11"/>
      <c r="E11"/>
      <c r="F11"/>
      <c r="G11"/>
      <c r="H11"/>
      <c r="I11"/>
      <c r="J11"/>
      <c r="K11"/>
      <c r="L11"/>
      <c r="M11"/>
      <c r="N11"/>
      <c r="O11"/>
      <c r="P11"/>
      <c r="Q11"/>
      <c r="R11"/>
      <c r="S11"/>
      <c r="T11"/>
      <c r="U11"/>
      <c r="V11"/>
      <c r="W11"/>
      <c r="Z11"/>
      <c r="AA11"/>
      <c r="AB11"/>
      <c r="AC11"/>
      <c r="AD11"/>
      <c r="AE11"/>
      <c r="AF11"/>
      <c r="AG11"/>
      <c r="AH11"/>
      <c r="AI11"/>
      <c r="AJ11"/>
      <c r="AK11"/>
      <c r="AL11"/>
      <c r="AM11"/>
      <c r="AN11"/>
      <c r="AO11"/>
    </row>
    <row r="12" spans="1:41" ht="12.75" customHeight="1" thickBot="1">
      <c r="A12" s="86" t="s">
        <v>599</v>
      </c>
      <c r="B12" s="50"/>
      <c r="C12" s="50"/>
      <c r="D12" s="51"/>
      <c r="E12"/>
      <c r="F12"/>
      <c r="G12"/>
      <c r="H12"/>
      <c r="I12"/>
      <c r="J12"/>
      <c r="K12"/>
      <c r="L12"/>
      <c r="M12"/>
      <c r="N12"/>
      <c r="O12"/>
      <c r="P12"/>
      <c r="Q12"/>
      <c r="R12"/>
      <c r="S12"/>
      <c r="T12"/>
      <c r="U12"/>
      <c r="V12"/>
      <c r="W12"/>
      <c r="Z12"/>
      <c r="AA12"/>
      <c r="AB12"/>
      <c r="AC12"/>
      <c r="AD12"/>
      <c r="AE12"/>
      <c r="AF12"/>
      <c r="AG12"/>
      <c r="AH12"/>
      <c r="AI12"/>
      <c r="AJ12"/>
      <c r="AK12"/>
      <c r="AL12"/>
      <c r="AM12"/>
      <c r="AN12"/>
      <c r="AO12"/>
    </row>
    <row r="13" spans="1:41" ht="12.75" customHeight="1" thickBot="1">
      <c r="A13" s="52" t="s">
        <v>136</v>
      </c>
      <c r="B13" s="53"/>
      <c r="C13" s="54" t="s">
        <v>83</v>
      </c>
      <c r="D13" s="56"/>
      <c r="E13" s="56"/>
      <c r="F13" s="56"/>
      <c r="G13" s="56"/>
      <c r="H13" s="56"/>
      <c r="I13" s="56"/>
      <c r="J13" s="55"/>
      <c r="K13" s="54" t="s">
        <v>50</v>
      </c>
      <c r="L13" s="56"/>
      <c r="M13" s="55"/>
      <c r="N13" s="54" t="s">
        <v>51</v>
      </c>
      <c r="O13" s="56"/>
      <c r="P13" s="56"/>
      <c r="Q13" s="55"/>
      <c r="R13" s="54" t="s">
        <v>52</v>
      </c>
      <c r="S13" s="55"/>
      <c r="T13" s="54" t="s">
        <v>53</v>
      </c>
      <c r="U13" s="56"/>
      <c r="V13" s="56"/>
      <c r="W13" s="56"/>
      <c r="X13" s="55"/>
      <c r="Y13" s="54" t="s">
        <v>54</v>
      </c>
      <c r="Z13" s="56"/>
      <c r="AA13" s="56"/>
      <c r="AB13" s="56"/>
      <c r="AC13" s="55"/>
      <c r="AD13" s="54" t="s">
        <v>84</v>
      </c>
      <c r="AE13" s="56"/>
      <c r="AF13" s="56"/>
      <c r="AG13" s="56"/>
      <c r="AH13" s="56"/>
      <c r="AI13" s="55"/>
      <c r="AJ13" s="54" t="s">
        <v>85</v>
      </c>
      <c r="AK13" s="56"/>
      <c r="AL13" s="56"/>
      <c r="AM13" s="56"/>
      <c r="AN13" s="56"/>
      <c r="AO13" s="55"/>
    </row>
    <row r="14" spans="1:41" ht="51">
      <c r="A14" s="57" t="s">
        <v>56</v>
      </c>
      <c r="B14" s="58" t="s">
        <v>57</v>
      </c>
      <c r="C14" s="59" t="s">
        <v>86</v>
      </c>
      <c r="D14" s="59" t="s">
        <v>87</v>
      </c>
      <c r="E14" s="59" t="s">
        <v>88</v>
      </c>
      <c r="F14" s="59" t="s">
        <v>89</v>
      </c>
      <c r="G14" s="59" t="s">
        <v>155</v>
      </c>
      <c r="H14" s="59" t="s">
        <v>91</v>
      </c>
      <c r="I14" s="59" t="s">
        <v>92</v>
      </c>
      <c r="J14" s="59" t="s">
        <v>93</v>
      </c>
      <c r="K14" s="59" t="s">
        <v>94</v>
      </c>
      <c r="L14" s="59" t="s">
        <v>95</v>
      </c>
      <c r="M14" s="59" t="s">
        <v>96</v>
      </c>
      <c r="N14" s="59" t="s">
        <v>25</v>
      </c>
      <c r="O14" s="59" t="s">
        <v>26</v>
      </c>
      <c r="P14" s="59" t="s">
        <v>27</v>
      </c>
      <c r="Q14" s="59" t="s">
        <v>9</v>
      </c>
      <c r="R14" s="59" t="s">
        <v>58</v>
      </c>
      <c r="S14" s="59" t="s">
        <v>9</v>
      </c>
      <c r="T14" s="59" t="s">
        <v>25</v>
      </c>
      <c r="U14" s="59" t="s">
        <v>26</v>
      </c>
      <c r="V14" s="59" t="s">
        <v>27</v>
      </c>
      <c r="W14" s="59" t="s">
        <v>9</v>
      </c>
      <c r="X14" s="59" t="s">
        <v>62</v>
      </c>
      <c r="Y14" s="59" t="s">
        <v>25</v>
      </c>
      <c r="Z14" s="59" t="s">
        <v>26</v>
      </c>
      <c r="AA14" s="59" t="s">
        <v>27</v>
      </c>
      <c r="AB14" s="59" t="s">
        <v>9</v>
      </c>
      <c r="AC14" s="59" t="s">
        <v>62</v>
      </c>
      <c r="AD14" s="59" t="s">
        <v>97</v>
      </c>
      <c r="AE14" s="59" t="s">
        <v>98</v>
      </c>
      <c r="AF14" s="59" t="s">
        <v>61</v>
      </c>
      <c r="AG14" s="59" t="s">
        <v>99</v>
      </c>
      <c r="AH14" s="59" t="s">
        <v>100</v>
      </c>
      <c r="AI14" s="59" t="s">
        <v>101</v>
      </c>
      <c r="AJ14" s="59" t="s">
        <v>102</v>
      </c>
      <c r="AK14" s="59" t="s">
        <v>59</v>
      </c>
      <c r="AL14" s="59" t="s">
        <v>60</v>
      </c>
      <c r="AM14" s="59" t="s">
        <v>103</v>
      </c>
      <c r="AN14" s="59" t="s">
        <v>104</v>
      </c>
      <c r="AO14" s="59" t="s">
        <v>105</v>
      </c>
    </row>
    <row r="15" spans="1:41" ht="12.75" customHeight="1">
      <c r="A15" t="s">
        <v>553</v>
      </c>
      <c r="B15" t="s">
        <v>553</v>
      </c>
      <c r="C15" s="49">
        <v>45</v>
      </c>
      <c r="D15" s="49">
        <v>2720.5716576608024</v>
      </c>
      <c r="E15" s="49">
        <v>1230.03</v>
      </c>
      <c r="F15" s="49">
        <v>0</v>
      </c>
      <c r="G15" s="49">
        <v>0</v>
      </c>
      <c r="H15" s="49" t="s">
        <v>169</v>
      </c>
      <c r="I15" s="49">
        <v>0.21</v>
      </c>
      <c r="J15" s="49">
        <v>0.4009999930858612</v>
      </c>
      <c r="K15" s="49">
        <v>2928.0152465574383</v>
      </c>
      <c r="L15" s="60">
        <v>0.6382551063409594</v>
      </c>
      <c r="M15" s="49">
        <v>1.5916586467479008</v>
      </c>
      <c r="N15" s="49"/>
      <c r="O15" s="49"/>
      <c r="P15" s="49">
        <v>1230.0257624650608</v>
      </c>
      <c r="Q15" s="49">
        <v>0</v>
      </c>
      <c r="R15" s="49">
        <v>0</v>
      </c>
      <c r="S15" s="49">
        <v>0</v>
      </c>
      <c r="T15" s="49">
        <v>0</v>
      </c>
      <c r="U15" s="49">
        <v>0</v>
      </c>
      <c r="V15" s="49">
        <v>1230.0257624650608</v>
      </c>
      <c r="W15" s="49">
        <v>0</v>
      </c>
      <c r="X15" s="49">
        <v>1230.0257624650608</v>
      </c>
      <c r="Y15" s="49">
        <v>0</v>
      </c>
      <c r="Z15" s="49">
        <v>0</v>
      </c>
      <c r="AA15" s="49">
        <v>22.776155471801758</v>
      </c>
      <c r="AB15" s="49">
        <v>0</v>
      </c>
      <c r="AC15" s="49">
        <v>22.77615518355463</v>
      </c>
      <c r="AD15" s="49">
        <v>1232.488843176742</v>
      </c>
      <c r="AE15" s="49">
        <v>35.31636653170739</v>
      </c>
      <c r="AF15" s="49">
        <v>182.6717529296875</v>
      </c>
      <c r="AG15" s="49">
        <v>1448.8755040294957</v>
      </c>
      <c r="AH15" s="49">
        <v>1230.0257624650608</v>
      </c>
      <c r="AI15" s="48">
        <v>1.1779228925464489</v>
      </c>
      <c r="AJ15" s="49">
        <v>587.1381225585938</v>
      </c>
      <c r="AK15" s="49">
        <v>0</v>
      </c>
      <c r="AL15" s="49">
        <v>0</v>
      </c>
      <c r="AM15" s="49">
        <v>2036.013671875</v>
      </c>
      <c r="AN15" s="49">
        <v>1230.0257624650608</v>
      </c>
      <c r="AO15" s="48">
        <v>1.6552610397338867</v>
      </c>
    </row>
    <row r="16" spans="1:41" ht="12.75" customHeight="1">
      <c r="A16" t="s">
        <v>554</v>
      </c>
      <c r="B16" t="s">
        <v>554</v>
      </c>
      <c r="C16" s="49">
        <v>45</v>
      </c>
      <c r="D16" s="49">
        <v>3472.853507631033</v>
      </c>
      <c r="E16" s="49">
        <v>1230.03</v>
      </c>
      <c r="F16" s="49">
        <v>0</v>
      </c>
      <c r="G16" s="49">
        <v>0</v>
      </c>
      <c r="H16" s="49" t="s">
        <v>169</v>
      </c>
      <c r="I16" s="49">
        <v>0.21</v>
      </c>
      <c r="J16" s="49">
        <v>0.4009999930858612</v>
      </c>
      <c r="K16" s="49">
        <v>3737.658587587899</v>
      </c>
      <c r="L16" s="60">
        <v>0.8147429157317121</v>
      </c>
      <c r="M16" s="49">
        <v>2.031777879749891</v>
      </c>
      <c r="N16" s="49"/>
      <c r="O16" s="49"/>
      <c r="P16" s="49">
        <v>1230.0257624650608</v>
      </c>
      <c r="Q16" s="49">
        <v>0</v>
      </c>
      <c r="R16" s="49">
        <v>0</v>
      </c>
      <c r="S16" s="49">
        <v>0</v>
      </c>
      <c r="T16" s="49">
        <v>0</v>
      </c>
      <c r="U16" s="49">
        <v>0</v>
      </c>
      <c r="V16" s="49">
        <v>1230.0257624650608</v>
      </c>
      <c r="W16" s="49">
        <v>0</v>
      </c>
      <c r="X16" s="49">
        <v>1230.0257624650608</v>
      </c>
      <c r="Y16" s="49">
        <v>0</v>
      </c>
      <c r="Z16" s="49">
        <v>0</v>
      </c>
      <c r="AA16" s="49">
        <v>17.84243392944336</v>
      </c>
      <c r="AB16" s="49">
        <v>0</v>
      </c>
      <c r="AC16" s="49">
        <v>17.842434795106296</v>
      </c>
      <c r="AD16" s="49">
        <v>1573.2918447818786</v>
      </c>
      <c r="AE16" s="49">
        <v>45.08191028200256</v>
      </c>
      <c r="AF16" s="49">
        <v>233.18344116210938</v>
      </c>
      <c r="AG16" s="49">
        <v>1849.5129085371568</v>
      </c>
      <c r="AH16" s="49">
        <v>1230.0257624650608</v>
      </c>
      <c r="AI16" s="48">
        <v>1.5036375375021405</v>
      </c>
      <c r="AJ16" s="49">
        <v>749.491455078125</v>
      </c>
      <c r="AK16" s="49">
        <v>0</v>
      </c>
      <c r="AL16" s="49">
        <v>0</v>
      </c>
      <c r="AM16" s="49">
        <v>2599.00439453125</v>
      </c>
      <c r="AN16" s="49">
        <v>1230.0257624650608</v>
      </c>
      <c r="AO16" s="48">
        <v>2.1129674911499023</v>
      </c>
    </row>
    <row r="17" spans="1:41" ht="12.75" customHeight="1">
      <c r="A17" t="s">
        <v>555</v>
      </c>
      <c r="B17" t="s">
        <v>555</v>
      </c>
      <c r="C17" s="49">
        <v>45</v>
      </c>
      <c r="D17" s="49">
        <v>3922.0424703627264</v>
      </c>
      <c r="E17" s="49">
        <v>1230.03</v>
      </c>
      <c r="F17" s="49">
        <v>0</v>
      </c>
      <c r="G17" s="49">
        <v>0</v>
      </c>
      <c r="H17" s="49" t="s">
        <v>169</v>
      </c>
      <c r="I17" s="49">
        <v>0.21</v>
      </c>
      <c r="J17" s="49">
        <v>0.4009999930858612</v>
      </c>
      <c r="K17" s="49">
        <v>4221.098208727884</v>
      </c>
      <c r="L17" s="60">
        <v>0.9201241316126455</v>
      </c>
      <c r="M17" s="49">
        <v>2.2945739338594717</v>
      </c>
      <c r="N17" s="49"/>
      <c r="O17" s="49"/>
      <c r="P17" s="49">
        <v>1230.0257624650608</v>
      </c>
      <c r="Q17" s="49">
        <v>0</v>
      </c>
      <c r="R17" s="49">
        <v>0</v>
      </c>
      <c r="S17" s="49">
        <v>0</v>
      </c>
      <c r="T17" s="49">
        <v>0</v>
      </c>
      <c r="U17" s="49">
        <v>0</v>
      </c>
      <c r="V17" s="49">
        <v>1230.0257624650608</v>
      </c>
      <c r="W17" s="49">
        <v>0</v>
      </c>
      <c r="X17" s="49">
        <v>1230.0257624650608</v>
      </c>
      <c r="Y17" s="49">
        <v>0</v>
      </c>
      <c r="Z17" s="49">
        <v>0</v>
      </c>
      <c r="AA17" s="49">
        <v>15.798952102661133</v>
      </c>
      <c r="AB17" s="49">
        <v>0</v>
      </c>
      <c r="AC17" s="49">
        <v>15.798952390521205</v>
      </c>
      <c r="AD17" s="49">
        <v>1776.7859830399243</v>
      </c>
      <c r="AE17" s="49">
        <v>50.91293553919789</v>
      </c>
      <c r="AF17" s="49">
        <v>263.34405517578125</v>
      </c>
      <c r="AG17" s="49">
        <v>2088.734271956907</v>
      </c>
      <c r="AH17" s="49">
        <v>1230.0257624650608</v>
      </c>
      <c r="AI17" s="48">
        <v>1.6981223773483671</v>
      </c>
      <c r="AJ17" s="49">
        <v>846.432861328125</v>
      </c>
      <c r="AK17" s="49">
        <v>0</v>
      </c>
      <c r="AL17" s="49">
        <v>0</v>
      </c>
      <c r="AM17" s="49">
        <v>2935.167236328125</v>
      </c>
      <c r="AN17" s="49">
        <v>1230.0257624650608</v>
      </c>
      <c r="AO17" s="48">
        <v>2.3862648010253906</v>
      </c>
    </row>
    <row r="18" spans="1:41" ht="12.75" customHeight="1">
      <c r="A18" t="s">
        <v>556</v>
      </c>
      <c r="B18" t="s">
        <v>556</v>
      </c>
      <c r="C18" s="49">
        <v>45</v>
      </c>
      <c r="D18" s="49">
        <v>2935.176224632179</v>
      </c>
      <c r="E18" s="49">
        <v>1230.03</v>
      </c>
      <c r="F18" s="49">
        <v>0</v>
      </c>
      <c r="G18" s="49">
        <v>0</v>
      </c>
      <c r="H18" s="49" t="s">
        <v>169</v>
      </c>
      <c r="I18" s="49">
        <v>0.21</v>
      </c>
      <c r="J18" s="49">
        <v>0.4009999930858612</v>
      </c>
      <c r="K18" s="49">
        <v>3158.9834117603823</v>
      </c>
      <c r="L18" s="60">
        <v>0.6886020473332592</v>
      </c>
      <c r="M18" s="49">
        <v>1.7172121177214517</v>
      </c>
      <c r="N18" s="49"/>
      <c r="O18" s="49"/>
      <c r="P18" s="49">
        <v>1230.0257624650608</v>
      </c>
      <c r="Q18" s="49">
        <v>0</v>
      </c>
      <c r="R18" s="49">
        <v>0</v>
      </c>
      <c r="S18" s="49">
        <v>0</v>
      </c>
      <c r="T18" s="49">
        <v>0</v>
      </c>
      <c r="U18" s="49">
        <v>0</v>
      </c>
      <c r="V18" s="49">
        <v>1230.0257624650608</v>
      </c>
      <c r="W18" s="49">
        <v>0</v>
      </c>
      <c r="X18" s="49">
        <v>1230.0257624650608</v>
      </c>
      <c r="Y18" s="49">
        <v>0</v>
      </c>
      <c r="Z18" s="49">
        <v>0</v>
      </c>
      <c r="AA18" s="49">
        <v>21.110883712768555</v>
      </c>
      <c r="AB18" s="49">
        <v>0</v>
      </c>
      <c r="AC18" s="49">
        <v>21.110883136370433</v>
      </c>
      <c r="AD18" s="49">
        <v>1329.710224478053</v>
      </c>
      <c r="AE18" s="49">
        <v>38.10219778345838</v>
      </c>
      <c r="AF18" s="49">
        <v>197.081298828125</v>
      </c>
      <c r="AG18" s="49">
        <v>1563.165935967866</v>
      </c>
      <c r="AH18" s="49">
        <v>1230.0257624650608</v>
      </c>
      <c r="AI18" s="48">
        <v>1.2708399967454083</v>
      </c>
      <c r="AJ18" s="49">
        <v>633.4529418945312</v>
      </c>
      <c r="AK18" s="49">
        <v>0</v>
      </c>
      <c r="AL18" s="49">
        <v>0</v>
      </c>
      <c r="AM18" s="49">
        <v>2196.618896484375</v>
      </c>
      <c r="AN18" s="49">
        <v>1230.0257624650608</v>
      </c>
      <c r="AO18" s="48">
        <v>1.7858315706253052</v>
      </c>
    </row>
    <row r="19" spans="1:41" ht="12.75" customHeight="1">
      <c r="A19"/>
      <c r="B19"/>
      <c r="C19" s="49"/>
      <c r="D19" s="49"/>
      <c r="E19" s="49"/>
      <c r="F19" s="49"/>
      <c r="G19" s="49"/>
      <c r="H19" s="49"/>
      <c r="I19" s="49"/>
      <c r="J19" s="49"/>
      <c r="K19" s="49"/>
      <c r="L19" s="6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61"/>
    </row>
    <row r="20" spans="1:41" ht="12.75" customHeight="1" thickBot="1">
      <c r="A20"/>
      <c r="B20"/>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row>
    <row r="21" spans="1:41" ht="12.75" customHeight="1" thickBot="1">
      <c r="A21" s="62" t="s">
        <v>137</v>
      </c>
      <c r="B21" s="71"/>
      <c r="C21" s="72" t="s">
        <v>106</v>
      </c>
      <c r="D21" s="63"/>
      <c r="E21" s="63"/>
      <c r="F21" s="63"/>
      <c r="G21" s="63"/>
      <c r="H21" s="63"/>
      <c r="I21" s="63"/>
      <c r="J21" s="64"/>
      <c r="K21" s="72" t="s">
        <v>50</v>
      </c>
      <c r="L21" s="63"/>
      <c r="M21" s="64"/>
      <c r="N21" s="72" t="s">
        <v>107</v>
      </c>
      <c r="O21" s="63"/>
      <c r="P21" s="63"/>
      <c r="Q21" s="63"/>
      <c r="R21" s="73" t="s">
        <v>108</v>
      </c>
      <c r="S21" s="72" t="s">
        <v>84</v>
      </c>
      <c r="T21" s="63"/>
      <c r="U21" s="63"/>
      <c r="V21" s="63"/>
      <c r="W21" s="63"/>
      <c r="X21" s="64"/>
      <c r="Y21" s="72" t="s">
        <v>85</v>
      </c>
      <c r="Z21" s="63"/>
      <c r="AA21" s="63"/>
      <c r="AB21" s="63"/>
      <c r="AC21" s="63"/>
      <c r="AD21" s="64"/>
      <c r="AE21" s="49"/>
      <c r="AF21" s="49"/>
      <c r="AG21" s="49"/>
      <c r="AH21" s="49"/>
      <c r="AI21" s="49"/>
      <c r="AJ21" s="49"/>
      <c r="AK21" s="49"/>
      <c r="AL21" s="49"/>
      <c r="AM21" s="49"/>
      <c r="AN21" s="49"/>
      <c r="AO21" s="49"/>
    </row>
    <row r="22" spans="1:41" ht="51">
      <c r="A22" s="57"/>
      <c r="B22" s="58" t="s">
        <v>56</v>
      </c>
      <c r="C22" s="59" t="s">
        <v>109</v>
      </c>
      <c r="D22" s="59" t="s">
        <v>87</v>
      </c>
      <c r="E22" s="59" t="s">
        <v>88</v>
      </c>
      <c r="F22" s="59" t="s">
        <v>89</v>
      </c>
      <c r="G22" s="59" t="s">
        <v>90</v>
      </c>
      <c r="H22" s="59" t="s">
        <v>91</v>
      </c>
      <c r="I22" s="59" t="s">
        <v>110</v>
      </c>
      <c r="J22" s="59" t="s">
        <v>111</v>
      </c>
      <c r="K22" s="59" t="s">
        <v>94</v>
      </c>
      <c r="L22" s="59" t="s">
        <v>95</v>
      </c>
      <c r="M22" s="59" t="s">
        <v>96</v>
      </c>
      <c r="N22" s="59" t="s">
        <v>51</v>
      </c>
      <c r="O22" s="59" t="s">
        <v>112</v>
      </c>
      <c r="P22" s="59" t="s">
        <v>113</v>
      </c>
      <c r="Q22" s="59" t="s">
        <v>114</v>
      </c>
      <c r="R22" s="59" t="s">
        <v>115</v>
      </c>
      <c r="S22" s="59" t="s">
        <v>97</v>
      </c>
      <c r="T22" s="59" t="s">
        <v>98</v>
      </c>
      <c r="U22" s="59" t="s">
        <v>61</v>
      </c>
      <c r="V22" s="59" t="s">
        <v>99</v>
      </c>
      <c r="W22" s="59" t="s">
        <v>100</v>
      </c>
      <c r="X22" s="59" t="s">
        <v>101</v>
      </c>
      <c r="Y22" s="59" t="s">
        <v>102</v>
      </c>
      <c r="Z22" s="59" t="s">
        <v>59</v>
      </c>
      <c r="AA22" s="59" t="s">
        <v>60</v>
      </c>
      <c r="AB22" s="59" t="s">
        <v>103</v>
      </c>
      <c r="AC22" s="59" t="s">
        <v>104</v>
      </c>
      <c r="AD22" s="59" t="s">
        <v>105</v>
      </c>
      <c r="AE22" s="49"/>
      <c r="AF22" s="49"/>
      <c r="AG22" s="49"/>
      <c r="AH22" s="49"/>
      <c r="AI22" s="49"/>
      <c r="AJ22" s="49"/>
      <c r="AK22" s="49"/>
      <c r="AL22" s="49"/>
      <c r="AM22" s="49"/>
      <c r="AN22" s="49"/>
      <c r="AO22" s="49"/>
    </row>
    <row r="23" spans="1:41" ht="12.75" customHeight="1">
      <c r="A23"/>
      <c r="B23" t="s">
        <v>555</v>
      </c>
      <c r="C23" s="49">
        <v>45</v>
      </c>
      <c r="D23" s="49">
        <v>3922.0424703627264</v>
      </c>
      <c r="E23" s="49">
        <v>1230.03</v>
      </c>
      <c r="F23" s="49">
        <v>0</v>
      </c>
      <c r="G23" s="49">
        <v>0</v>
      </c>
      <c r="H23" s="49"/>
      <c r="I23" s="49">
        <v>0.21</v>
      </c>
      <c r="J23" s="49">
        <v>0.4009999930858612</v>
      </c>
      <c r="K23" s="49">
        <v>4221.098208727884</v>
      </c>
      <c r="L23" s="49">
        <v>0.9201241316126455</v>
      </c>
      <c r="M23" s="49">
        <v>2.294574022293091</v>
      </c>
      <c r="N23" s="49">
        <v>1230.0257624650608</v>
      </c>
      <c r="O23" s="49">
        <v>0</v>
      </c>
      <c r="P23" s="49">
        <v>0</v>
      </c>
      <c r="Q23" s="49">
        <v>1230.0257568359375</v>
      </c>
      <c r="R23" s="49">
        <v>15.798952230414882</v>
      </c>
      <c r="S23" s="49">
        <v>1776.7859830399243</v>
      </c>
      <c r="T23" s="49">
        <v>50.91293716430664</v>
      </c>
      <c r="U23" s="49">
        <v>263.34405517578125</v>
      </c>
      <c r="V23" s="49">
        <v>2088.734271956907</v>
      </c>
      <c r="W23" s="49">
        <v>1230.0257624650608</v>
      </c>
      <c r="X23" s="48">
        <v>1.6981223773483671</v>
      </c>
      <c r="Y23" s="60">
        <v>846.432861328125</v>
      </c>
      <c r="Z23" s="60">
        <v>0</v>
      </c>
      <c r="AA23" s="60">
        <v>0</v>
      </c>
      <c r="AB23" s="60">
        <v>2935.167236328125</v>
      </c>
      <c r="AC23" s="60">
        <v>1230.0257568359375</v>
      </c>
      <c r="AD23" s="48">
        <v>2.3862648010253906</v>
      </c>
      <c r="AE23" s="60"/>
      <c r="AF23" s="60"/>
      <c r="AG23" s="60"/>
      <c r="AH23" s="60"/>
      <c r="AI23" s="60"/>
      <c r="AJ23" s="60"/>
      <c r="AK23" s="60"/>
      <c r="AL23" s="49"/>
      <c r="AM23" s="49"/>
      <c r="AN23" s="49"/>
      <c r="AO23" s="49"/>
    </row>
    <row r="24" spans="1:41" ht="12.75" customHeight="1">
      <c r="A24"/>
      <c r="B24" t="s">
        <v>554</v>
      </c>
      <c r="C24" s="49">
        <v>45</v>
      </c>
      <c r="D24" s="49">
        <v>3472.853507631033</v>
      </c>
      <c r="E24" s="49">
        <v>1230.03</v>
      </c>
      <c r="F24" s="49">
        <v>0</v>
      </c>
      <c r="G24" s="49">
        <v>0</v>
      </c>
      <c r="H24" s="49"/>
      <c r="I24" s="49">
        <v>0.21</v>
      </c>
      <c r="J24" s="49">
        <v>0.4009999930858612</v>
      </c>
      <c r="K24" s="49">
        <v>3737.658587587899</v>
      </c>
      <c r="L24" s="49">
        <v>0.8147429157317121</v>
      </c>
      <c r="M24" s="49">
        <v>2.031777858734131</v>
      </c>
      <c r="N24" s="49">
        <v>1230.0257624650608</v>
      </c>
      <c r="O24" s="49">
        <v>0</v>
      </c>
      <c r="P24" s="49">
        <v>0</v>
      </c>
      <c r="Q24" s="49">
        <v>1230.0257568359375</v>
      </c>
      <c r="R24" s="49">
        <v>17.842434614291356</v>
      </c>
      <c r="S24" s="49">
        <v>1573.2918447818786</v>
      </c>
      <c r="T24" s="49">
        <v>45.0819091796875</v>
      </c>
      <c r="U24" s="49">
        <v>233.18344116210938</v>
      </c>
      <c r="V24" s="49">
        <v>1849.5129085371568</v>
      </c>
      <c r="W24" s="49">
        <v>1230.0257624650608</v>
      </c>
      <c r="X24" s="48">
        <v>1.5036375375021405</v>
      </c>
      <c r="Y24" s="60">
        <v>749.491455078125</v>
      </c>
      <c r="Z24" s="60">
        <v>0</v>
      </c>
      <c r="AA24" s="60">
        <v>0</v>
      </c>
      <c r="AB24" s="60">
        <v>2599.00439453125</v>
      </c>
      <c r="AC24" s="60">
        <v>1230.0257568359375</v>
      </c>
      <c r="AD24" s="48">
        <v>2.1129674911499023</v>
      </c>
      <c r="AE24" s="60"/>
      <c r="AF24" s="60"/>
      <c r="AG24" s="60"/>
      <c r="AH24" s="60"/>
      <c r="AI24" s="60"/>
      <c r="AJ24" s="60"/>
      <c r="AK24" s="60"/>
      <c r="AL24" s="49"/>
      <c r="AM24" s="49"/>
      <c r="AN24" s="49"/>
      <c r="AO24" s="49"/>
    </row>
    <row r="25" spans="1:41" ht="12.75" customHeight="1">
      <c r="A25"/>
      <c r="B25" t="s">
        <v>556</v>
      </c>
      <c r="C25" s="49">
        <v>45</v>
      </c>
      <c r="D25" s="49">
        <v>2935.176224632179</v>
      </c>
      <c r="E25" s="49">
        <v>1230.03</v>
      </c>
      <c r="F25" s="49">
        <v>0</v>
      </c>
      <c r="G25" s="49">
        <v>0</v>
      </c>
      <c r="H25" s="49"/>
      <c r="I25" s="49">
        <v>0.21</v>
      </c>
      <c r="J25" s="49">
        <v>0.4009999930858612</v>
      </c>
      <c r="K25" s="49">
        <v>3158.9834117603823</v>
      </c>
      <c r="L25" s="49">
        <v>0.6886020473332592</v>
      </c>
      <c r="M25" s="49">
        <v>1.7172120809555054</v>
      </c>
      <c r="N25" s="49">
        <v>1230.0257624650608</v>
      </c>
      <c r="O25" s="49">
        <v>0</v>
      </c>
      <c r="P25" s="49">
        <v>0</v>
      </c>
      <c r="Q25" s="49">
        <v>1230.0257568359375</v>
      </c>
      <c r="R25" s="49">
        <v>21.110882922433092</v>
      </c>
      <c r="S25" s="49">
        <v>1329.710224478053</v>
      </c>
      <c r="T25" s="49">
        <v>38.10219955444336</v>
      </c>
      <c r="U25" s="49">
        <v>197.081298828125</v>
      </c>
      <c r="V25" s="49">
        <v>1563.165935967866</v>
      </c>
      <c r="W25" s="49">
        <v>1230.0257624650608</v>
      </c>
      <c r="X25" s="48">
        <v>1.2708399967454083</v>
      </c>
      <c r="Y25" s="60">
        <v>633.4529418945312</v>
      </c>
      <c r="Z25" s="60">
        <v>0</v>
      </c>
      <c r="AA25" s="60">
        <v>0</v>
      </c>
      <c r="AB25" s="60">
        <v>2196.618896484375</v>
      </c>
      <c r="AC25" s="60">
        <v>1230.0257568359375</v>
      </c>
      <c r="AD25" s="48">
        <v>1.7858315706253052</v>
      </c>
      <c r="AE25" s="60"/>
      <c r="AF25" s="60"/>
      <c r="AG25" s="60"/>
      <c r="AH25" s="60"/>
      <c r="AI25" s="60"/>
      <c r="AJ25" s="60"/>
      <c r="AK25" s="60"/>
      <c r="AL25" s="49"/>
      <c r="AM25" s="49"/>
      <c r="AN25" s="49"/>
      <c r="AO25" s="49"/>
    </row>
    <row r="26" spans="1:41" ht="12.75" customHeight="1">
      <c r="A26"/>
      <c r="B26" t="s">
        <v>553</v>
      </c>
      <c r="C26" s="49">
        <v>45</v>
      </c>
      <c r="D26" s="49">
        <v>2720.5716576608024</v>
      </c>
      <c r="E26" s="49">
        <v>1230.03</v>
      </c>
      <c r="F26" s="49">
        <v>0</v>
      </c>
      <c r="G26" s="49">
        <v>0</v>
      </c>
      <c r="H26" s="49"/>
      <c r="I26" s="49">
        <v>0.21</v>
      </c>
      <c r="J26" s="49">
        <v>0.4009999930858612</v>
      </c>
      <c r="K26" s="49">
        <v>2928.0152465574383</v>
      </c>
      <c r="L26" s="49">
        <v>0.6382551063409594</v>
      </c>
      <c r="M26" s="49">
        <v>1.591658592224121</v>
      </c>
      <c r="N26" s="49">
        <v>1230.0257624650608</v>
      </c>
      <c r="O26" s="49">
        <v>0</v>
      </c>
      <c r="P26" s="49">
        <v>0</v>
      </c>
      <c r="Q26" s="49">
        <v>1230.0257568359375</v>
      </c>
      <c r="R26" s="49">
        <v>22.77615495274145</v>
      </c>
      <c r="S26" s="49">
        <v>1232.488843176742</v>
      </c>
      <c r="T26" s="49">
        <v>35.316368103027344</v>
      </c>
      <c r="U26" s="49">
        <v>182.6717529296875</v>
      </c>
      <c r="V26" s="49">
        <v>1448.8755040294957</v>
      </c>
      <c r="W26" s="49">
        <v>1230.0257624650608</v>
      </c>
      <c r="X26" s="48">
        <v>1.1779228925464489</v>
      </c>
      <c r="Y26" s="60">
        <v>587.1381225585938</v>
      </c>
      <c r="Z26" s="60">
        <v>0</v>
      </c>
      <c r="AA26" s="60">
        <v>0</v>
      </c>
      <c r="AB26" s="60">
        <v>2036.013671875</v>
      </c>
      <c r="AC26" s="60">
        <v>1230.0257568359375</v>
      </c>
      <c r="AD26" s="48">
        <v>1.6552610397338867</v>
      </c>
      <c r="AE26" s="60"/>
      <c r="AF26" s="60"/>
      <c r="AG26" s="60"/>
      <c r="AH26" s="60"/>
      <c r="AI26" s="60"/>
      <c r="AJ26" s="60"/>
      <c r="AK26" s="60"/>
      <c r="AL26" s="49"/>
      <c r="AM26" s="49"/>
      <c r="AN26" s="49"/>
      <c r="AO26" s="49"/>
    </row>
    <row r="27" spans="1:41" ht="12.75" customHeight="1">
      <c r="A27"/>
      <c r="B27"/>
      <c r="C27" s="49"/>
      <c r="D27" s="49"/>
      <c r="E27" s="49"/>
      <c r="F27" s="49"/>
      <c r="G27" s="49"/>
      <c r="H27" s="49"/>
      <c r="I27" s="49"/>
      <c r="J27" s="49"/>
      <c r="K27" s="49"/>
      <c r="L27" s="49"/>
      <c r="M27" s="49"/>
      <c r="N27" s="49"/>
      <c r="O27" s="49"/>
      <c r="P27" s="49"/>
      <c r="Q27" s="49"/>
      <c r="R27" s="49"/>
      <c r="S27" s="49"/>
      <c r="T27" s="49"/>
      <c r="U27" s="49"/>
      <c r="V27" s="49"/>
      <c r="W27" s="49"/>
      <c r="X27" s="60"/>
      <c r="Y27" s="60"/>
      <c r="Z27" s="60"/>
      <c r="AA27" s="60"/>
      <c r="AB27" s="60"/>
      <c r="AC27" s="60"/>
      <c r="AD27" s="60"/>
      <c r="AE27" s="60"/>
      <c r="AF27" s="60"/>
      <c r="AG27" s="60"/>
      <c r="AH27" s="60"/>
      <c r="AI27" s="60"/>
      <c r="AJ27" s="60"/>
      <c r="AK27" s="60"/>
      <c r="AL27" s="49"/>
      <c r="AM27" s="49"/>
      <c r="AN27" s="49"/>
      <c r="AO27" s="49"/>
    </row>
    <row r="28" spans="1:41" ht="12.75" customHeight="1" thickBot="1">
      <c r="A28"/>
      <c r="B28"/>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row>
    <row r="29" spans="1:41" ht="12.75" customHeight="1" thickBot="1">
      <c r="A29" s="65" t="s">
        <v>67</v>
      </c>
      <c r="B29" s="66"/>
      <c r="C29" s="67"/>
      <c r="D29" s="67"/>
      <c r="E29" s="67"/>
      <c r="F29" s="67"/>
      <c r="G29" s="67"/>
      <c r="H29" s="67"/>
      <c r="I29" s="67"/>
      <c r="J29" s="67"/>
      <c r="K29" s="68"/>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row>
    <row r="30" spans="1:41" ht="25.5">
      <c r="A30" s="57"/>
      <c r="B30" s="58" t="s">
        <v>68</v>
      </c>
      <c r="C30" s="59" t="s">
        <v>64</v>
      </c>
      <c r="D30" s="59" t="s">
        <v>65</v>
      </c>
      <c r="E30" s="59" t="s">
        <v>69</v>
      </c>
      <c r="F30" s="59" t="s">
        <v>70</v>
      </c>
      <c r="G30" s="59" t="s">
        <v>71</v>
      </c>
      <c r="H30" s="59" t="s">
        <v>72</v>
      </c>
      <c r="I30" s="59" t="s">
        <v>66</v>
      </c>
      <c r="J30" s="59" t="s">
        <v>55</v>
      </c>
      <c r="K30" s="59" t="s">
        <v>63</v>
      </c>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row>
    <row r="31" spans="1:41" ht="12.75" customHeight="1">
      <c r="A31"/>
      <c r="B31" t="s">
        <v>73</v>
      </c>
      <c r="C31" s="49">
        <v>14045.755454633603</v>
      </c>
      <c r="D31" s="49">
        <v>4920.103049860243</v>
      </c>
      <c r="E31" s="49">
        <v>4920.1</v>
      </c>
      <c r="F31" s="49">
        <v>984.0204000000001</v>
      </c>
      <c r="G31" s="49">
        <v>5904.123449860243</v>
      </c>
      <c r="H31" s="49">
        <v>3682.259765625</v>
      </c>
      <c r="I31" s="49">
        <v>22.790290767890856</v>
      </c>
      <c r="J31" s="49">
        <v>5912.276895476598</v>
      </c>
      <c r="K31" s="48">
        <v>1.001380974785774</v>
      </c>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row>
    <row r="32" spans="1:41" ht="12.75" customHeight="1">
      <c r="A32"/>
      <c r="B32" t="s">
        <v>74</v>
      </c>
      <c r="C32" s="49">
        <v>0</v>
      </c>
      <c r="D32" s="49">
        <v>0</v>
      </c>
      <c r="E32" s="49">
        <v>0</v>
      </c>
      <c r="F32" s="49">
        <v>0</v>
      </c>
      <c r="G32" s="49">
        <v>0</v>
      </c>
      <c r="H32" s="49">
        <v>0</v>
      </c>
      <c r="I32" s="49">
        <v>0</v>
      </c>
      <c r="J32" s="49">
        <v>5912.276895476598</v>
      </c>
      <c r="K32" s="69">
        <v>0</v>
      </c>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row>
    <row r="33" spans="1:41" ht="12.75" customHeight="1">
      <c r="A33"/>
      <c r="B33" t="s">
        <v>75</v>
      </c>
      <c r="C33" s="49">
        <v>10760.04809388558</v>
      </c>
      <c r="D33" s="49">
        <v>4386.53466796875</v>
      </c>
      <c r="E33" s="49">
        <v>4386.533548856837</v>
      </c>
      <c r="F33" s="49">
        <v>877.3067097713674</v>
      </c>
      <c r="G33" s="49">
        <v>5263.841377740117</v>
      </c>
      <c r="H33" s="49">
        <v>4285.4130859375</v>
      </c>
      <c r="I33" s="49">
        <v>26.523334379133573</v>
      </c>
      <c r="J33" s="49">
        <v>4529.224785749071</v>
      </c>
      <c r="K33" s="69">
        <v>0.8604409709043259</v>
      </c>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row>
    <row r="34" spans="1:41" ht="12.75" customHeight="1">
      <c r="A34"/>
      <c r="B34" t="s">
        <v>76</v>
      </c>
      <c r="C34" s="49">
        <v>0</v>
      </c>
      <c r="D34" s="49">
        <v>0</v>
      </c>
      <c r="E34" s="49">
        <v>0</v>
      </c>
      <c r="F34" s="49">
        <v>0</v>
      </c>
      <c r="G34" s="49">
        <v>0</v>
      </c>
      <c r="H34" s="49">
        <v>0</v>
      </c>
      <c r="I34" s="49">
        <v>0</v>
      </c>
      <c r="J34" s="49">
        <v>0</v>
      </c>
      <c r="K34" s="69">
        <v>0</v>
      </c>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row>
    <row r="35" spans="1:41" ht="12.75" customHeight="1">
      <c r="A35"/>
      <c r="B35" t="s">
        <v>77</v>
      </c>
      <c r="C35" s="49">
        <v>4221.098208727884</v>
      </c>
      <c r="D35" s="49">
        <v>1230.0257624650608</v>
      </c>
      <c r="E35" s="49">
        <v>1230.03</v>
      </c>
      <c r="F35" s="49">
        <v>246.00510000000003</v>
      </c>
      <c r="G35" s="49">
        <v>1476.0308624650609</v>
      </c>
      <c r="H35" s="49">
        <v>3063.191162109375</v>
      </c>
      <c r="I35" s="49">
        <v>18.958742194383795</v>
      </c>
      <c r="J35" s="49">
        <v>1776.7859830399243</v>
      </c>
      <c r="K35" s="102">
        <v>1.2037593713132693</v>
      </c>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row>
    <row r="36" spans="1:41" ht="12.75" customHeight="1">
      <c r="A36"/>
      <c r="B36" t="s">
        <v>78</v>
      </c>
      <c r="C36" s="49">
        <v>9824.65724590572</v>
      </c>
      <c r="D36" s="49">
        <v>3690.0772873951823</v>
      </c>
      <c r="E36" s="49">
        <v>3690.08</v>
      </c>
      <c r="F36" s="49">
        <v>738.0153</v>
      </c>
      <c r="G36" s="49">
        <v>4428.092587395182</v>
      </c>
      <c r="H36" s="49">
        <v>3948.238525390625</v>
      </c>
      <c r="I36" s="49">
        <v>24.436489959931315</v>
      </c>
      <c r="J36" s="49">
        <v>4135.490912436673</v>
      </c>
      <c r="K36" s="70">
        <v>0.9339215092766091</v>
      </c>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c r="A37"/>
      <c r="B37" t="s">
        <v>79</v>
      </c>
      <c r="C37" s="49">
        <v>0</v>
      </c>
      <c r="D37" s="49">
        <v>0</v>
      </c>
      <c r="E37" s="49">
        <v>0</v>
      </c>
      <c r="F37" s="49">
        <v>0</v>
      </c>
      <c r="G37" s="49">
        <v>0</v>
      </c>
      <c r="H37" s="49">
        <v>0</v>
      </c>
      <c r="I37" s="49">
        <v>0</v>
      </c>
      <c r="J37" s="49">
        <v>0</v>
      </c>
      <c r="K37" s="70">
        <v>0</v>
      </c>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row>
    <row r="38" spans="1:41" ht="12.75" customHeight="1">
      <c r="A38"/>
      <c r="B38" t="s">
        <v>80</v>
      </c>
      <c r="C38" s="49">
        <v>0</v>
      </c>
      <c r="D38" s="49">
        <v>0</v>
      </c>
      <c r="E38" s="49">
        <v>0</v>
      </c>
      <c r="F38" s="49">
        <v>0</v>
      </c>
      <c r="G38" s="49">
        <v>0</v>
      </c>
      <c r="H38" s="49">
        <v>0</v>
      </c>
      <c r="I38" s="49">
        <v>0</v>
      </c>
      <c r="J38" s="49">
        <v>0</v>
      </c>
      <c r="K38" s="70">
        <v>0</v>
      </c>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row>
    <row r="39" spans="1:41" ht="12.75" customHeight="1">
      <c r="A39"/>
      <c r="B39" t="s">
        <v>81</v>
      </c>
      <c r="C39" s="49">
        <v>0</v>
      </c>
      <c r="D39" s="49">
        <v>0</v>
      </c>
      <c r="E39" s="49">
        <v>0</v>
      </c>
      <c r="F39" s="49">
        <v>0</v>
      </c>
      <c r="G39" s="49">
        <v>0</v>
      </c>
      <c r="H39" s="49">
        <v>0</v>
      </c>
      <c r="I39" s="49">
        <v>0</v>
      </c>
      <c r="J39" s="49">
        <v>0</v>
      </c>
      <c r="K39" s="70">
        <v>0</v>
      </c>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row>
    <row r="40" spans="1:41" ht="12.75" customHeight="1">
      <c r="A40"/>
      <c r="B40" t="s">
        <v>82</v>
      </c>
      <c r="C40" s="49">
        <v>0</v>
      </c>
      <c r="D40" s="49">
        <v>0</v>
      </c>
      <c r="E40" s="49">
        <v>0</v>
      </c>
      <c r="F40" s="49">
        <v>0</v>
      </c>
      <c r="G40" s="49">
        <v>0</v>
      </c>
      <c r="H40" s="49">
        <v>0</v>
      </c>
      <c r="I40" s="49">
        <v>0</v>
      </c>
      <c r="J40" s="49">
        <v>0</v>
      </c>
      <c r="K40" s="70">
        <v>0</v>
      </c>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c r="A41"/>
      <c r="B41"/>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row>
    <row r="42" spans="1:41" ht="12.75" customHeight="1">
      <c r="A42"/>
      <c r="B42"/>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row>
    <row r="43" spans="1:41" ht="12.75" customHeight="1">
      <c r="A43"/>
      <c r="B43"/>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row>
    <row r="44" spans="1:41" ht="12.75" customHeight="1">
      <c r="A44"/>
      <c r="B44"/>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row>
    <row r="45" spans="1:41" ht="12.75" customHeight="1">
      <c r="A45"/>
      <c r="B45"/>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row>
    <row r="46" spans="1:41" ht="12.75" customHeight="1">
      <c r="A46"/>
      <c r="B46"/>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row>
    <row r="47" spans="1:41" ht="12.75" customHeight="1">
      <c r="A47"/>
      <c r="B47"/>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row>
    <row r="48" spans="1:41" ht="12.75" customHeight="1">
      <c r="A48"/>
      <c r="B48"/>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row>
    <row r="49" spans="1:41" ht="12.75" customHeight="1">
      <c r="A49"/>
      <c r="B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row>
    <row r="50" spans="1:41" ht="12.75" customHeight="1">
      <c r="A50"/>
      <c r="B50"/>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row>
    <row r="52" spans="1:41" ht="12.75" customHeigh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c r="A53"/>
      <c r="B53"/>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12.75" customHeight="1">
      <c r="A54"/>
      <c r="B54"/>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39"/>
      <c r="AF516" s="39"/>
      <c r="AG516" s="39"/>
      <c r="AH516" s="39"/>
      <c r="AI516" s="39"/>
      <c r="AJ516" s="39"/>
      <c r="AK516" s="39"/>
      <c r="AL516" s="39"/>
      <c r="AM516" s="39"/>
      <c r="AN516" s="39"/>
      <c r="AO516" s="39"/>
    </row>
    <row r="517" spans="1:41" ht="12"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39"/>
      <c r="AF517" s="39"/>
      <c r="AG517" s="39"/>
      <c r="AH517" s="39"/>
      <c r="AI517" s="39"/>
      <c r="AJ517" s="39"/>
      <c r="AK517" s="39"/>
      <c r="AL517" s="39"/>
      <c r="AM517" s="39"/>
      <c r="AN517" s="39"/>
      <c r="AO517" s="39"/>
    </row>
    <row r="518" spans="1:41" ht="12"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39"/>
      <c r="AF518" s="39"/>
      <c r="AG518" s="39"/>
      <c r="AH518" s="39"/>
      <c r="AI518" s="39"/>
      <c r="AJ518" s="39"/>
      <c r="AK518" s="39"/>
      <c r="AL518" s="39"/>
      <c r="AM518" s="39"/>
      <c r="AN518" s="39"/>
      <c r="AO518" s="39"/>
    </row>
    <row r="519" spans="1:41" ht="12"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39"/>
      <c r="AF519" s="39"/>
      <c r="AG519" s="39"/>
      <c r="AH519" s="39"/>
      <c r="AI519" s="39"/>
      <c r="AJ519" s="39"/>
      <c r="AK519" s="39"/>
      <c r="AL519" s="39"/>
      <c r="AM519" s="39"/>
      <c r="AN519" s="39"/>
      <c r="AO519" s="39"/>
    </row>
    <row r="520" spans="1:30"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row>
    <row r="521" spans="1:30" ht="12.75"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row>
    <row r="522" spans="1:30" ht="12.75"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row>
    <row r="523" spans="1:30" ht="12.75"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3:30" ht="12.75">
      <c r="C526" s="39"/>
      <c r="D526" s="39"/>
      <c r="E526" s="39"/>
      <c r="F526" s="39"/>
      <c r="G526" s="39"/>
      <c r="H526" s="39"/>
      <c r="I526" s="103"/>
      <c r="J526" s="103"/>
      <c r="K526" s="103"/>
      <c r="L526" s="103"/>
      <c r="M526" s="103"/>
      <c r="S526" s="39"/>
      <c r="T526" s="39"/>
      <c r="U526" s="39"/>
      <c r="X526" s="49"/>
      <c r="Y526" s="49"/>
      <c r="Z526" s="39"/>
      <c r="AA526" s="39"/>
      <c r="AB526" s="39"/>
      <c r="AC526" s="39"/>
      <c r="AD526" s="39"/>
    </row>
    <row r="527" spans="3:30" ht="12.75">
      <c r="C527" s="39"/>
      <c r="D527" s="39"/>
      <c r="E527" s="39"/>
      <c r="F527" s="39"/>
      <c r="G527" s="39"/>
      <c r="H527" s="39"/>
      <c r="I527" s="103"/>
      <c r="J527" s="103"/>
      <c r="K527" s="103"/>
      <c r="L527" s="103"/>
      <c r="M527" s="103"/>
      <c r="S527" s="39"/>
      <c r="T527" s="39"/>
      <c r="U527" s="39"/>
      <c r="X527" s="49"/>
      <c r="Y527" s="49"/>
      <c r="Z527" s="39"/>
      <c r="AA527" s="39"/>
      <c r="AB527" s="39"/>
      <c r="AC527" s="39"/>
      <c r="AD527" s="39"/>
    </row>
    <row r="528" spans="3:30" ht="12.75">
      <c r="C528" s="39"/>
      <c r="D528" s="39"/>
      <c r="E528" s="39"/>
      <c r="F528" s="39"/>
      <c r="G528" s="39"/>
      <c r="H528" s="39"/>
      <c r="I528" s="103"/>
      <c r="J528" s="103"/>
      <c r="K528" s="103"/>
      <c r="L528" s="103"/>
      <c r="M528" s="103"/>
      <c r="S528" s="39"/>
      <c r="T528" s="39"/>
      <c r="U528" s="39"/>
      <c r="X528" s="49"/>
      <c r="Y528" s="49"/>
      <c r="Z528" s="39"/>
      <c r="AA528" s="39"/>
      <c r="AB528" s="39"/>
      <c r="AC528" s="39"/>
      <c r="AD528" s="39"/>
    </row>
    <row r="529" spans="3:30" ht="12.75">
      <c r="C529" s="39"/>
      <c r="D529" s="39"/>
      <c r="E529" s="39"/>
      <c r="F529" s="39"/>
      <c r="G529" s="39"/>
      <c r="H529" s="39"/>
      <c r="I529" s="103"/>
      <c r="J529" s="103"/>
      <c r="K529" s="103"/>
      <c r="L529" s="103"/>
      <c r="M529" s="103"/>
      <c r="S529" s="39"/>
      <c r="T529" s="39"/>
      <c r="U529" s="39"/>
      <c r="X529" s="49"/>
      <c r="Y529" s="49"/>
      <c r="Z529" s="39"/>
      <c r="AA529" s="39"/>
      <c r="AB529" s="39"/>
      <c r="AC529" s="39"/>
      <c r="AD529"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codeName="Sheet5"/>
  <dimension ref="A1:AO533"/>
  <sheetViews>
    <sheetView workbookViewId="0" topLeftCell="Q28">
      <selection activeCell="K65" sqref="K65"/>
    </sheetView>
  </sheetViews>
  <sheetFormatPr defaultColWidth="9.140625" defaultRowHeight="12.75"/>
  <cols>
    <col min="1" max="1" width="39.28125" style="37" customWidth="1"/>
    <col min="2" max="2" width="36.57421875" style="37" customWidth="1"/>
    <col min="3" max="3" width="8.8515625" style="37" customWidth="1"/>
    <col min="4" max="4" width="8.57421875" style="37" customWidth="1"/>
    <col min="5" max="5" width="8.421875" style="37" customWidth="1"/>
    <col min="6" max="6" width="9.00390625" style="37" customWidth="1"/>
    <col min="7" max="7" width="14.57421875" style="37" customWidth="1"/>
    <col min="8" max="8" width="11.57421875" style="37" customWidth="1"/>
    <col min="9" max="13" width="8.421875" style="38" customWidth="1"/>
    <col min="14" max="15" width="8.421875" style="39" customWidth="1"/>
    <col min="16" max="16" width="9.140625" style="39" customWidth="1"/>
    <col min="17" max="18" width="8.421875" style="39" customWidth="1"/>
    <col min="19" max="21" width="8.421875" style="37" customWidth="1"/>
    <col min="22" max="22" width="8.421875" style="39" customWidth="1"/>
    <col min="23" max="23" width="8.8515625" style="39" customWidth="1"/>
    <col min="24" max="25" width="8.421875" style="0" customWidth="1"/>
    <col min="26" max="29" width="8.8515625" style="37" customWidth="1"/>
    <col min="30" max="30" width="11.7109375" style="37" customWidth="1"/>
    <col min="31" max="16384" width="8.8515625" style="37" customWidth="1"/>
  </cols>
  <sheetData>
    <row r="1" ht="14.25">
      <c r="A1" s="36" t="s">
        <v>132</v>
      </c>
    </row>
    <row r="2" ht="12.75">
      <c r="A2" s="37">
        <v>850</v>
      </c>
    </row>
    <row r="4" spans="1:23" ht="12.75">
      <c r="A4" s="40" t="s">
        <v>37</v>
      </c>
      <c r="B4" s="41"/>
      <c r="C4" s="42"/>
      <c r="D4" s="42"/>
      <c r="E4" s="42"/>
      <c r="F4" s="42"/>
      <c r="G4" s="42"/>
      <c r="H4" s="43"/>
      <c r="I4" s="44" t="s">
        <v>38</v>
      </c>
      <c r="J4" s="45"/>
      <c r="K4" s="45"/>
      <c r="L4" s="45"/>
      <c r="M4" s="45"/>
      <c r="N4" s="45"/>
      <c r="O4"/>
      <c r="P4"/>
      <c r="Q4"/>
      <c r="R4"/>
      <c r="S4"/>
      <c r="T4"/>
      <c r="U4"/>
      <c r="V4"/>
      <c r="W4"/>
    </row>
    <row r="5" spans="1:25" s="96" customFormat="1" ht="26.25" customHeight="1">
      <c r="A5" s="46" t="s">
        <v>39</v>
      </c>
      <c r="B5" s="46" t="s">
        <v>40</v>
      </c>
      <c r="C5" s="46" t="s">
        <v>133</v>
      </c>
      <c r="D5" s="46" t="s">
        <v>134</v>
      </c>
      <c r="E5" s="46" t="s">
        <v>41</v>
      </c>
      <c r="F5" s="46" t="s">
        <v>42</v>
      </c>
      <c r="G5" s="47" t="s">
        <v>43</v>
      </c>
      <c r="H5" s="47" t="s">
        <v>135</v>
      </c>
      <c r="I5" s="47" t="s">
        <v>44</v>
      </c>
      <c r="J5" s="47" t="s">
        <v>45</v>
      </c>
      <c r="K5" s="47" t="s">
        <v>46</v>
      </c>
      <c r="L5" s="47" t="s">
        <v>47</v>
      </c>
      <c r="M5" s="47" t="s">
        <v>48</v>
      </c>
      <c r="N5" s="47" t="s">
        <v>49</v>
      </c>
      <c r="O5"/>
      <c r="P5"/>
      <c r="Q5"/>
      <c r="R5"/>
      <c r="S5"/>
      <c r="T5"/>
      <c r="U5"/>
      <c r="V5"/>
      <c r="W5"/>
      <c r="X5"/>
      <c r="Y5"/>
    </row>
    <row r="6" spans="1:23" ht="12.75">
      <c r="A6" s="104" t="str">
        <f aca="true" t="shared" si="0" ref="A6:A17">B6</f>
        <v>ATTIC R19</v>
      </c>
      <c r="B6" s="104" t="str">
        <f>'UA Optimizer'!T45</f>
        <v>ATTIC R19</v>
      </c>
      <c r="C6" s="98">
        <f>'UA Optimizer'!Y45</f>
        <v>3396.797458263016</v>
      </c>
      <c r="D6" s="98">
        <v>45</v>
      </c>
      <c r="E6" s="99">
        <f>'UA Optimizer'!V45</f>
        <v>732.6936963096837</v>
      </c>
      <c r="F6" s="100">
        <v>0</v>
      </c>
      <c r="G6" s="101" t="s">
        <v>169</v>
      </c>
      <c r="H6"/>
      <c r="I6"/>
      <c r="J6"/>
      <c r="K6"/>
      <c r="L6"/>
      <c r="M6"/>
      <c r="N6"/>
      <c r="O6"/>
      <c r="P6"/>
      <c r="Q6"/>
      <c r="R6"/>
      <c r="S6"/>
      <c r="T6"/>
      <c r="U6"/>
      <c r="V6"/>
      <c r="W6"/>
    </row>
    <row r="7" spans="1:23" ht="12.75">
      <c r="A7" s="104" t="str">
        <f t="shared" si="0"/>
        <v>FLOOR R11</v>
      </c>
      <c r="B7" s="104" t="str">
        <f>'UA Optimizer'!T46</f>
        <v>FLOOR R11</v>
      </c>
      <c r="C7" s="98">
        <f>'UA Optimizer'!Y46</f>
        <v>1657.3455141747127</v>
      </c>
      <c r="D7" s="98">
        <v>45</v>
      </c>
      <c r="E7" s="99">
        <f>'UA Optimizer'!V46</f>
        <v>510</v>
      </c>
      <c r="F7" s="100">
        <v>0</v>
      </c>
      <c r="G7" s="101" t="s">
        <v>169</v>
      </c>
      <c r="H7"/>
      <c r="I7"/>
      <c r="J7"/>
      <c r="K7"/>
      <c r="L7"/>
      <c r="M7"/>
      <c r="N7"/>
      <c r="O7"/>
      <c r="P7"/>
      <c r="Q7"/>
      <c r="R7"/>
      <c r="S7"/>
      <c r="T7"/>
      <c r="U7"/>
      <c r="V7"/>
      <c r="W7"/>
    </row>
    <row r="8" spans="1:7" ht="12.75" customHeight="1">
      <c r="A8" s="104" t="str">
        <f t="shared" si="0"/>
        <v>WALL R11</v>
      </c>
      <c r="B8" s="104" t="str">
        <f>'UA Optimizer'!T47</f>
        <v>WALL R11</v>
      </c>
      <c r="C8" s="98">
        <f>'UA Optimizer'!Y47</f>
        <v>1838.4873614427452</v>
      </c>
      <c r="D8" s="98">
        <v>45</v>
      </c>
      <c r="E8" s="99">
        <f>'UA Optimizer'!V47</f>
        <v>654.118032745393</v>
      </c>
      <c r="F8" s="100">
        <v>0</v>
      </c>
      <c r="G8" s="101" t="s">
        <v>169</v>
      </c>
    </row>
    <row r="9" spans="1:23" ht="12.75">
      <c r="A9" s="104" t="str">
        <f t="shared" si="0"/>
        <v>FLOOR R19</v>
      </c>
      <c r="B9" s="104" t="str">
        <f>'UA Optimizer'!T48</f>
        <v>FLOOR R19</v>
      </c>
      <c r="C9" s="98">
        <f>'UA Optimizer'!Y48</f>
        <v>441.6811706046374</v>
      </c>
      <c r="D9" s="98">
        <v>45</v>
      </c>
      <c r="E9" s="99">
        <f>'UA Optimizer'!V48</f>
        <v>168.8311330778076</v>
      </c>
      <c r="F9" s="100">
        <v>0</v>
      </c>
      <c r="G9" s="101" t="s">
        <v>169</v>
      </c>
      <c r="H9"/>
      <c r="I9"/>
      <c r="J9"/>
      <c r="K9"/>
      <c r="L9"/>
      <c r="M9"/>
      <c r="N9"/>
      <c r="O9"/>
      <c r="P9"/>
      <c r="Q9"/>
      <c r="R9"/>
      <c r="S9"/>
      <c r="T9"/>
      <c r="U9"/>
      <c r="V9"/>
      <c r="W9"/>
    </row>
    <row r="10" spans="1:23" ht="12.75">
      <c r="A10" s="104" t="str">
        <f t="shared" si="0"/>
        <v>ATTIC R38</v>
      </c>
      <c r="B10" s="104" t="str">
        <f>'UA Optimizer'!T49</f>
        <v>ATTIC R38</v>
      </c>
      <c r="C10" s="98">
        <f>'UA Optimizer'!Y49</f>
        <v>653.7163712277197</v>
      </c>
      <c r="D10" s="98">
        <v>45</v>
      </c>
      <c r="E10" s="99">
        <f>'UA Optimizer'!V49</f>
        <v>280.8095966433878</v>
      </c>
      <c r="F10" s="100">
        <v>0</v>
      </c>
      <c r="G10" s="101" t="s">
        <v>169</v>
      </c>
      <c r="H10"/>
      <c r="I10"/>
      <c r="J10"/>
      <c r="K10"/>
      <c r="L10"/>
      <c r="M10"/>
      <c r="N10"/>
      <c r="O10"/>
      <c r="P10"/>
      <c r="Q10"/>
      <c r="R10"/>
      <c r="S10"/>
      <c r="T10"/>
      <c r="U10"/>
      <c r="V10"/>
      <c r="W10"/>
    </row>
    <row r="11" spans="1:7" ht="12.75" customHeight="1">
      <c r="A11" s="104" t="str">
        <f t="shared" si="0"/>
        <v>FLOOR R30</v>
      </c>
      <c r="B11" s="104" t="str">
        <f>'UA Optimizer'!T50</f>
        <v>FLOOR R30</v>
      </c>
      <c r="C11" s="98">
        <f>'UA Optimizer'!Y50</f>
        <v>370.04670459232875</v>
      </c>
      <c r="D11" s="98">
        <v>45</v>
      </c>
      <c r="E11" s="99">
        <f>'UA Optimizer'!V50</f>
        <v>212.5</v>
      </c>
      <c r="F11" s="100">
        <v>0</v>
      </c>
      <c r="G11" s="101" t="s">
        <v>169</v>
      </c>
    </row>
    <row r="12" spans="1:7" ht="12.75" customHeight="1">
      <c r="A12" s="104" t="str">
        <f t="shared" si="0"/>
        <v>CLASS 35 PRIME WINDOW (Energy Star)</v>
      </c>
      <c r="B12" s="104" t="str">
        <f>'UA Optimizer'!T51</f>
        <v>CLASS 35 PRIME WINDOW (Energy Star)</v>
      </c>
      <c r="C12" s="98">
        <f>'UA Optimizer'!Y51</f>
        <v>2502.0590485712682</v>
      </c>
      <c r="D12" s="98">
        <v>45</v>
      </c>
      <c r="E12" s="99">
        <f>'UA Optimizer'!V51</f>
        <v>1505.1622909598884</v>
      </c>
      <c r="F12" s="100">
        <v>0</v>
      </c>
      <c r="G12" s="101" t="s">
        <v>169</v>
      </c>
    </row>
    <row r="13" spans="1:26" ht="12.75" customHeight="1">
      <c r="A13" s="104" t="str">
        <f t="shared" si="0"/>
        <v>FLOOR R38</v>
      </c>
      <c r="B13" s="104" t="str">
        <f>'UA Optimizer'!T52</f>
        <v>FLOOR R38</v>
      </c>
      <c r="C13" s="98">
        <f>'UA Optimizer'!Y52</f>
        <v>114.46932317609026</v>
      </c>
      <c r="D13" s="98">
        <v>45</v>
      </c>
      <c r="E13" s="99">
        <f>'UA Optimizer'!V52</f>
        <v>110.5</v>
      </c>
      <c r="F13" s="100">
        <v>0</v>
      </c>
      <c r="G13" s="101" t="s">
        <v>169</v>
      </c>
      <c r="H13" s="49"/>
      <c r="I13" s="49"/>
      <c r="J13" s="49"/>
      <c r="K13" s="49"/>
      <c r="L13" s="49"/>
      <c r="M13" s="49"/>
      <c r="N13" s="49"/>
      <c r="O13" s="49"/>
      <c r="P13" s="49"/>
      <c r="Q13" s="49"/>
      <c r="R13" s="49"/>
      <c r="S13" s="49"/>
      <c r="T13" s="49"/>
      <c r="U13" s="49"/>
      <c r="V13" s="49"/>
      <c r="W13" s="49"/>
      <c r="X13" s="49"/>
      <c r="Y13" s="49"/>
      <c r="Z13" s="49"/>
    </row>
    <row r="14" spans="1:26" ht="12.75" customHeight="1">
      <c r="A14" s="104" t="str">
        <f t="shared" si="0"/>
        <v>INFILTRATION @ O.35 ACH</v>
      </c>
      <c r="B14" s="104" t="str">
        <f>'UA Optimizer'!T53</f>
        <v>INFILTRATION @ O.35 ACH</v>
      </c>
      <c r="C14" s="98">
        <f>'UA Optimizer'!Y53</f>
        <v>412.0895634339231</v>
      </c>
      <c r="D14" s="98">
        <v>45</v>
      </c>
      <c r="E14" s="99">
        <f>'UA Optimizer'!V53</f>
        <v>425</v>
      </c>
      <c r="F14" s="100">
        <v>0</v>
      </c>
      <c r="G14" s="101" t="s">
        <v>169</v>
      </c>
      <c r="H14" s="49"/>
      <c r="I14" s="49"/>
      <c r="J14" s="49"/>
      <c r="K14" s="49"/>
      <c r="L14" s="49"/>
      <c r="M14" s="49"/>
      <c r="N14" s="49"/>
      <c r="O14" s="49"/>
      <c r="P14" s="49"/>
      <c r="Q14" s="49"/>
      <c r="R14" s="49"/>
      <c r="S14" s="49"/>
      <c r="T14" s="49"/>
      <c r="U14" s="49"/>
      <c r="V14" s="49"/>
      <c r="W14" s="49"/>
      <c r="X14" s="49"/>
      <c r="Y14" s="49"/>
      <c r="Z14" s="49"/>
    </row>
    <row r="15" spans="1:26" ht="12.75" customHeight="1">
      <c r="A15" s="104" t="str">
        <f t="shared" si="0"/>
        <v>ATTIC R49</v>
      </c>
      <c r="B15" s="104" t="str">
        <f>'UA Optimizer'!T54</f>
        <v>ATTIC R49</v>
      </c>
      <c r="C15" s="98">
        <f>'UA Optimizer'!Y54</f>
        <v>142.96605845297063</v>
      </c>
      <c r="D15" s="98">
        <v>45</v>
      </c>
      <c r="E15" s="99">
        <f>'UA Optimizer'!V54</f>
        <v>154.67313911059014</v>
      </c>
      <c r="F15" s="100">
        <v>0</v>
      </c>
      <c r="G15" s="101" t="s">
        <v>169</v>
      </c>
      <c r="H15" s="49"/>
      <c r="I15" s="49"/>
      <c r="J15" s="49"/>
      <c r="K15" s="49"/>
      <c r="L15" s="49"/>
      <c r="M15" s="49"/>
      <c r="N15" s="49"/>
      <c r="O15" s="49"/>
      <c r="P15" s="49"/>
      <c r="Q15" s="49"/>
      <c r="R15" s="49"/>
      <c r="S15" s="49"/>
      <c r="T15" s="49"/>
      <c r="U15" s="49"/>
      <c r="V15" s="49"/>
      <c r="W15" s="49"/>
      <c r="X15" s="49"/>
      <c r="Y15" s="49"/>
      <c r="Z15" s="49"/>
    </row>
    <row r="16" spans="1:26" ht="12.75" customHeight="1">
      <c r="A16" s="104" t="str">
        <f t="shared" si="0"/>
        <v>CLASS 25 PRIME WINDOW </v>
      </c>
      <c r="B16" s="104" t="str">
        <f>'UA Optimizer'!T55</f>
        <v>CLASS 25 PRIME WINDOW </v>
      </c>
      <c r="C16" s="98">
        <f>'UA Optimizer'!Y55</f>
        <v>290.86014723118114</v>
      </c>
      <c r="D16" s="98">
        <v>45</v>
      </c>
      <c r="E16" s="99">
        <f>'UA Optimizer'!V55</f>
        <v>451.2</v>
      </c>
      <c r="F16" s="100">
        <v>0</v>
      </c>
      <c r="G16" s="101" t="s">
        <v>169</v>
      </c>
      <c r="H16" s="49"/>
      <c r="I16" s="49"/>
      <c r="J16" s="49"/>
      <c r="K16" s="49"/>
      <c r="L16" s="49"/>
      <c r="M16" s="49"/>
      <c r="N16" s="49"/>
      <c r="O16" s="49"/>
      <c r="P16" s="49"/>
      <c r="Q16" s="49"/>
      <c r="R16" s="49"/>
      <c r="S16" s="49"/>
      <c r="T16" s="49"/>
      <c r="U16" s="49"/>
      <c r="V16" s="49"/>
      <c r="W16" s="49"/>
      <c r="X16" s="49"/>
      <c r="Y16" s="49"/>
      <c r="Z16" s="49"/>
    </row>
    <row r="17" spans="1:26" ht="12.75" customHeight="1">
      <c r="A17" s="104" t="str">
        <f t="shared" si="0"/>
        <v>DOOR R5</v>
      </c>
      <c r="B17" s="104" t="str">
        <f>'UA Optimizer'!T56</f>
        <v>DOOR R5</v>
      </c>
      <c r="C17" s="98">
        <f>'UA Optimizer'!Y56</f>
        <v>364.5499912100754</v>
      </c>
      <c r="D17" s="98">
        <v>45</v>
      </c>
      <c r="E17" s="99">
        <f>'UA Optimizer'!V56</f>
        <v>600.46875</v>
      </c>
      <c r="F17" s="100">
        <v>0</v>
      </c>
      <c r="G17" s="101" t="s">
        <v>169</v>
      </c>
      <c r="H17" s="49"/>
      <c r="I17" s="49"/>
      <c r="J17" s="49"/>
      <c r="K17" s="49"/>
      <c r="L17" s="49"/>
      <c r="M17" s="49"/>
      <c r="N17" s="49"/>
      <c r="O17" s="49"/>
      <c r="P17" s="49"/>
      <c r="Q17" s="49"/>
      <c r="R17" s="49"/>
      <c r="S17" s="49"/>
      <c r="T17" s="49"/>
      <c r="U17" s="49"/>
      <c r="V17" s="49"/>
      <c r="W17" s="49"/>
      <c r="X17" s="49"/>
      <c r="Y17" s="49"/>
      <c r="Z17" s="49"/>
    </row>
    <row r="18" spans="1:41" ht="12.75" customHeight="1">
      <c r="A18"/>
      <c r="B18"/>
      <c r="C18"/>
      <c r="D18"/>
      <c r="E18"/>
      <c r="F18"/>
      <c r="G18"/>
      <c r="H18"/>
      <c r="I18"/>
      <c r="J18"/>
      <c r="K18"/>
      <c r="L18"/>
      <c r="M18"/>
      <c r="N18"/>
      <c r="O18"/>
      <c r="P18"/>
      <c r="Q18"/>
      <c r="R18"/>
      <c r="S18"/>
      <c r="T18"/>
      <c r="U18"/>
      <c r="V18"/>
      <c r="W18"/>
      <c r="Z18"/>
      <c r="AA18"/>
      <c r="AB18"/>
      <c r="AC18"/>
      <c r="AD18"/>
      <c r="AE18"/>
      <c r="AF18"/>
      <c r="AG18"/>
      <c r="AH18"/>
      <c r="AI18"/>
      <c r="AJ18"/>
      <c r="AK18"/>
      <c r="AL18"/>
      <c r="AM18"/>
      <c r="AN18"/>
      <c r="AO18"/>
    </row>
    <row r="19" spans="1:41" ht="12.75" customHeight="1" thickBot="1">
      <c r="A19"/>
      <c r="B19"/>
      <c r="C19"/>
      <c r="D19"/>
      <c r="E19"/>
      <c r="F19"/>
      <c r="G19"/>
      <c r="H19"/>
      <c r="I19"/>
      <c r="J19"/>
      <c r="K19"/>
      <c r="L19"/>
      <c r="M19"/>
      <c r="N19"/>
      <c r="O19"/>
      <c r="P19"/>
      <c r="Q19"/>
      <c r="R19"/>
      <c r="S19"/>
      <c r="T19"/>
      <c r="U19"/>
      <c r="V19"/>
      <c r="W19"/>
      <c r="Z19"/>
      <c r="AA19"/>
      <c r="AB19"/>
      <c r="AC19"/>
      <c r="AD19"/>
      <c r="AE19"/>
      <c r="AF19"/>
      <c r="AG19"/>
      <c r="AH19"/>
      <c r="AI19"/>
      <c r="AJ19"/>
      <c r="AK19"/>
      <c r="AL19"/>
      <c r="AM19"/>
      <c r="AN19"/>
      <c r="AO19"/>
    </row>
    <row r="20" spans="1:41" ht="12.75" customHeight="1" thickBot="1">
      <c r="A20" s="86" t="s">
        <v>599</v>
      </c>
      <c r="B20" s="50"/>
      <c r="C20" s="50"/>
      <c r="D20" s="51"/>
      <c r="E20"/>
      <c r="F20"/>
      <c r="G20"/>
      <c r="H20"/>
      <c r="I20"/>
      <c r="J20"/>
      <c r="K20"/>
      <c r="L20"/>
      <c r="M20"/>
      <c r="N20"/>
      <c r="O20"/>
      <c r="P20"/>
      <c r="Q20"/>
      <c r="R20"/>
      <c r="S20"/>
      <c r="T20"/>
      <c r="U20"/>
      <c r="V20"/>
      <c r="W20"/>
      <c r="Z20"/>
      <c r="AA20"/>
      <c r="AB20"/>
      <c r="AC20"/>
      <c r="AD20"/>
      <c r="AE20"/>
      <c r="AF20"/>
      <c r="AG20"/>
      <c r="AH20"/>
      <c r="AI20"/>
      <c r="AJ20"/>
      <c r="AK20"/>
      <c r="AL20"/>
      <c r="AM20"/>
      <c r="AN20"/>
      <c r="AO20"/>
    </row>
    <row r="21" spans="1:41" ht="12.75" customHeight="1" thickBot="1">
      <c r="A21" s="52" t="s">
        <v>136</v>
      </c>
      <c r="B21" s="53"/>
      <c r="C21" s="54" t="s">
        <v>83</v>
      </c>
      <c r="D21" s="56"/>
      <c r="E21" s="56"/>
      <c r="F21" s="56"/>
      <c r="G21" s="56"/>
      <c r="H21" s="56"/>
      <c r="I21" s="56"/>
      <c r="J21" s="55"/>
      <c r="K21" s="54" t="s">
        <v>50</v>
      </c>
      <c r="L21" s="56"/>
      <c r="M21" s="55"/>
      <c r="N21" s="54" t="s">
        <v>51</v>
      </c>
      <c r="O21" s="56"/>
      <c r="P21" s="56"/>
      <c r="Q21" s="55"/>
      <c r="R21" s="54" t="s">
        <v>52</v>
      </c>
      <c r="S21" s="55"/>
      <c r="T21" s="54" t="s">
        <v>53</v>
      </c>
      <c r="U21" s="56"/>
      <c r="V21" s="56"/>
      <c r="W21" s="56"/>
      <c r="X21" s="55"/>
      <c r="Y21" s="54" t="s">
        <v>54</v>
      </c>
      <c r="Z21" s="56"/>
      <c r="AA21" s="56"/>
      <c r="AB21" s="56"/>
      <c r="AC21" s="55"/>
      <c r="AD21" s="54" t="s">
        <v>84</v>
      </c>
      <c r="AE21" s="56"/>
      <c r="AF21" s="56"/>
      <c r="AG21" s="56"/>
      <c r="AH21" s="56"/>
      <c r="AI21" s="55"/>
      <c r="AJ21" s="54" t="s">
        <v>85</v>
      </c>
      <c r="AK21" s="56"/>
      <c r="AL21" s="56"/>
      <c r="AM21" s="56"/>
      <c r="AN21" s="56"/>
      <c r="AO21" s="55"/>
    </row>
    <row r="22" spans="1:41" ht="51">
      <c r="A22" s="57" t="s">
        <v>56</v>
      </c>
      <c r="B22" s="58" t="s">
        <v>57</v>
      </c>
      <c r="C22" s="59" t="s">
        <v>86</v>
      </c>
      <c r="D22" s="59" t="s">
        <v>87</v>
      </c>
      <c r="E22" s="59" t="s">
        <v>88</v>
      </c>
      <c r="F22" s="59" t="s">
        <v>89</v>
      </c>
      <c r="G22" s="59" t="s">
        <v>155</v>
      </c>
      <c r="H22" s="59" t="s">
        <v>91</v>
      </c>
      <c r="I22" s="59" t="s">
        <v>92</v>
      </c>
      <c r="J22" s="59" t="s">
        <v>93</v>
      </c>
      <c r="K22" s="59" t="s">
        <v>94</v>
      </c>
      <c r="L22" s="59" t="s">
        <v>95</v>
      </c>
      <c r="M22" s="59" t="s">
        <v>96</v>
      </c>
      <c r="N22" s="59" t="s">
        <v>25</v>
      </c>
      <c r="O22" s="59" t="s">
        <v>26</v>
      </c>
      <c r="P22" s="59" t="s">
        <v>27</v>
      </c>
      <c r="Q22" s="59" t="s">
        <v>9</v>
      </c>
      <c r="R22" s="59" t="s">
        <v>58</v>
      </c>
      <c r="S22" s="59" t="s">
        <v>9</v>
      </c>
      <c r="T22" s="59" t="s">
        <v>25</v>
      </c>
      <c r="U22" s="59" t="s">
        <v>26</v>
      </c>
      <c r="V22" s="59" t="s">
        <v>27</v>
      </c>
      <c r="W22" s="59" t="s">
        <v>9</v>
      </c>
      <c r="X22" s="59" t="s">
        <v>62</v>
      </c>
      <c r="Y22" s="59" t="s">
        <v>25</v>
      </c>
      <c r="Z22" s="59" t="s">
        <v>26</v>
      </c>
      <c r="AA22" s="59" t="s">
        <v>27</v>
      </c>
      <c r="AB22" s="59" t="s">
        <v>9</v>
      </c>
      <c r="AC22" s="59" t="s">
        <v>62</v>
      </c>
      <c r="AD22" s="59" t="s">
        <v>97</v>
      </c>
      <c r="AE22" s="59" t="s">
        <v>98</v>
      </c>
      <c r="AF22" s="59" t="s">
        <v>61</v>
      </c>
      <c r="AG22" s="59" t="s">
        <v>99</v>
      </c>
      <c r="AH22" s="59" t="s">
        <v>100</v>
      </c>
      <c r="AI22" s="59" t="s">
        <v>101</v>
      </c>
      <c r="AJ22" s="59" t="s">
        <v>102</v>
      </c>
      <c r="AK22" s="59" t="s">
        <v>59</v>
      </c>
      <c r="AL22" s="59" t="s">
        <v>60</v>
      </c>
      <c r="AM22" s="59" t="s">
        <v>103</v>
      </c>
      <c r="AN22" s="59" t="s">
        <v>104</v>
      </c>
      <c r="AO22" s="59" t="s">
        <v>105</v>
      </c>
    </row>
    <row r="23" spans="1:41" ht="12.75" customHeight="1">
      <c r="A23" t="s">
        <v>172</v>
      </c>
      <c r="B23" t="s">
        <v>172</v>
      </c>
      <c r="C23" s="49">
        <v>45</v>
      </c>
      <c r="D23" s="49">
        <v>3396.797458263016</v>
      </c>
      <c r="E23" s="49">
        <v>732.69</v>
      </c>
      <c r="F23" s="49">
        <v>0</v>
      </c>
      <c r="G23" s="49">
        <v>0</v>
      </c>
      <c r="H23" s="49" t="s">
        <v>169</v>
      </c>
      <c r="I23" s="49">
        <v>0.21</v>
      </c>
      <c r="J23" s="49">
        <v>0.4009999930858612</v>
      </c>
      <c r="K23" s="49">
        <v>3655.8032644555706</v>
      </c>
      <c r="L23" s="60">
        <v>0.7968999150739033</v>
      </c>
      <c r="M23" s="49">
        <v>1.987281617990634</v>
      </c>
      <c r="N23" s="49"/>
      <c r="O23" s="49"/>
      <c r="P23" s="49">
        <v>732.6938563435039</v>
      </c>
      <c r="Q23" s="49">
        <v>0</v>
      </c>
      <c r="R23" s="49">
        <v>0</v>
      </c>
      <c r="S23" s="49">
        <v>0</v>
      </c>
      <c r="T23" s="49">
        <v>0</v>
      </c>
      <c r="U23" s="49">
        <v>0</v>
      </c>
      <c r="V23" s="49">
        <v>732.6938563435039</v>
      </c>
      <c r="W23" s="49">
        <v>0</v>
      </c>
      <c r="X23" s="49">
        <v>732.6938563435039</v>
      </c>
      <c r="Y23" s="49">
        <v>0</v>
      </c>
      <c r="Z23" s="49">
        <v>0</v>
      </c>
      <c r="AA23" s="49">
        <v>10.866239547729492</v>
      </c>
      <c r="AB23" s="49">
        <v>0</v>
      </c>
      <c r="AC23" s="49">
        <v>10.866239500333936</v>
      </c>
      <c r="AD23" s="49">
        <v>1538.8365007962766</v>
      </c>
      <c r="AE23" s="49">
        <v>44.094609209130226</v>
      </c>
      <c r="AF23" s="49">
        <v>228.07669067382812</v>
      </c>
      <c r="AG23" s="49">
        <v>1809.0082832189878</v>
      </c>
      <c r="AH23" s="49">
        <v>732.6938563435039</v>
      </c>
      <c r="AI23" s="48">
        <v>2.4689824645818823</v>
      </c>
      <c r="AJ23" s="49">
        <v>733.0774536132812</v>
      </c>
      <c r="AK23" s="49">
        <v>0</v>
      </c>
      <c r="AL23" s="49">
        <v>0</v>
      </c>
      <c r="AM23" s="49">
        <v>2542.085693359375</v>
      </c>
      <c r="AN23" s="49">
        <v>732.6938563435039</v>
      </c>
      <c r="AO23" s="48">
        <v>3.469506025314331</v>
      </c>
    </row>
    <row r="24" spans="1:41" ht="12.75" customHeight="1">
      <c r="A24" t="s">
        <v>173</v>
      </c>
      <c r="B24" t="s">
        <v>173</v>
      </c>
      <c r="C24" s="49">
        <v>45</v>
      </c>
      <c r="D24" s="49">
        <v>1657.3455141747127</v>
      </c>
      <c r="E24" s="49">
        <v>510</v>
      </c>
      <c r="F24" s="49">
        <v>0</v>
      </c>
      <c r="G24" s="49">
        <v>0</v>
      </c>
      <c r="H24" s="49" t="s">
        <v>169</v>
      </c>
      <c r="I24" s="49">
        <v>0.21</v>
      </c>
      <c r="J24" s="49">
        <v>0.4009999930858612</v>
      </c>
      <c r="K24" s="49">
        <v>1783.7181096305344</v>
      </c>
      <c r="L24" s="60">
        <v>0.38881873756738955</v>
      </c>
      <c r="M24" s="49">
        <v>0.9696228036695665</v>
      </c>
      <c r="N24" s="49"/>
      <c r="O24" s="49"/>
      <c r="P24" s="49">
        <v>510.00010882472026</v>
      </c>
      <c r="Q24" s="49">
        <v>0</v>
      </c>
      <c r="R24" s="49">
        <v>0</v>
      </c>
      <c r="S24" s="49">
        <v>0</v>
      </c>
      <c r="T24" s="49">
        <v>0</v>
      </c>
      <c r="U24" s="49">
        <v>0</v>
      </c>
      <c r="V24" s="49">
        <v>510.00010882472026</v>
      </c>
      <c r="W24" s="49">
        <v>0</v>
      </c>
      <c r="X24" s="49">
        <v>510.00010882472026</v>
      </c>
      <c r="Y24" s="49">
        <v>0</v>
      </c>
      <c r="Z24" s="49">
        <v>0</v>
      </c>
      <c r="AA24" s="49">
        <v>15.501852035522461</v>
      </c>
      <c r="AB24" s="49">
        <v>0</v>
      </c>
      <c r="AC24" s="49">
        <v>15.501852007577556</v>
      </c>
      <c r="AD24" s="49">
        <v>750.8200895048889</v>
      </c>
      <c r="AE24" s="49">
        <v>21.51438337727945</v>
      </c>
      <c r="AF24" s="49">
        <v>111.28185272216797</v>
      </c>
      <c r="AG24" s="49">
        <v>882.6407327602021</v>
      </c>
      <c r="AH24" s="49">
        <v>510.00010882472026</v>
      </c>
      <c r="AI24" s="48">
        <v>1.7306677341583727</v>
      </c>
      <c r="AJ24" s="49">
        <v>357.678955078125</v>
      </c>
      <c r="AK24" s="49">
        <v>0</v>
      </c>
      <c r="AL24" s="49">
        <v>0</v>
      </c>
      <c r="AM24" s="49">
        <v>1240.3197021484375</v>
      </c>
      <c r="AN24" s="49">
        <v>510.00010882472026</v>
      </c>
      <c r="AO24" s="48">
        <v>2.4319989681243896</v>
      </c>
    </row>
    <row r="25" spans="1:41" ht="12.75" customHeight="1">
      <c r="A25" t="s">
        <v>171</v>
      </c>
      <c r="B25" t="s">
        <v>171</v>
      </c>
      <c r="C25" s="49">
        <v>45</v>
      </c>
      <c r="D25" s="49">
        <v>1838.4873614427452</v>
      </c>
      <c r="E25" s="49">
        <v>654.12</v>
      </c>
      <c r="F25" s="49">
        <v>0</v>
      </c>
      <c r="G25" s="49">
        <v>0</v>
      </c>
      <c r="H25" s="49" t="s">
        <v>169</v>
      </c>
      <c r="I25" s="49">
        <v>0.21</v>
      </c>
      <c r="J25" s="49">
        <v>0.4009999930858612</v>
      </c>
      <c r="K25" s="49">
        <v>1978.6720227527544</v>
      </c>
      <c r="L25" s="60">
        <v>0.4313152138742344</v>
      </c>
      <c r="M25" s="49">
        <v>1.0755990556385924</v>
      </c>
      <c r="N25" s="49"/>
      <c r="O25" s="49"/>
      <c r="P25" s="49">
        <v>654.1181395768792</v>
      </c>
      <c r="Q25" s="49">
        <v>0</v>
      </c>
      <c r="R25" s="49">
        <v>0</v>
      </c>
      <c r="S25" s="49">
        <v>0</v>
      </c>
      <c r="T25" s="49">
        <v>0</v>
      </c>
      <c r="U25" s="49">
        <v>0</v>
      </c>
      <c r="V25" s="49">
        <v>654.1181395768792</v>
      </c>
      <c r="W25" s="49">
        <v>0</v>
      </c>
      <c r="X25" s="49">
        <v>654.1181395768792</v>
      </c>
      <c r="Y25" s="49">
        <v>0</v>
      </c>
      <c r="Z25" s="49">
        <v>0</v>
      </c>
      <c r="AA25" s="49">
        <v>17.9234619140625</v>
      </c>
      <c r="AB25" s="49">
        <v>0</v>
      </c>
      <c r="AC25" s="49">
        <v>17.923462809416325</v>
      </c>
      <c r="AD25" s="49">
        <v>832.8819992368466</v>
      </c>
      <c r="AE25" s="49">
        <v>23.86582736675662</v>
      </c>
      <c r="AF25" s="49">
        <v>123.44454193115234</v>
      </c>
      <c r="AG25" s="49">
        <v>979.1101469349054</v>
      </c>
      <c r="AH25" s="49">
        <v>654.1181395768792</v>
      </c>
      <c r="AI25" s="48">
        <v>1.4968399249228121</v>
      </c>
      <c r="AJ25" s="49">
        <v>396.7718200683594</v>
      </c>
      <c r="AK25" s="49">
        <v>0</v>
      </c>
      <c r="AL25" s="49">
        <v>0</v>
      </c>
      <c r="AM25" s="49">
        <v>1375.8819580078125</v>
      </c>
      <c r="AN25" s="49">
        <v>654.1181395768792</v>
      </c>
      <c r="AO25" s="48">
        <v>2.103415012359619</v>
      </c>
    </row>
    <row r="26" spans="1:41" ht="12.75" customHeight="1">
      <c r="A26" t="s">
        <v>174</v>
      </c>
      <c r="B26" t="s">
        <v>174</v>
      </c>
      <c r="C26" s="49">
        <v>45</v>
      </c>
      <c r="D26" s="49">
        <v>441.6811706046374</v>
      </c>
      <c r="E26" s="49">
        <v>168.83</v>
      </c>
      <c r="F26" s="49">
        <v>0</v>
      </c>
      <c r="G26" s="49">
        <v>0</v>
      </c>
      <c r="H26" s="49" t="s">
        <v>169</v>
      </c>
      <c r="I26" s="49">
        <v>0.21</v>
      </c>
      <c r="J26" s="49">
        <v>0.4009999930858612</v>
      </c>
      <c r="K26" s="49">
        <v>475.35935986324097</v>
      </c>
      <c r="L26" s="60">
        <v>0.1036198630237329</v>
      </c>
      <c r="M26" s="49">
        <v>0.2584036528936948</v>
      </c>
      <c r="N26" s="49"/>
      <c r="O26" s="49"/>
      <c r="P26" s="49">
        <v>168.83113602548477</v>
      </c>
      <c r="Q26" s="49">
        <v>0</v>
      </c>
      <c r="R26" s="49">
        <v>0</v>
      </c>
      <c r="S26" s="49">
        <v>0</v>
      </c>
      <c r="T26" s="49">
        <v>0</v>
      </c>
      <c r="U26" s="49">
        <v>0</v>
      </c>
      <c r="V26" s="49">
        <v>168.83113602548477</v>
      </c>
      <c r="W26" s="49">
        <v>0</v>
      </c>
      <c r="X26" s="49">
        <v>168.83113602548477</v>
      </c>
      <c r="Y26" s="49">
        <v>0</v>
      </c>
      <c r="Z26" s="49">
        <v>0</v>
      </c>
      <c r="AA26" s="49">
        <v>19.256175994873047</v>
      </c>
      <c r="AB26" s="49">
        <v>0</v>
      </c>
      <c r="AC26" s="49">
        <v>19.256175367624028</v>
      </c>
      <c r="AD26" s="49">
        <v>200.09291557477846</v>
      </c>
      <c r="AE26" s="49">
        <v>5.733564880492394</v>
      </c>
      <c r="AF26" s="49">
        <v>29.656517028808594</v>
      </c>
      <c r="AG26" s="49">
        <v>235.22300282047712</v>
      </c>
      <c r="AH26" s="49">
        <v>168.83113602548477</v>
      </c>
      <c r="AI26" s="48">
        <v>1.393244210504931</v>
      </c>
      <c r="AJ26" s="49">
        <v>95.32112121582031</v>
      </c>
      <c r="AK26" s="49">
        <v>0</v>
      </c>
      <c r="AL26" s="49">
        <v>0</v>
      </c>
      <c r="AM26" s="49">
        <v>330.54412841796875</v>
      </c>
      <c r="AN26" s="49">
        <v>168.83113602548477</v>
      </c>
      <c r="AO26" s="48">
        <v>1.9578386545181274</v>
      </c>
    </row>
    <row r="27" spans="1:41" ht="12.75" customHeight="1">
      <c r="A27" t="s">
        <v>177</v>
      </c>
      <c r="B27" t="s">
        <v>177</v>
      </c>
      <c r="C27" s="49">
        <v>45</v>
      </c>
      <c r="D27" s="49">
        <v>653.7163712277197</v>
      </c>
      <c r="E27" s="49">
        <v>280.81</v>
      </c>
      <c r="F27" s="49">
        <v>0</v>
      </c>
      <c r="G27" s="49">
        <v>0</v>
      </c>
      <c r="H27" s="49" t="s">
        <v>169</v>
      </c>
      <c r="I27" s="49">
        <v>0.21</v>
      </c>
      <c r="J27" s="49">
        <v>0.4009999930858612</v>
      </c>
      <c r="K27" s="49">
        <v>703.5622445338333</v>
      </c>
      <c r="L27" s="60">
        <v>0.15336402217522296</v>
      </c>
      <c r="M27" s="49">
        <v>0.38245392723082916</v>
      </c>
      <c r="N27" s="49"/>
      <c r="O27" s="49"/>
      <c r="P27" s="49">
        <v>280.8096599196591</v>
      </c>
      <c r="Q27" s="49">
        <v>0</v>
      </c>
      <c r="R27" s="49">
        <v>0</v>
      </c>
      <c r="S27" s="49">
        <v>0</v>
      </c>
      <c r="T27" s="49">
        <v>0</v>
      </c>
      <c r="U27" s="49">
        <v>0</v>
      </c>
      <c r="V27" s="49">
        <v>280.8096599196591</v>
      </c>
      <c r="W27" s="49">
        <v>0</v>
      </c>
      <c r="X27" s="49">
        <v>280.8096599196591</v>
      </c>
      <c r="Y27" s="49">
        <v>0</v>
      </c>
      <c r="Z27" s="49">
        <v>0</v>
      </c>
      <c r="AA27" s="49">
        <v>21.639591217041016</v>
      </c>
      <c r="AB27" s="49">
        <v>0</v>
      </c>
      <c r="AC27" s="49">
        <v>21.639591449294212</v>
      </c>
      <c r="AD27" s="49">
        <v>296.1503079220124</v>
      </c>
      <c r="AE27" s="49">
        <v>8.486042596616025</v>
      </c>
      <c r="AF27" s="49">
        <v>43.89353942871094</v>
      </c>
      <c r="AG27" s="49">
        <v>348.14508122253903</v>
      </c>
      <c r="AH27" s="49">
        <v>280.8096599196591</v>
      </c>
      <c r="AI27" s="48">
        <v>1.2397902597871628</v>
      </c>
      <c r="AJ27" s="49">
        <v>141.0813446044922</v>
      </c>
      <c r="AK27" s="49">
        <v>0</v>
      </c>
      <c r="AL27" s="49">
        <v>0</v>
      </c>
      <c r="AM27" s="49">
        <v>489.2264404296875</v>
      </c>
      <c r="AN27" s="49">
        <v>280.8096599196591</v>
      </c>
      <c r="AO27" s="48">
        <v>1.742199420928955</v>
      </c>
    </row>
    <row r="28" spans="1:41" ht="12.75" customHeight="1">
      <c r="A28" t="s">
        <v>176</v>
      </c>
      <c r="B28" t="s">
        <v>176</v>
      </c>
      <c r="C28" s="49">
        <v>45</v>
      </c>
      <c r="D28" s="49">
        <v>370.04670459232875</v>
      </c>
      <c r="E28" s="49">
        <v>212.5</v>
      </c>
      <c r="F28" s="49">
        <v>0</v>
      </c>
      <c r="G28" s="49">
        <v>0</v>
      </c>
      <c r="H28" s="49" t="s">
        <v>169</v>
      </c>
      <c r="I28" s="49">
        <v>0.21</v>
      </c>
      <c r="J28" s="49">
        <v>0.4009999930858612</v>
      </c>
      <c r="K28" s="49">
        <v>398.2627658174938</v>
      </c>
      <c r="L28" s="60">
        <v>0.08681418044094964</v>
      </c>
      <c r="M28" s="49">
        <v>0.21649421929631105</v>
      </c>
      <c r="N28" s="49"/>
      <c r="O28" s="49"/>
      <c r="P28" s="49">
        <v>212.50004534363345</v>
      </c>
      <c r="Q28" s="49">
        <v>0</v>
      </c>
      <c r="R28" s="49">
        <v>0</v>
      </c>
      <c r="S28" s="49">
        <v>0</v>
      </c>
      <c r="T28" s="49">
        <v>0</v>
      </c>
      <c r="U28" s="49">
        <v>0</v>
      </c>
      <c r="V28" s="49">
        <v>212.50004534363345</v>
      </c>
      <c r="W28" s="49">
        <v>0</v>
      </c>
      <c r="X28" s="49">
        <v>212.50004534363345</v>
      </c>
      <c r="Y28" s="49">
        <v>0</v>
      </c>
      <c r="Z28" s="49">
        <v>0</v>
      </c>
      <c r="AA28" s="49">
        <v>28.928695678710938</v>
      </c>
      <c r="AB28" s="49">
        <v>0</v>
      </c>
      <c r="AC28" s="49">
        <v>28.928696215142942</v>
      </c>
      <c r="AD28" s="49">
        <v>167.64066242478935</v>
      </c>
      <c r="AE28" s="49">
        <v>4.803661398306944</v>
      </c>
      <c r="AF28" s="49">
        <v>24.846649169921875</v>
      </c>
      <c r="AG28" s="49">
        <v>197.07314580254518</v>
      </c>
      <c r="AH28" s="49">
        <v>212.50004534363345</v>
      </c>
      <c r="AI28" s="69">
        <v>0.9274028411799091</v>
      </c>
      <c r="AJ28" s="49">
        <v>79.86138916015625</v>
      </c>
      <c r="AK28" s="49">
        <v>0</v>
      </c>
      <c r="AL28" s="49">
        <v>0</v>
      </c>
      <c r="AM28" s="49">
        <v>276.9345397949219</v>
      </c>
      <c r="AN28" s="49">
        <v>212.50004534363345</v>
      </c>
      <c r="AO28" s="48">
        <v>1.3032211065292358</v>
      </c>
    </row>
    <row r="29" spans="1:41" ht="12.75" customHeight="1">
      <c r="A29" t="s">
        <v>488</v>
      </c>
      <c r="B29" t="s">
        <v>488</v>
      </c>
      <c r="C29" s="49">
        <v>45</v>
      </c>
      <c r="D29" s="49">
        <v>2502.0590485712682</v>
      </c>
      <c r="E29" s="49">
        <v>1505.16</v>
      </c>
      <c r="F29" s="49">
        <v>0</v>
      </c>
      <c r="G29" s="49">
        <v>0</v>
      </c>
      <c r="H29" s="49" t="s">
        <v>169</v>
      </c>
      <c r="I29" s="49">
        <v>0.21</v>
      </c>
      <c r="J29" s="49">
        <v>0.4009999930858612</v>
      </c>
      <c r="K29" s="49">
        <v>2692.8410510248273</v>
      </c>
      <c r="L29" s="60">
        <v>0.5869913257459659</v>
      </c>
      <c r="M29" s="49">
        <v>1.463818792685816</v>
      </c>
      <c r="N29" s="49"/>
      <c r="O29" s="49"/>
      <c r="P29" s="49">
        <v>1505.1626211742475</v>
      </c>
      <c r="Q29" s="49">
        <v>0</v>
      </c>
      <c r="R29" s="49">
        <v>0</v>
      </c>
      <c r="S29" s="49">
        <v>0</v>
      </c>
      <c r="T29" s="49">
        <v>0</v>
      </c>
      <c r="U29" s="49">
        <v>0</v>
      </c>
      <c r="V29" s="49">
        <v>1505.1626211742475</v>
      </c>
      <c r="W29" s="49">
        <v>0</v>
      </c>
      <c r="X29" s="49">
        <v>1505.1626211742475</v>
      </c>
      <c r="Y29" s="49">
        <v>0</v>
      </c>
      <c r="Z29" s="49">
        <v>0</v>
      </c>
      <c r="AA29" s="49">
        <v>30.30485725402832</v>
      </c>
      <c r="AB29" s="49">
        <v>0</v>
      </c>
      <c r="AC29" s="49">
        <v>30.304857391911685</v>
      </c>
      <c r="AD29" s="49">
        <v>1133.4970184115552</v>
      </c>
      <c r="AE29" s="49">
        <v>32.47980408620982</v>
      </c>
      <c r="AF29" s="49">
        <v>167.99981689453125</v>
      </c>
      <c r="AG29" s="49">
        <v>1332.5038077573051</v>
      </c>
      <c r="AH29" s="49">
        <v>1505.1626211742475</v>
      </c>
      <c r="AI29" s="69">
        <v>0.8852889309181468</v>
      </c>
      <c r="AJ29" s="49">
        <v>539.9801025390625</v>
      </c>
      <c r="AK29" s="49">
        <v>0</v>
      </c>
      <c r="AL29" s="49">
        <v>0</v>
      </c>
      <c r="AM29" s="49">
        <v>1872.48388671875</v>
      </c>
      <c r="AN29" s="49">
        <v>1505.1626211742475</v>
      </c>
      <c r="AO29" s="48">
        <v>1.2440409660339355</v>
      </c>
    </row>
    <row r="30" spans="1:41" ht="12.75" customHeight="1">
      <c r="A30" t="s">
        <v>179</v>
      </c>
      <c r="B30" t="s">
        <v>179</v>
      </c>
      <c r="C30" s="49">
        <v>45</v>
      </c>
      <c r="D30" s="49">
        <v>114.46932317609026</v>
      </c>
      <c r="E30" s="49">
        <v>110.5</v>
      </c>
      <c r="F30" s="49">
        <v>0</v>
      </c>
      <c r="G30" s="49">
        <v>0</v>
      </c>
      <c r="H30" s="49" t="s">
        <v>169</v>
      </c>
      <c r="I30" s="49">
        <v>0.21</v>
      </c>
      <c r="J30" s="49">
        <v>0.4009999930858612</v>
      </c>
      <c r="K30" s="49">
        <v>123.19760906826713</v>
      </c>
      <c r="L30" s="60">
        <v>0.02685488170502813</v>
      </c>
      <c r="M30" s="49">
        <v>0.06696978096774686</v>
      </c>
      <c r="N30" s="49"/>
      <c r="O30" s="49"/>
      <c r="P30" s="49">
        <v>110.5000235786894</v>
      </c>
      <c r="Q30" s="49">
        <v>0</v>
      </c>
      <c r="R30" s="49">
        <v>0</v>
      </c>
      <c r="S30" s="49">
        <v>0</v>
      </c>
      <c r="T30" s="49">
        <v>0</v>
      </c>
      <c r="U30" s="49">
        <v>0</v>
      </c>
      <c r="V30" s="49">
        <v>110.5000235786894</v>
      </c>
      <c r="W30" s="49">
        <v>0</v>
      </c>
      <c r="X30" s="49">
        <v>110.5000235786894</v>
      </c>
      <c r="Y30" s="49">
        <v>0</v>
      </c>
      <c r="Z30" s="49">
        <v>0</v>
      </c>
      <c r="AA30" s="49">
        <v>48.62948226928711</v>
      </c>
      <c r="AB30" s="49">
        <v>0</v>
      </c>
      <c r="AC30" s="49">
        <v>48.62948055324182</v>
      </c>
      <c r="AD30" s="49">
        <v>51.8575437273463</v>
      </c>
      <c r="AE30" s="49">
        <v>1.4859526168111328</v>
      </c>
      <c r="AF30" s="49">
        <v>7.685999393463135</v>
      </c>
      <c r="AG30" s="49">
        <v>60.96211361867895</v>
      </c>
      <c r="AH30" s="49">
        <v>110.5000235786894</v>
      </c>
      <c r="AI30" s="69">
        <v>0.5516932181943521</v>
      </c>
      <c r="AJ30" s="49">
        <v>24.704116821289062</v>
      </c>
      <c r="AK30" s="49">
        <v>0</v>
      </c>
      <c r="AL30" s="49">
        <v>0</v>
      </c>
      <c r="AM30" s="49">
        <v>85.66622924804688</v>
      </c>
      <c r="AN30" s="49">
        <v>110.5000235786894</v>
      </c>
      <c r="AO30" s="69">
        <v>0.7752598524093628</v>
      </c>
    </row>
    <row r="31" spans="1:41" ht="12.75" customHeight="1">
      <c r="A31" t="s">
        <v>490</v>
      </c>
      <c r="B31" t="s">
        <v>490</v>
      </c>
      <c r="C31" s="49">
        <v>45</v>
      </c>
      <c r="D31" s="49">
        <v>412.0895634339231</v>
      </c>
      <c r="E31" s="49">
        <v>425</v>
      </c>
      <c r="F31" s="49">
        <v>0</v>
      </c>
      <c r="G31" s="49">
        <v>0</v>
      </c>
      <c r="H31" s="49" t="s">
        <v>169</v>
      </c>
      <c r="I31" s="49">
        <v>0.21</v>
      </c>
      <c r="J31" s="49">
        <v>0.4009999930858612</v>
      </c>
      <c r="K31" s="49">
        <v>443.51139264575977</v>
      </c>
      <c r="L31" s="60">
        <v>0.09667757413810087</v>
      </c>
      <c r="M31" s="49">
        <v>0.24109121148388768</v>
      </c>
      <c r="N31" s="49"/>
      <c r="O31" s="49"/>
      <c r="P31" s="49">
        <v>425.0000906872669</v>
      </c>
      <c r="Q31" s="49">
        <v>0</v>
      </c>
      <c r="R31" s="49">
        <v>0</v>
      </c>
      <c r="S31" s="49">
        <v>0</v>
      </c>
      <c r="T31" s="49">
        <v>0</v>
      </c>
      <c r="U31" s="49">
        <v>0</v>
      </c>
      <c r="V31" s="49">
        <v>425.0000906872669</v>
      </c>
      <c r="W31" s="49">
        <v>0</v>
      </c>
      <c r="X31" s="49">
        <v>425.0000906872669</v>
      </c>
      <c r="Y31" s="49">
        <v>0</v>
      </c>
      <c r="Z31" s="49">
        <v>0</v>
      </c>
      <c r="AA31" s="49">
        <v>51.95457458496094</v>
      </c>
      <c r="AB31" s="49">
        <v>0</v>
      </c>
      <c r="AC31" s="49">
        <v>51.95457324064319</v>
      </c>
      <c r="AD31" s="49">
        <v>186.68715741844608</v>
      </c>
      <c r="AE31" s="49">
        <v>5.349429420520056</v>
      </c>
      <c r="AF31" s="49">
        <v>27.669597625732422</v>
      </c>
      <c r="AG31" s="49">
        <v>219.46360883650874</v>
      </c>
      <c r="AH31" s="49">
        <v>425.0000906872669</v>
      </c>
      <c r="AI31" s="69">
        <v>0.5163848517811244</v>
      </c>
      <c r="AJ31" s="49">
        <v>88.934814453125</v>
      </c>
      <c r="AK31" s="49">
        <v>0</v>
      </c>
      <c r="AL31" s="49">
        <v>0</v>
      </c>
      <c r="AM31" s="49">
        <v>308.3984375</v>
      </c>
      <c r="AN31" s="49">
        <v>425.0000906872669</v>
      </c>
      <c r="AO31" s="69">
        <v>0.7256432175636292</v>
      </c>
    </row>
    <row r="32" spans="1:41" ht="12.75" customHeight="1">
      <c r="A32" t="s">
        <v>178</v>
      </c>
      <c r="B32" t="s">
        <v>178</v>
      </c>
      <c r="C32" s="49">
        <v>45</v>
      </c>
      <c r="D32" s="49">
        <v>142.96605845297063</v>
      </c>
      <c r="E32" s="49">
        <v>154.67</v>
      </c>
      <c r="F32" s="49">
        <v>0</v>
      </c>
      <c r="G32" s="49">
        <v>0</v>
      </c>
      <c r="H32" s="49" t="s">
        <v>169</v>
      </c>
      <c r="I32" s="49">
        <v>0.21</v>
      </c>
      <c r="J32" s="49">
        <v>0.4009999930858612</v>
      </c>
      <c r="K32" s="49">
        <v>153.86722041000962</v>
      </c>
      <c r="L32" s="60">
        <v>0.03354031002421969</v>
      </c>
      <c r="M32" s="49">
        <v>0.08364167232551079</v>
      </c>
      <c r="N32" s="49"/>
      <c r="O32" s="49"/>
      <c r="P32" s="49">
        <v>154.67313300442518</v>
      </c>
      <c r="Q32" s="49">
        <v>0</v>
      </c>
      <c r="R32" s="49">
        <v>0</v>
      </c>
      <c r="S32" s="49">
        <v>0</v>
      </c>
      <c r="T32" s="49">
        <v>0</v>
      </c>
      <c r="U32" s="49">
        <v>0</v>
      </c>
      <c r="V32" s="49">
        <v>154.67313300442518</v>
      </c>
      <c r="W32" s="49">
        <v>0</v>
      </c>
      <c r="X32" s="49">
        <v>154.67313300442518</v>
      </c>
      <c r="Y32" s="49">
        <v>0</v>
      </c>
      <c r="Z32" s="49">
        <v>0</v>
      </c>
      <c r="AA32" s="49">
        <v>54.50148391723633</v>
      </c>
      <c r="AB32" s="49">
        <v>0</v>
      </c>
      <c r="AC32" s="49">
        <v>54.50148221673498</v>
      </c>
      <c r="AD32" s="49">
        <v>64.76729679222777</v>
      </c>
      <c r="AE32" s="49">
        <v>1.8558752928639537</v>
      </c>
      <c r="AF32" s="49">
        <v>9.599401473999023</v>
      </c>
      <c r="AG32" s="49">
        <v>76.13841689870347</v>
      </c>
      <c r="AH32" s="49">
        <v>154.67313300442518</v>
      </c>
      <c r="AI32" s="69">
        <v>0.49225366694114325</v>
      </c>
      <c r="AJ32" s="49">
        <v>30.854116439819336</v>
      </c>
      <c r="AK32" s="49">
        <v>0</v>
      </c>
      <c r="AL32" s="49">
        <v>0</v>
      </c>
      <c r="AM32" s="49">
        <v>106.9925308227539</v>
      </c>
      <c r="AN32" s="49">
        <v>154.67313300442518</v>
      </c>
      <c r="AO32" s="69">
        <v>0.6917331218719482</v>
      </c>
    </row>
    <row r="33" spans="1:41" ht="12.75" customHeight="1">
      <c r="A33" t="s">
        <v>500</v>
      </c>
      <c r="B33" t="s">
        <v>489</v>
      </c>
      <c r="C33" s="49">
        <v>45</v>
      </c>
      <c r="D33" s="49">
        <v>290.86014723118114</v>
      </c>
      <c r="E33" s="49">
        <v>451.2</v>
      </c>
      <c r="F33" s="49">
        <v>0</v>
      </c>
      <c r="G33" s="49">
        <v>0</v>
      </c>
      <c r="H33" s="49" t="s">
        <v>169</v>
      </c>
      <c r="I33" s="49">
        <v>0.21</v>
      </c>
      <c r="J33" s="49">
        <v>0.4009999930858612</v>
      </c>
      <c r="K33" s="49">
        <v>313.0382334575587</v>
      </c>
      <c r="L33" s="60">
        <v>0.068236752257062</v>
      </c>
      <c r="M33" s="49">
        <v>0.17016646741550268</v>
      </c>
      <c r="N33" s="49"/>
      <c r="O33" s="49"/>
      <c r="P33" s="49">
        <v>451.20009627787016</v>
      </c>
      <c r="Q33" s="49">
        <v>0</v>
      </c>
      <c r="R33" s="49">
        <v>0</v>
      </c>
      <c r="S33" s="49">
        <v>0</v>
      </c>
      <c r="T33" s="49">
        <v>0</v>
      </c>
      <c r="U33" s="49">
        <v>0</v>
      </c>
      <c r="V33" s="49">
        <v>451.20009627787016</v>
      </c>
      <c r="W33" s="49">
        <v>0</v>
      </c>
      <c r="X33" s="49">
        <v>451.20009627787016</v>
      </c>
      <c r="Y33" s="49">
        <v>0</v>
      </c>
      <c r="Z33" s="49">
        <v>0</v>
      </c>
      <c r="AA33" s="49">
        <v>78.1468276977539</v>
      </c>
      <c r="AB33" s="49">
        <v>0</v>
      </c>
      <c r="AC33" s="49">
        <v>78.14682517398525</v>
      </c>
      <c r="AD33" s="49">
        <v>131.76711790616974</v>
      </c>
      <c r="AE33" s="49">
        <v>3.7757224810299346</v>
      </c>
      <c r="AF33" s="49">
        <v>19.529695510864258</v>
      </c>
      <c r="AG33" s="49">
        <v>154.9013217029214</v>
      </c>
      <c r="AH33" s="49">
        <v>451.20009627787016</v>
      </c>
      <c r="AI33" s="69">
        <v>0.343309593638752</v>
      </c>
      <c r="AJ33" s="49">
        <v>62.771785736083984</v>
      </c>
      <c r="AK33" s="49">
        <v>0</v>
      </c>
      <c r="AL33" s="49">
        <v>0</v>
      </c>
      <c r="AM33" s="49">
        <v>217.67311096191406</v>
      </c>
      <c r="AN33" s="49">
        <v>451.20009627787016</v>
      </c>
      <c r="AO33" s="69">
        <v>0.48243144154548645</v>
      </c>
    </row>
    <row r="34" spans="1:41" ht="12.75" customHeight="1">
      <c r="A34" t="s">
        <v>180</v>
      </c>
      <c r="B34" t="s">
        <v>180</v>
      </c>
      <c r="C34" s="49">
        <v>45</v>
      </c>
      <c r="D34" s="49">
        <v>364.5499912100754</v>
      </c>
      <c r="E34" s="49">
        <v>600.47</v>
      </c>
      <c r="F34" s="49">
        <v>0</v>
      </c>
      <c r="G34" s="49">
        <v>0</v>
      </c>
      <c r="H34" s="49" t="s">
        <v>169</v>
      </c>
      <c r="I34" s="49">
        <v>0.21</v>
      </c>
      <c r="J34" s="49">
        <v>0.4009999930858612</v>
      </c>
      <c r="K34" s="49">
        <v>392.3469280398436</v>
      </c>
      <c r="L34" s="60">
        <v>0.08552463330682548</v>
      </c>
      <c r="M34" s="49">
        <v>0.21327839097621418</v>
      </c>
      <c r="N34" s="49"/>
      <c r="O34" s="49"/>
      <c r="P34" s="49">
        <v>600.4689281291161</v>
      </c>
      <c r="Q34" s="49">
        <v>0</v>
      </c>
      <c r="R34" s="49">
        <v>0</v>
      </c>
      <c r="S34" s="49">
        <v>0</v>
      </c>
      <c r="T34" s="49">
        <v>0</v>
      </c>
      <c r="U34" s="49">
        <v>0</v>
      </c>
      <c r="V34" s="49">
        <v>600.4689281291161</v>
      </c>
      <c r="W34" s="49">
        <v>0</v>
      </c>
      <c r="X34" s="49">
        <v>600.4689281291161</v>
      </c>
      <c r="Y34" s="49">
        <v>0</v>
      </c>
      <c r="Z34" s="49">
        <v>0</v>
      </c>
      <c r="AA34" s="49">
        <v>82.97740173339844</v>
      </c>
      <c r="AB34" s="49">
        <v>0</v>
      </c>
      <c r="AC34" s="49">
        <v>82.97739989973232</v>
      </c>
      <c r="AD34" s="49">
        <v>165.15051007070917</v>
      </c>
      <c r="AE34" s="49">
        <v>4.732307297421281</v>
      </c>
      <c r="AF34" s="49">
        <v>24.477571487426758</v>
      </c>
      <c r="AG34" s="49">
        <v>194.14579729350095</v>
      </c>
      <c r="AH34" s="49">
        <v>600.4689281291161</v>
      </c>
      <c r="AI34" s="69">
        <v>0.3233236362427644</v>
      </c>
      <c r="AJ34" s="49">
        <v>78.67509460449219</v>
      </c>
      <c r="AK34" s="49">
        <v>0</v>
      </c>
      <c r="AL34" s="49">
        <v>0</v>
      </c>
      <c r="AM34" s="49">
        <v>272.8208923339844</v>
      </c>
      <c r="AN34" s="49">
        <v>600.4689281291161</v>
      </c>
      <c r="AO34" s="69">
        <v>0.4543463885784149</v>
      </c>
    </row>
    <row r="35" spans="1:41" ht="12.75" customHeight="1">
      <c r="A35"/>
      <c r="B35"/>
      <c r="C35" s="49"/>
      <c r="D35" s="49"/>
      <c r="E35" s="49"/>
      <c r="F35" s="49"/>
      <c r="G35" s="49"/>
      <c r="H35" s="49"/>
      <c r="I35" s="49"/>
      <c r="J35" s="49"/>
      <c r="K35" s="49"/>
      <c r="L35" s="60"/>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61"/>
    </row>
    <row r="36" spans="1:41" ht="12.75" customHeight="1" thickBot="1">
      <c r="A36"/>
      <c r="B36"/>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row>
    <row r="37" spans="1:41" ht="12.75" customHeight="1" thickBot="1">
      <c r="A37" s="62" t="s">
        <v>137</v>
      </c>
      <c r="B37" s="71"/>
      <c r="C37" s="72" t="s">
        <v>106</v>
      </c>
      <c r="D37" s="63"/>
      <c r="E37" s="63"/>
      <c r="F37" s="63"/>
      <c r="G37" s="63"/>
      <c r="H37" s="63"/>
      <c r="I37" s="63"/>
      <c r="J37" s="64"/>
      <c r="K37" s="72" t="s">
        <v>50</v>
      </c>
      <c r="L37" s="63"/>
      <c r="M37" s="64"/>
      <c r="N37" s="72" t="s">
        <v>107</v>
      </c>
      <c r="O37" s="63"/>
      <c r="P37" s="63"/>
      <c r="Q37" s="63"/>
      <c r="R37" s="73" t="s">
        <v>108</v>
      </c>
      <c r="S37" s="72" t="s">
        <v>84</v>
      </c>
      <c r="T37" s="63"/>
      <c r="U37" s="63"/>
      <c r="V37" s="63"/>
      <c r="W37" s="63"/>
      <c r="X37" s="64"/>
      <c r="Y37" s="72" t="s">
        <v>85</v>
      </c>
      <c r="Z37" s="63"/>
      <c r="AA37" s="63"/>
      <c r="AB37" s="63"/>
      <c r="AC37" s="63"/>
      <c r="AD37" s="64"/>
      <c r="AE37" s="49"/>
      <c r="AF37" s="49"/>
      <c r="AG37" s="49"/>
      <c r="AH37" s="49"/>
      <c r="AI37" s="49"/>
      <c r="AJ37" s="49"/>
      <c r="AK37" s="49"/>
      <c r="AL37" s="49"/>
      <c r="AM37" s="49"/>
      <c r="AN37" s="49"/>
      <c r="AO37" s="49"/>
    </row>
    <row r="38" spans="1:41" ht="51">
      <c r="A38" s="57"/>
      <c r="B38" s="58" t="s">
        <v>56</v>
      </c>
      <c r="C38" s="59" t="s">
        <v>109</v>
      </c>
      <c r="D38" s="59" t="s">
        <v>87</v>
      </c>
      <c r="E38" s="59" t="s">
        <v>88</v>
      </c>
      <c r="F38" s="59" t="s">
        <v>89</v>
      </c>
      <c r="G38" s="59" t="s">
        <v>90</v>
      </c>
      <c r="H38" s="59" t="s">
        <v>91</v>
      </c>
      <c r="I38" s="59" t="s">
        <v>110</v>
      </c>
      <c r="J38" s="59" t="s">
        <v>111</v>
      </c>
      <c r="K38" s="59" t="s">
        <v>94</v>
      </c>
      <c r="L38" s="59" t="s">
        <v>95</v>
      </c>
      <c r="M38" s="59" t="s">
        <v>96</v>
      </c>
      <c r="N38" s="59" t="s">
        <v>51</v>
      </c>
      <c r="O38" s="59" t="s">
        <v>112</v>
      </c>
      <c r="P38" s="59" t="s">
        <v>113</v>
      </c>
      <c r="Q38" s="59" t="s">
        <v>114</v>
      </c>
      <c r="R38" s="59" t="s">
        <v>115</v>
      </c>
      <c r="S38" s="59" t="s">
        <v>97</v>
      </c>
      <c r="T38" s="59" t="s">
        <v>98</v>
      </c>
      <c r="U38" s="59" t="s">
        <v>61</v>
      </c>
      <c r="V38" s="59" t="s">
        <v>99</v>
      </c>
      <c r="W38" s="59" t="s">
        <v>100</v>
      </c>
      <c r="X38" s="59" t="s">
        <v>101</v>
      </c>
      <c r="Y38" s="59" t="s">
        <v>102</v>
      </c>
      <c r="Z38" s="59" t="s">
        <v>59</v>
      </c>
      <c r="AA38" s="59" t="s">
        <v>60</v>
      </c>
      <c r="AB38" s="59" t="s">
        <v>103</v>
      </c>
      <c r="AC38" s="59" t="s">
        <v>104</v>
      </c>
      <c r="AD38" s="59" t="s">
        <v>105</v>
      </c>
      <c r="AE38" s="49"/>
      <c r="AF38" s="49"/>
      <c r="AG38" s="49"/>
      <c r="AH38" s="49"/>
      <c r="AI38" s="49"/>
      <c r="AJ38" s="49"/>
      <c r="AK38" s="49"/>
      <c r="AL38" s="49"/>
      <c r="AM38" s="49"/>
      <c r="AN38" s="49"/>
      <c r="AO38" s="49"/>
    </row>
    <row r="39" spans="1:41" ht="12.75" customHeight="1">
      <c r="A39"/>
      <c r="B39" t="s">
        <v>172</v>
      </c>
      <c r="C39" s="49">
        <v>45</v>
      </c>
      <c r="D39" s="49">
        <v>3396.797458263016</v>
      </c>
      <c r="E39" s="49">
        <v>732.69</v>
      </c>
      <c r="F39" s="49">
        <v>0</v>
      </c>
      <c r="G39" s="49">
        <v>0</v>
      </c>
      <c r="H39" s="49"/>
      <c r="I39" s="49">
        <v>0.21</v>
      </c>
      <c r="J39" s="49">
        <v>0.4009999930858612</v>
      </c>
      <c r="K39" s="49">
        <v>3655.8032644555706</v>
      </c>
      <c r="L39" s="49">
        <v>0.7968999150739033</v>
      </c>
      <c r="M39" s="49">
        <v>1.9872815608978271</v>
      </c>
      <c r="N39" s="49">
        <v>732.6938563435039</v>
      </c>
      <c r="O39" s="49">
        <v>0</v>
      </c>
      <c r="P39" s="49">
        <v>0</v>
      </c>
      <c r="Q39" s="49">
        <v>732.69384765625</v>
      </c>
      <c r="R39" s="49">
        <v>10.866239777019695</v>
      </c>
      <c r="S39" s="49">
        <v>1538.8365007962766</v>
      </c>
      <c r="T39" s="49">
        <v>44.094608306884766</v>
      </c>
      <c r="U39" s="49">
        <v>228.07669067382812</v>
      </c>
      <c r="V39" s="49">
        <v>1809.0082832189878</v>
      </c>
      <c r="W39" s="49">
        <v>732.6938563435039</v>
      </c>
      <c r="X39" s="48">
        <v>2.4689824645818823</v>
      </c>
      <c r="Y39" s="60">
        <v>733.0774536132812</v>
      </c>
      <c r="Z39" s="60">
        <v>0</v>
      </c>
      <c r="AA39" s="60">
        <v>0</v>
      </c>
      <c r="AB39" s="60">
        <v>2542.085693359375</v>
      </c>
      <c r="AC39" s="60">
        <v>732.69384765625</v>
      </c>
      <c r="AD39" s="48">
        <v>3.469506025314331</v>
      </c>
      <c r="AE39" s="60"/>
      <c r="AF39" s="60"/>
      <c r="AG39" s="60"/>
      <c r="AH39" s="60"/>
      <c r="AI39" s="60"/>
      <c r="AJ39" s="60"/>
      <c r="AK39" s="60"/>
      <c r="AL39" s="49"/>
      <c r="AM39" s="49"/>
      <c r="AN39" s="49"/>
      <c r="AO39" s="49"/>
    </row>
    <row r="40" spans="1:41" ht="12.75" customHeight="1">
      <c r="A40"/>
      <c r="B40" t="s">
        <v>173</v>
      </c>
      <c r="C40" s="49">
        <v>45</v>
      </c>
      <c r="D40" s="49">
        <v>1657.3455141747127</v>
      </c>
      <c r="E40" s="49">
        <v>510</v>
      </c>
      <c r="F40" s="49">
        <v>0</v>
      </c>
      <c r="G40" s="49">
        <v>0</v>
      </c>
      <c r="H40" s="49"/>
      <c r="I40" s="49">
        <v>0.21</v>
      </c>
      <c r="J40" s="49">
        <v>0.4009999930858612</v>
      </c>
      <c r="K40" s="49">
        <v>1783.7181096305344</v>
      </c>
      <c r="L40" s="49">
        <v>0.38881873756738955</v>
      </c>
      <c r="M40" s="49">
        <v>0.969622790813446</v>
      </c>
      <c r="N40" s="49">
        <v>510.00010882472026</v>
      </c>
      <c r="O40" s="49">
        <v>0</v>
      </c>
      <c r="P40" s="49">
        <v>0</v>
      </c>
      <c r="Q40" s="49">
        <v>510.0001220703125</v>
      </c>
      <c r="R40" s="49">
        <v>15.50185249923783</v>
      </c>
      <c r="S40" s="49">
        <v>750.8200895048889</v>
      </c>
      <c r="T40" s="49">
        <v>21.51438331604004</v>
      </c>
      <c r="U40" s="49">
        <v>111.28185272216797</v>
      </c>
      <c r="V40" s="49">
        <v>882.6407327602021</v>
      </c>
      <c r="W40" s="49">
        <v>510.00010882472026</v>
      </c>
      <c r="X40" s="48">
        <v>1.7306677341583727</v>
      </c>
      <c r="Y40" s="60">
        <v>357.678955078125</v>
      </c>
      <c r="Z40" s="60">
        <v>0</v>
      </c>
      <c r="AA40" s="60">
        <v>0</v>
      </c>
      <c r="AB40" s="60">
        <v>1240.3197021484375</v>
      </c>
      <c r="AC40" s="60">
        <v>510.0001220703125</v>
      </c>
      <c r="AD40" s="48">
        <v>2.4319987297058105</v>
      </c>
      <c r="AE40" s="60"/>
      <c r="AF40" s="60"/>
      <c r="AG40" s="60"/>
      <c r="AH40" s="60"/>
      <c r="AI40" s="60"/>
      <c r="AJ40" s="60"/>
      <c r="AK40" s="60"/>
      <c r="AL40" s="49"/>
      <c r="AM40" s="49"/>
      <c r="AN40" s="49"/>
      <c r="AO40" s="49"/>
    </row>
    <row r="41" spans="1:41" ht="12.75" customHeight="1">
      <c r="A41"/>
      <c r="B41" t="s">
        <v>171</v>
      </c>
      <c r="C41" s="49">
        <v>45</v>
      </c>
      <c r="D41" s="49">
        <v>1838.4873614427452</v>
      </c>
      <c r="E41" s="49">
        <v>654.12</v>
      </c>
      <c r="F41" s="49">
        <v>0</v>
      </c>
      <c r="G41" s="49">
        <v>0</v>
      </c>
      <c r="H41" s="49"/>
      <c r="I41" s="49">
        <v>0.21</v>
      </c>
      <c r="J41" s="49">
        <v>0.4009999930858612</v>
      </c>
      <c r="K41" s="49">
        <v>1978.6720227527544</v>
      </c>
      <c r="L41" s="49">
        <v>0.4313152138742344</v>
      </c>
      <c r="M41" s="49">
        <v>1.0755990743637085</v>
      </c>
      <c r="N41" s="49">
        <v>654.1181395768792</v>
      </c>
      <c r="O41" s="49">
        <v>0</v>
      </c>
      <c r="P41" s="49">
        <v>0</v>
      </c>
      <c r="Q41" s="49">
        <v>654.1181640625</v>
      </c>
      <c r="R41" s="49">
        <v>17.92346412255568</v>
      </c>
      <c r="S41" s="49">
        <v>832.8819992368466</v>
      </c>
      <c r="T41" s="49">
        <v>23.865827560424805</v>
      </c>
      <c r="U41" s="49">
        <v>123.44454193115234</v>
      </c>
      <c r="V41" s="49">
        <v>979.1101469349054</v>
      </c>
      <c r="W41" s="49">
        <v>654.1181395768792</v>
      </c>
      <c r="X41" s="48">
        <v>1.4968399249228121</v>
      </c>
      <c r="Y41" s="60">
        <v>396.7718200683594</v>
      </c>
      <c r="Z41" s="60">
        <v>0</v>
      </c>
      <c r="AA41" s="60">
        <v>0</v>
      </c>
      <c r="AB41" s="60">
        <v>1375.8819580078125</v>
      </c>
      <c r="AC41" s="60">
        <v>654.1181640625</v>
      </c>
      <c r="AD41" s="48">
        <v>2.103415012359619</v>
      </c>
      <c r="AE41" s="60"/>
      <c r="AF41" s="60"/>
      <c r="AG41" s="60"/>
      <c r="AH41" s="60"/>
      <c r="AI41" s="60"/>
      <c r="AJ41" s="60"/>
      <c r="AK41" s="60"/>
      <c r="AL41" s="49"/>
      <c r="AM41" s="49"/>
      <c r="AN41" s="49"/>
      <c r="AO41" s="49"/>
    </row>
    <row r="42" spans="1:41" ht="12.75" customHeight="1">
      <c r="A42"/>
      <c r="B42" t="s">
        <v>174</v>
      </c>
      <c r="C42" s="49">
        <v>45</v>
      </c>
      <c r="D42" s="49">
        <v>441.6811706046374</v>
      </c>
      <c r="E42" s="49">
        <v>168.83</v>
      </c>
      <c r="F42" s="49">
        <v>0</v>
      </c>
      <c r="G42" s="49">
        <v>0</v>
      </c>
      <c r="H42" s="49"/>
      <c r="I42" s="49">
        <v>0.21</v>
      </c>
      <c r="J42" s="49">
        <v>0.4009999930858612</v>
      </c>
      <c r="K42" s="49">
        <v>475.35935986324097</v>
      </c>
      <c r="L42" s="49">
        <v>0.1036198630237329</v>
      </c>
      <c r="M42" s="49">
        <v>0.2584036588668823</v>
      </c>
      <c r="N42" s="49">
        <v>168.83113602548477</v>
      </c>
      <c r="O42" s="49">
        <v>0</v>
      </c>
      <c r="P42" s="49">
        <v>0</v>
      </c>
      <c r="Q42" s="49">
        <v>168.8311309814453</v>
      </c>
      <c r="R42" s="49">
        <v>19.25617411010321</v>
      </c>
      <c r="S42" s="49">
        <v>200.09291557477846</v>
      </c>
      <c r="T42" s="49">
        <v>5.733564853668213</v>
      </c>
      <c r="U42" s="49">
        <v>29.656517028808594</v>
      </c>
      <c r="V42" s="49">
        <v>235.22300282047712</v>
      </c>
      <c r="W42" s="49">
        <v>168.83113602548477</v>
      </c>
      <c r="X42" s="48">
        <v>1.393244210504931</v>
      </c>
      <c r="Y42" s="60">
        <v>95.32112121582031</v>
      </c>
      <c r="Z42" s="60">
        <v>0</v>
      </c>
      <c r="AA42" s="60">
        <v>0</v>
      </c>
      <c r="AB42" s="60">
        <v>330.54412841796875</v>
      </c>
      <c r="AC42" s="60">
        <v>168.8311309814453</v>
      </c>
      <c r="AD42" s="48">
        <v>1.957838773727417</v>
      </c>
      <c r="AE42" s="60"/>
      <c r="AF42" s="60"/>
      <c r="AG42" s="60"/>
      <c r="AH42" s="60"/>
      <c r="AI42" s="60"/>
      <c r="AJ42" s="60"/>
      <c r="AK42" s="60"/>
      <c r="AL42" s="49"/>
      <c r="AM42" s="49"/>
      <c r="AN42" s="49"/>
      <c r="AO42" s="49"/>
    </row>
    <row r="43" spans="1:41" ht="12.75" customHeight="1">
      <c r="A43"/>
      <c r="B43" t="s">
        <v>177</v>
      </c>
      <c r="C43" s="49">
        <v>45</v>
      </c>
      <c r="D43" s="49">
        <v>653.7163712277197</v>
      </c>
      <c r="E43" s="49">
        <v>280.81</v>
      </c>
      <c r="F43" s="49">
        <v>0</v>
      </c>
      <c r="G43" s="49">
        <v>0</v>
      </c>
      <c r="H43" s="49"/>
      <c r="I43" s="49">
        <v>0.21</v>
      </c>
      <c r="J43" s="49">
        <v>0.4009999930858612</v>
      </c>
      <c r="K43" s="49">
        <v>703.5622445338333</v>
      </c>
      <c r="L43" s="49">
        <v>0.15336402217522296</v>
      </c>
      <c r="M43" s="49">
        <v>0.38245391845703125</v>
      </c>
      <c r="N43" s="49">
        <v>280.8096599196591</v>
      </c>
      <c r="O43" s="49">
        <v>0</v>
      </c>
      <c r="P43" s="49">
        <v>0</v>
      </c>
      <c r="Q43" s="49">
        <v>280.8096618652344</v>
      </c>
      <c r="R43" s="49">
        <v>21.639591166505067</v>
      </c>
      <c r="S43" s="49">
        <v>296.1503079220124</v>
      </c>
      <c r="T43" s="49">
        <v>8.486042976379395</v>
      </c>
      <c r="U43" s="49">
        <v>43.89353942871094</v>
      </c>
      <c r="V43" s="49">
        <v>348.14508122253903</v>
      </c>
      <c r="W43" s="49">
        <v>280.8096599196591</v>
      </c>
      <c r="X43" s="48">
        <v>1.2397902597871628</v>
      </c>
      <c r="Y43" s="60">
        <v>141.0813446044922</v>
      </c>
      <c r="Z43" s="60">
        <v>0</v>
      </c>
      <c r="AA43" s="60">
        <v>0</v>
      </c>
      <c r="AB43" s="60">
        <v>489.2264404296875</v>
      </c>
      <c r="AC43" s="60">
        <v>280.8096618652344</v>
      </c>
      <c r="AD43" s="48">
        <v>1.742199420928955</v>
      </c>
      <c r="AE43" s="60"/>
      <c r="AF43" s="60"/>
      <c r="AG43" s="60"/>
      <c r="AH43" s="60"/>
      <c r="AI43" s="60"/>
      <c r="AJ43" s="60"/>
      <c r="AK43" s="60"/>
      <c r="AL43" s="49"/>
      <c r="AM43" s="49"/>
      <c r="AN43" s="49"/>
      <c r="AO43" s="49"/>
    </row>
    <row r="44" spans="1:41" ht="12.75" customHeight="1">
      <c r="A44"/>
      <c r="B44" t="s">
        <v>176</v>
      </c>
      <c r="C44" s="49">
        <v>45</v>
      </c>
      <c r="D44" s="49">
        <v>370.04670459232875</v>
      </c>
      <c r="E44" s="49">
        <v>212.5</v>
      </c>
      <c r="F44" s="49">
        <v>0</v>
      </c>
      <c r="G44" s="49">
        <v>0</v>
      </c>
      <c r="H44" s="49"/>
      <c r="I44" s="49">
        <v>0.21</v>
      </c>
      <c r="J44" s="49">
        <v>0.4010000228881836</v>
      </c>
      <c r="K44" s="49">
        <v>398.2627658174938</v>
      </c>
      <c r="L44" s="49">
        <v>0.08681418044094964</v>
      </c>
      <c r="M44" s="49">
        <v>0.21649421751499176</v>
      </c>
      <c r="N44" s="49">
        <v>212.50004534363345</v>
      </c>
      <c r="O44" s="49">
        <v>0</v>
      </c>
      <c r="P44" s="49">
        <v>0</v>
      </c>
      <c r="Q44" s="49">
        <v>212.5000457763672</v>
      </c>
      <c r="R44" s="49">
        <v>28.928696423615545</v>
      </c>
      <c r="S44" s="49">
        <v>167.64066242478935</v>
      </c>
      <c r="T44" s="49">
        <v>4.803661346435547</v>
      </c>
      <c r="U44" s="49">
        <v>24.846649169921875</v>
      </c>
      <c r="V44" s="49">
        <v>197.07314580254518</v>
      </c>
      <c r="W44" s="49">
        <v>212.50004534363345</v>
      </c>
      <c r="X44" s="69">
        <v>0.9274028411799091</v>
      </c>
      <c r="Y44" s="60">
        <v>79.86138916015625</v>
      </c>
      <c r="Z44" s="60">
        <v>0</v>
      </c>
      <c r="AA44" s="60">
        <v>0</v>
      </c>
      <c r="AB44" s="60">
        <v>276.9345397949219</v>
      </c>
      <c r="AC44" s="60">
        <v>212.5000457763672</v>
      </c>
      <c r="AD44" s="48">
        <v>1.3032211065292358</v>
      </c>
      <c r="AE44" s="60"/>
      <c r="AF44" s="60"/>
      <c r="AG44" s="60"/>
      <c r="AH44" s="60"/>
      <c r="AI44" s="60"/>
      <c r="AJ44" s="60"/>
      <c r="AK44" s="60"/>
      <c r="AL44" s="49"/>
      <c r="AM44" s="49"/>
      <c r="AN44" s="49"/>
      <c r="AO44" s="49"/>
    </row>
    <row r="45" spans="1:41" ht="12.75" customHeight="1">
      <c r="A45"/>
      <c r="B45" t="s">
        <v>488</v>
      </c>
      <c r="C45" s="49">
        <v>45</v>
      </c>
      <c r="D45" s="49">
        <v>2502.0590485712682</v>
      </c>
      <c r="E45" s="49">
        <v>1505.16</v>
      </c>
      <c r="F45" s="49">
        <v>0</v>
      </c>
      <c r="G45" s="49">
        <v>0</v>
      </c>
      <c r="H45" s="49"/>
      <c r="I45" s="49">
        <v>0.21</v>
      </c>
      <c r="J45" s="49">
        <v>0.4009999930858612</v>
      </c>
      <c r="K45" s="49">
        <v>2692.8410510248273</v>
      </c>
      <c r="L45" s="49">
        <v>0.5869913257459659</v>
      </c>
      <c r="M45" s="49">
        <v>1.4638187885284424</v>
      </c>
      <c r="N45" s="49">
        <v>1505.1626211742475</v>
      </c>
      <c r="O45" s="49">
        <v>0</v>
      </c>
      <c r="P45" s="49">
        <v>0</v>
      </c>
      <c r="Q45" s="49">
        <v>1505.16259765625</v>
      </c>
      <c r="R45" s="49">
        <v>30.304857468939165</v>
      </c>
      <c r="S45" s="49">
        <v>1133.4970184115552</v>
      </c>
      <c r="T45" s="49">
        <v>32.47980499267578</v>
      </c>
      <c r="U45" s="49">
        <v>167.99981689453125</v>
      </c>
      <c r="V45" s="49">
        <v>1332.5038077573051</v>
      </c>
      <c r="W45" s="49">
        <v>1505.1626211742475</v>
      </c>
      <c r="X45" s="69">
        <v>0.8852889309181468</v>
      </c>
      <c r="Y45" s="60">
        <v>539.9801025390625</v>
      </c>
      <c r="Z45" s="60">
        <v>0</v>
      </c>
      <c r="AA45" s="60">
        <v>0</v>
      </c>
      <c r="AB45" s="60">
        <v>1872.48388671875</v>
      </c>
      <c r="AC45" s="60">
        <v>1505.16259765625</v>
      </c>
      <c r="AD45" s="48">
        <v>1.2440409660339355</v>
      </c>
      <c r="AE45" s="60"/>
      <c r="AF45" s="60"/>
      <c r="AG45" s="60"/>
      <c r="AH45" s="60"/>
      <c r="AI45" s="60"/>
      <c r="AJ45" s="60"/>
      <c r="AK45" s="60"/>
      <c r="AL45" s="49"/>
      <c r="AM45" s="49"/>
      <c r="AN45" s="49"/>
      <c r="AO45" s="49"/>
    </row>
    <row r="46" spans="1:41" ht="12.75" customHeight="1">
      <c r="A46"/>
      <c r="B46" t="s">
        <v>179</v>
      </c>
      <c r="C46" s="49">
        <v>45</v>
      </c>
      <c r="D46" s="49">
        <v>114.46932317609026</v>
      </c>
      <c r="E46" s="49">
        <v>110.5</v>
      </c>
      <c r="F46" s="49">
        <v>0</v>
      </c>
      <c r="G46" s="49">
        <v>0</v>
      </c>
      <c r="H46" s="49"/>
      <c r="I46" s="49">
        <v>0.21</v>
      </c>
      <c r="J46" s="49">
        <v>0.4009999930858612</v>
      </c>
      <c r="K46" s="49">
        <v>123.19760906826713</v>
      </c>
      <c r="L46" s="49">
        <v>0.02685488170502813</v>
      </c>
      <c r="M46" s="49">
        <v>0.06696978211402893</v>
      </c>
      <c r="N46" s="49">
        <v>110.5000235786894</v>
      </c>
      <c r="O46" s="49">
        <v>0</v>
      </c>
      <c r="P46" s="49">
        <v>0</v>
      </c>
      <c r="Q46" s="49">
        <v>110.5000228881836</v>
      </c>
      <c r="R46" s="49">
        <v>48.62948049110639</v>
      </c>
      <c r="S46" s="49">
        <v>51.8575437273463</v>
      </c>
      <c r="T46" s="49">
        <v>1.485952615737915</v>
      </c>
      <c r="U46" s="49">
        <v>7.685999393463135</v>
      </c>
      <c r="V46" s="49">
        <v>60.96211361867895</v>
      </c>
      <c r="W46" s="49">
        <v>110.5000235786894</v>
      </c>
      <c r="X46" s="69">
        <v>0.5516932181943521</v>
      </c>
      <c r="Y46" s="60">
        <v>24.704116821289062</v>
      </c>
      <c r="Z46" s="60">
        <v>0</v>
      </c>
      <c r="AA46" s="60">
        <v>0</v>
      </c>
      <c r="AB46" s="60">
        <v>85.66622924804688</v>
      </c>
      <c r="AC46" s="60">
        <v>110.5000228881836</v>
      </c>
      <c r="AD46" s="69">
        <v>0.7752598524093628</v>
      </c>
      <c r="AE46" s="60"/>
      <c r="AF46" s="60"/>
      <c r="AG46" s="60"/>
      <c r="AH46" s="60"/>
      <c r="AI46" s="60"/>
      <c r="AJ46" s="60"/>
      <c r="AK46" s="60"/>
      <c r="AL46" s="49"/>
      <c r="AM46" s="49"/>
      <c r="AN46" s="49"/>
      <c r="AO46" s="49"/>
    </row>
    <row r="47" spans="1:41" ht="12.75" customHeight="1">
      <c r="A47"/>
      <c r="B47" t="s">
        <v>490</v>
      </c>
      <c r="C47" s="49">
        <v>45</v>
      </c>
      <c r="D47" s="49">
        <v>412.0895634339231</v>
      </c>
      <c r="E47" s="49">
        <v>425</v>
      </c>
      <c r="F47" s="49">
        <v>0</v>
      </c>
      <c r="G47" s="49">
        <v>0</v>
      </c>
      <c r="H47" s="49"/>
      <c r="I47" s="49">
        <v>0.21</v>
      </c>
      <c r="J47" s="49">
        <v>0.4009999930858612</v>
      </c>
      <c r="K47" s="49">
        <v>443.51139264575977</v>
      </c>
      <c r="L47" s="49">
        <v>0.09667757413810087</v>
      </c>
      <c r="M47" s="49">
        <v>0.24109120666980743</v>
      </c>
      <c r="N47" s="49">
        <v>425.0000906872669</v>
      </c>
      <c r="O47" s="49">
        <v>0</v>
      </c>
      <c r="P47" s="49">
        <v>0</v>
      </c>
      <c r="Q47" s="49">
        <v>425.0000915527344</v>
      </c>
      <c r="R47" s="49">
        <v>51.95457361505015</v>
      </c>
      <c r="S47" s="49">
        <v>186.68715741844608</v>
      </c>
      <c r="T47" s="49">
        <v>5.349429607391357</v>
      </c>
      <c r="U47" s="49">
        <v>27.669597625732422</v>
      </c>
      <c r="V47" s="49">
        <v>219.46360883650874</v>
      </c>
      <c r="W47" s="49">
        <v>425.0000906872669</v>
      </c>
      <c r="X47" s="69">
        <v>0.5163848517811244</v>
      </c>
      <c r="Y47" s="60">
        <v>88.934814453125</v>
      </c>
      <c r="Z47" s="60">
        <v>0</v>
      </c>
      <c r="AA47" s="60">
        <v>0</v>
      </c>
      <c r="AB47" s="60">
        <v>308.3984375</v>
      </c>
      <c r="AC47" s="60">
        <v>425.0000915527344</v>
      </c>
      <c r="AD47" s="69">
        <v>0.7256432175636292</v>
      </c>
      <c r="AE47" s="60"/>
      <c r="AF47" s="60"/>
      <c r="AG47" s="60"/>
      <c r="AH47" s="60"/>
      <c r="AI47" s="60"/>
      <c r="AJ47" s="60"/>
      <c r="AK47" s="60"/>
      <c r="AL47" s="49"/>
      <c r="AM47" s="49"/>
      <c r="AN47" s="49"/>
      <c r="AO47" s="49"/>
    </row>
    <row r="48" spans="1:41" ht="12.75" customHeight="1">
      <c r="A48"/>
      <c r="B48" t="s">
        <v>178</v>
      </c>
      <c r="C48" s="49">
        <v>45</v>
      </c>
      <c r="D48" s="49">
        <v>142.96605845297063</v>
      </c>
      <c r="E48" s="49">
        <v>154.67</v>
      </c>
      <c r="F48" s="49">
        <v>0</v>
      </c>
      <c r="G48" s="49">
        <v>0</v>
      </c>
      <c r="H48" s="49"/>
      <c r="I48" s="49">
        <v>0.21</v>
      </c>
      <c r="J48" s="49">
        <v>0.4009999930858612</v>
      </c>
      <c r="K48" s="49">
        <v>153.86722041000962</v>
      </c>
      <c r="L48" s="49">
        <v>0.03354031002421969</v>
      </c>
      <c r="M48" s="49">
        <v>0.0836416706442833</v>
      </c>
      <c r="N48" s="49">
        <v>154.67313300442518</v>
      </c>
      <c r="O48" s="49">
        <v>0</v>
      </c>
      <c r="P48" s="49">
        <v>0</v>
      </c>
      <c r="Q48" s="49">
        <v>154.67312622070312</v>
      </c>
      <c r="R48" s="49">
        <v>54.50147939625136</v>
      </c>
      <c r="S48" s="49">
        <v>64.76729679222777</v>
      </c>
      <c r="T48" s="49">
        <v>1.8558752536773682</v>
      </c>
      <c r="U48" s="49">
        <v>9.599401473999023</v>
      </c>
      <c r="V48" s="49">
        <v>76.13841689870347</v>
      </c>
      <c r="W48" s="49">
        <v>154.67313300442518</v>
      </c>
      <c r="X48" s="69">
        <v>0.49225366694114325</v>
      </c>
      <c r="Y48" s="60">
        <v>30.854116439819336</v>
      </c>
      <c r="Z48" s="60">
        <v>0</v>
      </c>
      <c r="AA48" s="60">
        <v>0</v>
      </c>
      <c r="AB48" s="60">
        <v>106.99253845214844</v>
      </c>
      <c r="AC48" s="60">
        <v>154.67312622070312</v>
      </c>
      <c r="AD48" s="69">
        <v>0.6917332410812378</v>
      </c>
      <c r="AE48" s="60"/>
      <c r="AF48" s="60"/>
      <c r="AG48" s="60"/>
      <c r="AH48" s="60"/>
      <c r="AI48" s="60"/>
      <c r="AJ48" s="60"/>
      <c r="AK48" s="60"/>
      <c r="AL48" s="49"/>
      <c r="AM48" s="49"/>
      <c r="AN48" s="49"/>
      <c r="AO48" s="49"/>
    </row>
    <row r="49" spans="1:41" ht="12.75" customHeight="1">
      <c r="A49"/>
      <c r="B49" t="s">
        <v>500</v>
      </c>
      <c r="C49" s="49">
        <v>45</v>
      </c>
      <c r="D49" s="49">
        <v>290.86014723118114</v>
      </c>
      <c r="E49" s="49">
        <v>451.2</v>
      </c>
      <c r="F49" s="49">
        <v>0</v>
      </c>
      <c r="G49" s="49">
        <v>0</v>
      </c>
      <c r="H49" s="49"/>
      <c r="I49" s="49">
        <v>0.21</v>
      </c>
      <c r="J49" s="49">
        <v>0.4009999930858612</v>
      </c>
      <c r="K49" s="49">
        <v>313.0382334575587</v>
      </c>
      <c r="L49" s="49">
        <v>0.068236752257062</v>
      </c>
      <c r="M49" s="49">
        <v>0.17016646265983582</v>
      </c>
      <c r="N49" s="49">
        <v>451.20009627787016</v>
      </c>
      <c r="O49" s="49">
        <v>0</v>
      </c>
      <c r="P49" s="49">
        <v>0</v>
      </c>
      <c r="Q49" s="49">
        <v>451.2001037597656</v>
      </c>
      <c r="R49" s="49">
        <v>78.14682473616391</v>
      </c>
      <c r="S49" s="49">
        <v>131.76711790616974</v>
      </c>
      <c r="T49" s="49">
        <v>3.7757225036621094</v>
      </c>
      <c r="U49" s="49">
        <v>19.529695510864258</v>
      </c>
      <c r="V49" s="49">
        <v>154.9013217029214</v>
      </c>
      <c r="W49" s="49">
        <v>451.20009627787016</v>
      </c>
      <c r="X49" s="69">
        <v>0.343309593638752</v>
      </c>
      <c r="Y49" s="60">
        <v>62.771785736083984</v>
      </c>
      <c r="Z49" s="60">
        <v>0</v>
      </c>
      <c r="AA49" s="60">
        <v>0</v>
      </c>
      <c r="AB49" s="60">
        <v>217.67311096191406</v>
      </c>
      <c r="AC49" s="60">
        <v>451.2001037597656</v>
      </c>
      <c r="AD49" s="69">
        <v>0.48243144154548645</v>
      </c>
      <c r="AE49" s="60"/>
      <c r="AF49" s="60"/>
      <c r="AG49" s="60"/>
      <c r="AH49" s="60"/>
      <c r="AI49" s="60"/>
      <c r="AJ49" s="60"/>
      <c r="AK49" s="60"/>
      <c r="AL49" s="49"/>
      <c r="AM49" s="49"/>
      <c r="AN49" s="49"/>
      <c r="AO49" s="49"/>
    </row>
    <row r="50" spans="1:41" ht="12.75" customHeight="1">
      <c r="A50"/>
      <c r="B50" t="s">
        <v>180</v>
      </c>
      <c r="C50" s="49">
        <v>45</v>
      </c>
      <c r="D50" s="49">
        <v>364.5499912100754</v>
      </c>
      <c r="E50" s="49">
        <v>600.47</v>
      </c>
      <c r="F50" s="49">
        <v>0</v>
      </c>
      <c r="G50" s="49">
        <v>0</v>
      </c>
      <c r="H50" s="49"/>
      <c r="I50" s="49">
        <v>0.21</v>
      </c>
      <c r="J50" s="49">
        <v>0.4009999930858612</v>
      </c>
      <c r="K50" s="49">
        <v>392.3469280398436</v>
      </c>
      <c r="L50" s="49">
        <v>0.08552463330682548</v>
      </c>
      <c r="M50" s="49">
        <v>0.2132783979177475</v>
      </c>
      <c r="N50" s="49">
        <v>600.4689281291161</v>
      </c>
      <c r="O50" s="49">
        <v>0</v>
      </c>
      <c r="P50" s="49">
        <v>0</v>
      </c>
      <c r="Q50" s="49">
        <v>600.4689331054688</v>
      </c>
      <c r="R50" s="49">
        <v>82.97740119467291</v>
      </c>
      <c r="S50" s="49">
        <v>165.15051007070917</v>
      </c>
      <c r="T50" s="49">
        <v>4.732307434082031</v>
      </c>
      <c r="U50" s="49">
        <v>24.477571487426758</v>
      </c>
      <c r="V50" s="49">
        <v>194.14579729350095</v>
      </c>
      <c r="W50" s="49">
        <v>600.4689281291161</v>
      </c>
      <c r="X50" s="69">
        <v>0.3233236362427644</v>
      </c>
      <c r="Y50" s="60">
        <v>78.67509460449219</v>
      </c>
      <c r="Z50" s="60">
        <v>0</v>
      </c>
      <c r="AA50" s="60">
        <v>0</v>
      </c>
      <c r="AB50" s="60">
        <v>272.8208923339844</v>
      </c>
      <c r="AC50" s="60">
        <v>600.4689331054688</v>
      </c>
      <c r="AD50" s="69">
        <v>0.4543463885784149</v>
      </c>
      <c r="AE50" s="60"/>
      <c r="AF50" s="60"/>
      <c r="AG50" s="60"/>
      <c r="AH50" s="60"/>
      <c r="AI50" s="60"/>
      <c r="AJ50" s="60"/>
      <c r="AK50" s="60"/>
      <c r="AL50" s="49"/>
      <c r="AM50" s="49"/>
      <c r="AN50" s="49"/>
      <c r="AO50" s="49"/>
    </row>
    <row r="51" spans="1:41" ht="12.75" customHeight="1">
      <c r="A51"/>
      <c r="B51"/>
      <c r="C51" s="49"/>
      <c r="D51" s="49"/>
      <c r="E51" s="49"/>
      <c r="F51" s="49"/>
      <c r="G51" s="49"/>
      <c r="H51" s="49"/>
      <c r="I51" s="49"/>
      <c r="J51" s="49"/>
      <c r="K51" s="49"/>
      <c r="L51" s="49"/>
      <c r="M51" s="49"/>
      <c r="N51" s="49"/>
      <c r="O51" s="49"/>
      <c r="P51" s="49"/>
      <c r="Q51" s="49"/>
      <c r="R51" s="49"/>
      <c r="S51" s="49"/>
      <c r="T51" s="49"/>
      <c r="U51" s="49"/>
      <c r="V51" s="49"/>
      <c r="W51" s="49"/>
      <c r="X51" s="60"/>
      <c r="Y51" s="60"/>
      <c r="Z51" s="60"/>
      <c r="AA51" s="60"/>
      <c r="AB51" s="60"/>
      <c r="AC51" s="60"/>
      <c r="AD51" s="60"/>
      <c r="AE51" s="60"/>
      <c r="AF51" s="60"/>
      <c r="AG51" s="60"/>
      <c r="AH51" s="60"/>
      <c r="AI51" s="60"/>
      <c r="AJ51" s="60"/>
      <c r="AK51" s="60"/>
      <c r="AL51" s="49"/>
      <c r="AM51" s="49"/>
      <c r="AN51" s="49"/>
      <c r="AO51" s="49"/>
    </row>
    <row r="52" spans="1:41" ht="12.75" customHeight="1" thickBot="1">
      <c r="A52"/>
      <c r="B52"/>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row>
    <row r="53" spans="1:41" ht="12.75" customHeight="1" thickBot="1">
      <c r="A53" s="65" t="s">
        <v>67</v>
      </c>
      <c r="B53" s="66"/>
      <c r="C53" s="67"/>
      <c r="D53" s="67"/>
      <c r="E53" s="67"/>
      <c r="F53" s="67"/>
      <c r="G53" s="67"/>
      <c r="H53" s="67"/>
      <c r="I53" s="67"/>
      <c r="J53" s="67"/>
      <c r="K53" s="68"/>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row>
    <row r="54" spans="1:41" ht="25.5">
      <c r="A54" s="57"/>
      <c r="B54" s="58" t="s">
        <v>68</v>
      </c>
      <c r="C54" s="59" t="s">
        <v>64</v>
      </c>
      <c r="D54" s="59" t="s">
        <v>65</v>
      </c>
      <c r="E54" s="59" t="s">
        <v>69</v>
      </c>
      <c r="F54" s="59" t="s">
        <v>70</v>
      </c>
      <c r="G54" s="59" t="s">
        <v>71</v>
      </c>
      <c r="H54" s="59" t="s">
        <v>72</v>
      </c>
      <c r="I54" s="59" t="s">
        <v>66</v>
      </c>
      <c r="J54" s="59" t="s">
        <v>55</v>
      </c>
      <c r="K54" s="59" t="s">
        <v>63</v>
      </c>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row>
    <row r="55" spans="1:41" ht="12.75" customHeight="1">
      <c r="A55"/>
      <c r="B55" t="s">
        <v>73</v>
      </c>
      <c r="C55" s="49">
        <v>8597.115001235934</v>
      </c>
      <c r="D55" s="49">
        <v>2346.4529006902476</v>
      </c>
      <c r="E55" s="49">
        <v>2346.45</v>
      </c>
      <c r="F55" s="49">
        <v>469.29048</v>
      </c>
      <c r="G55" s="49">
        <v>2815.7433806902477</v>
      </c>
      <c r="H55" s="49">
        <v>2869.091796875</v>
      </c>
      <c r="I55" s="49">
        <v>17.757420333582655</v>
      </c>
      <c r="J55" s="49">
        <v>3618.7818130348032</v>
      </c>
      <c r="K55" s="48">
        <v>1.285195887470292</v>
      </c>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row>
    <row r="56" spans="1:41" ht="12.75" customHeight="1">
      <c r="A56"/>
      <c r="B56" t="s">
        <v>74</v>
      </c>
      <c r="C56" s="49">
        <v>0</v>
      </c>
      <c r="D56" s="49">
        <v>0</v>
      </c>
      <c r="E56" s="49">
        <v>0</v>
      </c>
      <c r="F56" s="49">
        <v>0</v>
      </c>
      <c r="G56" s="49">
        <v>0</v>
      </c>
      <c r="H56" s="49">
        <v>0</v>
      </c>
      <c r="I56" s="49">
        <v>0</v>
      </c>
      <c r="J56" s="49">
        <v>5520.149119786048</v>
      </c>
      <c r="K56" s="69">
        <v>0</v>
      </c>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row>
    <row r="57" spans="1:41" ht="12.75" customHeight="1">
      <c r="A57"/>
      <c r="B57" t="s">
        <v>75</v>
      </c>
      <c r="C57" s="49">
        <v>8398.381860528909</v>
      </c>
      <c r="D57" s="49">
        <v>3768.10791015625</v>
      </c>
      <c r="E57" s="49">
        <v>3768.1067093823253</v>
      </c>
      <c r="F57" s="49">
        <v>753.6213418764651</v>
      </c>
      <c r="G57" s="49">
        <v>4521.7292520327155</v>
      </c>
      <c r="H57" s="49">
        <v>4716.42626953125</v>
      </c>
      <c r="I57" s="49">
        <v>29.19096662713035</v>
      </c>
      <c r="J57" s="49">
        <v>3535.129113828793</v>
      </c>
      <c r="K57" s="69">
        <v>0.7818091081502939</v>
      </c>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row>
    <row r="58" spans="1:41" ht="12.75" customHeight="1">
      <c r="A58"/>
      <c r="B58" t="s">
        <v>76</v>
      </c>
      <c r="C58" s="49">
        <v>0</v>
      </c>
      <c r="D58" s="49">
        <v>0</v>
      </c>
      <c r="E58" s="49">
        <v>0</v>
      </c>
      <c r="F58" s="49">
        <v>0</v>
      </c>
      <c r="G58" s="49">
        <v>0</v>
      </c>
      <c r="H58" s="49">
        <v>0</v>
      </c>
      <c r="I58" s="49">
        <v>0</v>
      </c>
      <c r="J58" s="49">
        <v>0</v>
      </c>
      <c r="K58" s="69">
        <v>0</v>
      </c>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c r="A59"/>
      <c r="B59" t="s">
        <v>77</v>
      </c>
      <c r="C59" s="49">
        <v>5439.521374086105</v>
      </c>
      <c r="D59" s="49">
        <v>1242.6939651682242</v>
      </c>
      <c r="E59" s="49">
        <v>1242.69</v>
      </c>
      <c r="F59" s="49">
        <v>248.53874000000002</v>
      </c>
      <c r="G59" s="49">
        <v>1491.2327051682241</v>
      </c>
      <c r="H59" s="49">
        <v>2401.53466796875</v>
      </c>
      <c r="I59" s="49">
        <v>14.863608975875804</v>
      </c>
      <c r="J59" s="49">
        <v>2289.6565903011656</v>
      </c>
      <c r="K59" s="102">
        <v>1.5354119999955824</v>
      </c>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12.75" customHeight="1">
      <c r="A60"/>
      <c r="B60" t="s">
        <v>78</v>
      </c>
      <c r="C60" s="49">
        <v>3157.5936271498285</v>
      </c>
      <c r="D60" s="49">
        <v>1103.758935522023</v>
      </c>
      <c r="E60" s="49">
        <v>1103.76</v>
      </c>
      <c r="F60" s="49">
        <v>220.75174</v>
      </c>
      <c r="G60" s="49">
        <v>1324.510675522023</v>
      </c>
      <c r="H60" s="49">
        <v>3674.54296875</v>
      </c>
      <c r="I60" s="49">
        <v>22.742529436120314</v>
      </c>
      <c r="J60" s="49">
        <v>1329.1252227336374</v>
      </c>
      <c r="K60" s="102">
        <v>1.0034839637738637</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79</v>
      </c>
      <c r="C61" s="49">
        <v>3091.103816842321</v>
      </c>
      <c r="D61" s="49">
        <v>1717.662666517881</v>
      </c>
      <c r="E61" s="49">
        <v>1717.66</v>
      </c>
      <c r="F61" s="49">
        <v>343.53246</v>
      </c>
      <c r="G61" s="49">
        <v>2061.195126517881</v>
      </c>
      <c r="H61" s="49">
        <v>5841.30126953125</v>
      </c>
      <c r="I61" s="49">
        <v>36.15305941282117</v>
      </c>
      <c r="J61" s="49">
        <v>1301.1376808363445</v>
      </c>
      <c r="K61" s="70">
        <v>0.6312540060360254</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80</v>
      </c>
      <c r="C62" s="49">
        <v>0</v>
      </c>
      <c r="D62" s="49">
        <v>0</v>
      </c>
      <c r="E62" s="49">
        <v>0</v>
      </c>
      <c r="F62" s="49">
        <v>0</v>
      </c>
      <c r="G62" s="49">
        <v>0</v>
      </c>
      <c r="H62" s="49">
        <v>0</v>
      </c>
      <c r="I62" s="49">
        <v>0</v>
      </c>
      <c r="J62" s="49">
        <v>0</v>
      </c>
      <c r="K62" s="70">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81</v>
      </c>
      <c r="C63" s="49">
        <v>123.19760906826713</v>
      </c>
      <c r="D63" s="49">
        <v>110.5000235786894</v>
      </c>
      <c r="E63" s="49">
        <v>110.5</v>
      </c>
      <c r="F63" s="49">
        <v>22.1</v>
      </c>
      <c r="G63" s="49">
        <v>132.6000235786894</v>
      </c>
      <c r="H63" s="49">
        <v>9428.5615234375</v>
      </c>
      <c r="I63" s="49">
        <v>58.35537458856136</v>
      </c>
      <c r="J63" s="49">
        <v>51.8575437273463</v>
      </c>
      <c r="K63" s="70">
        <v>0.39108246233887173</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82</v>
      </c>
      <c r="C64" s="49">
        <v>1302.7637745531717</v>
      </c>
      <c r="D64" s="49">
        <v>1631.3422480986783</v>
      </c>
      <c r="E64" s="49">
        <v>1631.34</v>
      </c>
      <c r="F64" s="49">
        <v>326.26838000000004</v>
      </c>
      <c r="G64" s="49">
        <v>1957.6106280986783</v>
      </c>
      <c r="H64" s="49">
        <v>13163.298828125</v>
      </c>
      <c r="I64" s="49">
        <v>81.47046211277284</v>
      </c>
      <c r="J64" s="49">
        <v>548.3720821875528</v>
      </c>
      <c r="K64" s="70">
        <v>0.2801231635732163</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75"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41" ht="12"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39"/>
      <c r="AF524" s="39"/>
      <c r="AG524" s="39"/>
      <c r="AH524" s="39"/>
      <c r="AI524" s="39"/>
      <c r="AJ524" s="39"/>
      <c r="AK524" s="39"/>
      <c r="AL524" s="39"/>
      <c r="AM524" s="39"/>
      <c r="AN524" s="39"/>
      <c r="AO524" s="3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49"/>
      <c r="Y530" s="49"/>
      <c r="Z530" s="39"/>
      <c r="AA530" s="39"/>
      <c r="AB530" s="39"/>
      <c r="AC530" s="39"/>
      <c r="AD530" s="39"/>
    </row>
    <row r="531" spans="3:30" ht="12.75">
      <c r="C531" s="39"/>
      <c r="D531" s="39"/>
      <c r="E531" s="39"/>
      <c r="F531" s="39"/>
      <c r="G531" s="39"/>
      <c r="H531" s="39"/>
      <c r="I531" s="103"/>
      <c r="J531" s="103"/>
      <c r="K531" s="103"/>
      <c r="L531" s="103"/>
      <c r="M531" s="103"/>
      <c r="S531" s="39"/>
      <c r="T531" s="39"/>
      <c r="U531" s="39"/>
      <c r="X531" s="49"/>
      <c r="Y531" s="49"/>
      <c r="Z531" s="39"/>
      <c r="AA531" s="39"/>
      <c r="AB531" s="39"/>
      <c r="AC531" s="39"/>
      <c r="AD531" s="39"/>
    </row>
    <row r="532" spans="3:30" ht="12.75">
      <c r="C532" s="39"/>
      <c r="D532" s="39"/>
      <c r="E532" s="39"/>
      <c r="F532" s="39"/>
      <c r="G532" s="39"/>
      <c r="H532" s="39"/>
      <c r="I532" s="103"/>
      <c r="J532" s="103"/>
      <c r="K532" s="103"/>
      <c r="L532" s="103"/>
      <c r="M532" s="103"/>
      <c r="S532" s="39"/>
      <c r="T532" s="39"/>
      <c r="U532" s="39"/>
      <c r="X532" s="49"/>
      <c r="Y532" s="49"/>
      <c r="Z532" s="39"/>
      <c r="AA532" s="39"/>
      <c r="AB532" s="39"/>
      <c r="AC532" s="39"/>
      <c r="AD532" s="39"/>
    </row>
    <row r="533" spans="3:30" ht="12.75">
      <c r="C533" s="39"/>
      <c r="D533" s="39"/>
      <c r="E533" s="39"/>
      <c r="F533" s="39"/>
      <c r="G533" s="39"/>
      <c r="H533" s="39"/>
      <c r="I533" s="103"/>
      <c r="J533" s="103"/>
      <c r="K533" s="103"/>
      <c r="L533" s="103"/>
      <c r="M533" s="103"/>
      <c r="S533" s="39"/>
      <c r="T533" s="39"/>
      <c r="U533" s="39"/>
      <c r="X533" s="49"/>
      <c r="Y533" s="49"/>
      <c r="Z533" s="39"/>
      <c r="AA533" s="39"/>
      <c r="AB533" s="39"/>
      <c r="AC533" s="39"/>
      <c r="AD533" s="39"/>
    </row>
  </sheetData>
  <printOptions gridLines="1" headings="1"/>
  <pageMargins left="0.25" right="0.23" top="1" bottom="1" header="0.5" footer="0.5"/>
  <pageSetup blackAndWhite="1" horizontalDpi="300" verticalDpi="300"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Sheet6"/>
  <dimension ref="A1:AO535"/>
  <sheetViews>
    <sheetView workbookViewId="0" topLeftCell="A40">
      <selection activeCell="K74" sqref="K74"/>
    </sheetView>
  </sheetViews>
  <sheetFormatPr defaultColWidth="9.140625" defaultRowHeight="12.75"/>
  <cols>
    <col min="1" max="1" width="40.7109375" style="0" customWidth="1"/>
    <col min="2" max="2" width="36.140625" style="0" customWidth="1"/>
    <col min="3" max="3" width="8.57421875" style="0" customWidth="1"/>
    <col min="4" max="4" width="9.421875" style="0" customWidth="1"/>
    <col min="5" max="6" width="8.57421875" style="0" customWidth="1"/>
    <col min="7" max="7" width="12.140625" style="0" customWidth="1"/>
    <col min="8" max="8" width="8.57421875" style="0" customWidth="1"/>
    <col min="9" max="13" width="8.57421875" style="105" customWidth="1"/>
    <col min="14" max="18" width="8.57421875" style="49" customWidth="1"/>
    <col min="19" max="21" width="8.57421875" style="0" customWidth="1"/>
    <col min="22" max="22" width="8.57421875" style="49" customWidth="1"/>
    <col min="24" max="27" width="9.00390625" style="0" bestFit="1" customWidth="1"/>
    <col min="28" max="28" width="9.57421875" style="0" bestFit="1" customWidth="1"/>
    <col min="29" max="29" width="9.00390625" style="0" bestFit="1" customWidth="1"/>
    <col min="30" max="30" width="9.57421875" style="0" bestFit="1" customWidth="1"/>
    <col min="41" max="41" width="9.57421875" style="0" bestFit="1" customWidth="1"/>
  </cols>
  <sheetData>
    <row r="1" spans="1:7" ht="14.25">
      <c r="A1" s="36" t="s">
        <v>132</v>
      </c>
      <c r="B1" s="37"/>
      <c r="C1" s="37"/>
      <c r="D1" s="37"/>
      <c r="E1" s="37"/>
      <c r="F1" s="37"/>
      <c r="G1" s="37"/>
    </row>
    <row r="2" spans="1:7" ht="12.75">
      <c r="A2" s="37">
        <v>1350</v>
      </c>
      <c r="B2" s="37"/>
      <c r="C2" s="37"/>
      <c r="D2" s="37"/>
      <c r="E2" s="37"/>
      <c r="F2" s="37"/>
      <c r="G2" s="37"/>
    </row>
    <row r="3" spans="1:7" ht="12.75">
      <c r="A3" s="37"/>
      <c r="B3" s="37"/>
      <c r="C3" s="37"/>
      <c r="D3" s="37"/>
      <c r="E3" s="37"/>
      <c r="F3" s="37"/>
      <c r="G3" s="37"/>
    </row>
    <row r="4" spans="1:22" ht="12.75">
      <c r="A4" s="106" t="s">
        <v>37</v>
      </c>
      <c r="B4" s="107"/>
      <c r="C4" s="107"/>
      <c r="D4" s="107"/>
      <c r="E4" s="107"/>
      <c r="F4" s="107"/>
      <c r="G4" s="108"/>
      <c r="H4" s="43"/>
      <c r="I4" s="44" t="s">
        <v>38</v>
      </c>
      <c r="J4" s="45"/>
      <c r="K4" s="45"/>
      <c r="L4" s="45"/>
      <c r="M4" s="45"/>
      <c r="N4" s="45"/>
      <c r="O4"/>
      <c r="P4"/>
      <c r="Q4"/>
      <c r="R4"/>
      <c r="V4"/>
    </row>
    <row r="5" spans="1:22" ht="38.25">
      <c r="A5" s="46" t="s">
        <v>39</v>
      </c>
      <c r="B5" s="46" t="s">
        <v>40</v>
      </c>
      <c r="C5" s="46" t="s">
        <v>133</v>
      </c>
      <c r="D5" s="46" t="s">
        <v>181</v>
      </c>
      <c r="E5" s="46" t="s">
        <v>182</v>
      </c>
      <c r="F5" s="46" t="s">
        <v>183</v>
      </c>
      <c r="G5" s="47" t="s">
        <v>43</v>
      </c>
      <c r="H5" s="47" t="s">
        <v>135</v>
      </c>
      <c r="I5" s="47" t="s">
        <v>44</v>
      </c>
      <c r="J5" s="47" t="s">
        <v>45</v>
      </c>
      <c r="K5" s="47" t="s">
        <v>46</v>
      </c>
      <c r="L5" s="47" t="s">
        <v>47</v>
      </c>
      <c r="M5" s="47" t="s">
        <v>48</v>
      </c>
      <c r="N5" s="47" t="s">
        <v>49</v>
      </c>
      <c r="O5"/>
      <c r="P5"/>
      <c r="Q5"/>
      <c r="R5"/>
      <c r="V5"/>
    </row>
    <row r="6" spans="1:26" ht="12.75" customHeight="1">
      <c r="A6" s="104" t="str">
        <f aca="true" t="shared" si="0" ref="A6:A20">B6</f>
        <v>VAULT R19</v>
      </c>
      <c r="B6" s="104" t="str">
        <f>'UA Optimizer'!Z45</f>
        <v>VAULT R19</v>
      </c>
      <c r="C6" s="98">
        <f>'UA Optimizer'!AE45</f>
        <v>2063.1247783308136</v>
      </c>
      <c r="D6" s="98">
        <v>45</v>
      </c>
      <c r="E6" s="99">
        <f>'UA Optimizer'!AB45</f>
        <v>349.1069964769669</v>
      </c>
      <c r="F6" s="100">
        <v>0</v>
      </c>
      <c r="G6" s="101" t="s">
        <v>169</v>
      </c>
      <c r="H6" s="49"/>
      <c r="I6" s="49"/>
      <c r="J6" s="49"/>
      <c r="K6" s="49"/>
      <c r="L6" s="49"/>
      <c r="M6" s="49"/>
      <c r="S6" s="49"/>
      <c r="T6" s="49"/>
      <c r="U6" s="49"/>
      <c r="W6" s="49"/>
      <c r="X6" s="49"/>
      <c r="Y6" s="49"/>
      <c r="Z6" s="49"/>
    </row>
    <row r="7" spans="1:26" ht="12.75" customHeight="1">
      <c r="A7" s="104" t="str">
        <f t="shared" si="0"/>
        <v>ATTIC R19</v>
      </c>
      <c r="B7" s="104" t="str">
        <f>'UA Optimizer'!Z46</f>
        <v>ATTIC R19</v>
      </c>
      <c r="C7" s="98">
        <f>'UA Optimizer'!AE46</f>
        <v>3816.110009200973</v>
      </c>
      <c r="D7" s="98">
        <v>45</v>
      </c>
      <c r="E7" s="99">
        <f>'UA Optimizer'!AB46</f>
        <v>814.5829917795894</v>
      </c>
      <c r="F7" s="100">
        <v>0</v>
      </c>
      <c r="G7" s="101" t="s">
        <v>169</v>
      </c>
      <c r="H7" s="49"/>
      <c r="I7" s="49"/>
      <c r="J7" s="49"/>
      <c r="K7" s="49"/>
      <c r="L7" s="49"/>
      <c r="M7" s="49"/>
      <c r="S7" s="49"/>
      <c r="T7" s="49"/>
      <c r="U7" s="49"/>
      <c r="W7" s="49"/>
      <c r="X7" s="49"/>
      <c r="Y7" s="49"/>
      <c r="Z7" s="49"/>
    </row>
    <row r="8" spans="1:26" ht="12.75" customHeight="1">
      <c r="A8" s="104" t="str">
        <f t="shared" si="0"/>
        <v>FLOOR R11</v>
      </c>
      <c r="B8" s="104" t="str">
        <f>'UA Optimizer'!Z47</f>
        <v>FLOOR R11</v>
      </c>
      <c r="C8" s="98">
        <f>'UA Optimizer'!AE47</f>
        <v>2666.166766448534</v>
      </c>
      <c r="D8" s="98">
        <v>45</v>
      </c>
      <c r="E8" s="99">
        <f>'UA Optimizer'!AB47</f>
        <v>810</v>
      </c>
      <c r="F8" s="100">
        <v>0</v>
      </c>
      <c r="G8" s="101" t="s">
        <v>169</v>
      </c>
      <c r="H8" s="49"/>
      <c r="I8" s="49"/>
      <c r="J8" s="49"/>
      <c r="K8" s="49"/>
      <c r="L8" s="49"/>
      <c r="M8" s="49"/>
      <c r="S8" s="49"/>
      <c r="T8" s="49"/>
      <c r="U8" s="49"/>
      <c r="W8" s="49"/>
      <c r="X8" s="49"/>
      <c r="Y8" s="49"/>
      <c r="Z8" s="49"/>
    </row>
    <row r="9" spans="1:26" ht="12.75" customHeight="1">
      <c r="A9" s="104" t="str">
        <f t="shared" si="0"/>
        <v>WALL R11</v>
      </c>
      <c r="B9" s="104" t="str">
        <f>'UA Optimizer'!Z48</f>
        <v>WALL R11</v>
      </c>
      <c r="C9" s="98">
        <f>'UA Optimizer'!AE48</f>
        <v>2335.720138316092</v>
      </c>
      <c r="D9" s="98">
        <v>45</v>
      </c>
      <c r="E9" s="99">
        <f>'UA Optimizer'!AB48</f>
        <v>816.436211241472</v>
      </c>
      <c r="F9" s="100">
        <v>0</v>
      </c>
      <c r="G9" s="101" t="s">
        <v>169</v>
      </c>
      <c r="H9" s="49"/>
      <c r="I9" s="49"/>
      <c r="J9" s="49"/>
      <c r="K9" s="49"/>
      <c r="L9" s="49"/>
      <c r="M9" s="49"/>
      <c r="S9" s="49"/>
      <c r="T9" s="49"/>
      <c r="U9" s="49"/>
      <c r="W9" s="49"/>
      <c r="X9" s="49"/>
      <c r="Y9" s="49"/>
      <c r="Z9" s="49"/>
    </row>
    <row r="10" spans="1:26" ht="12.75" customHeight="1">
      <c r="A10" s="104" t="str">
        <f t="shared" si="0"/>
        <v>FLOOR R19</v>
      </c>
      <c r="B10" s="104" t="str">
        <f>'UA Optimizer'!Z49</f>
        <v>FLOOR R19</v>
      </c>
      <c r="C10" s="98">
        <f>'UA Optimizer'!AE49</f>
        <v>717.3245818671458</v>
      </c>
      <c r="D10" s="98">
        <v>45</v>
      </c>
      <c r="E10" s="99">
        <f>'UA Optimizer'!AB49</f>
        <v>268.14356430004733</v>
      </c>
      <c r="F10" s="100">
        <v>0</v>
      </c>
      <c r="G10" s="101" t="s">
        <v>169</v>
      </c>
      <c r="H10" s="49"/>
      <c r="I10" s="49"/>
      <c r="J10" s="49"/>
      <c r="K10" s="49"/>
      <c r="L10" s="49"/>
      <c r="M10" s="49"/>
      <c r="S10" s="49"/>
      <c r="T10" s="49"/>
      <c r="U10" s="49"/>
      <c r="W10" s="49"/>
      <c r="X10" s="49"/>
      <c r="Y10" s="49"/>
      <c r="Z10" s="49"/>
    </row>
    <row r="11" spans="1:26" ht="12.75" customHeight="1">
      <c r="A11" s="104" t="str">
        <f t="shared" si="0"/>
        <v>ATTIC R38</v>
      </c>
      <c r="B11" s="104" t="str">
        <f>'UA Optimizer'!Z50</f>
        <v>ATTIC R38</v>
      </c>
      <c r="C11" s="98">
        <f>'UA Optimizer'!AE50</f>
        <v>749.1776030875044</v>
      </c>
      <c r="D11" s="98">
        <v>45</v>
      </c>
      <c r="E11" s="99">
        <f>'UA Optimizer'!AB50</f>
        <v>312.1941986211782</v>
      </c>
      <c r="F11" s="100">
        <v>0</v>
      </c>
      <c r="G11" s="101" t="s">
        <v>169</v>
      </c>
      <c r="H11" s="49"/>
      <c r="I11" s="49"/>
      <c r="J11" s="49"/>
      <c r="K11" s="49"/>
      <c r="L11" s="49"/>
      <c r="M11" s="49"/>
      <c r="S11" s="49"/>
      <c r="T11" s="49"/>
      <c r="U11" s="49"/>
      <c r="W11" s="49"/>
      <c r="X11" s="49"/>
      <c r="Y11" s="49"/>
      <c r="Z11" s="49"/>
    </row>
    <row r="12" spans="1:26" ht="12.75" customHeight="1">
      <c r="A12" s="104" t="str">
        <f t="shared" si="0"/>
        <v>VAULT R38</v>
      </c>
      <c r="B12" s="104" t="str">
        <f>'UA Optimizer'!Z51</f>
        <v>VAULT R38</v>
      </c>
      <c r="C12" s="98">
        <f>'UA Optimizer'!AE51</f>
        <v>273.84864708460736</v>
      </c>
      <c r="D12" s="98">
        <v>45</v>
      </c>
      <c r="E12" s="99">
        <f>'UA Optimizer'!AB51</f>
        <v>133.79751369479067</v>
      </c>
      <c r="F12" s="100">
        <v>0</v>
      </c>
      <c r="G12" s="101" t="s">
        <v>169</v>
      </c>
      <c r="H12" s="49"/>
      <c r="I12" s="49"/>
      <c r="J12" s="49"/>
      <c r="K12" s="49"/>
      <c r="L12" s="49"/>
      <c r="M12" s="49"/>
      <c r="S12" s="49"/>
      <c r="T12" s="49"/>
      <c r="U12" s="49"/>
      <c r="W12" s="49"/>
      <c r="X12" s="49"/>
      <c r="Y12" s="49"/>
      <c r="Z12" s="49"/>
    </row>
    <row r="13" spans="1:26" ht="12.75" customHeight="1">
      <c r="A13" s="104" t="str">
        <f t="shared" si="0"/>
        <v>FLOOR R30</v>
      </c>
      <c r="B13" s="104" t="str">
        <f>'UA Optimizer'!Z52</f>
        <v>FLOOR R30</v>
      </c>
      <c r="C13" s="98">
        <f>'UA Optimizer'!AE52</f>
        <v>604.0571645372711</v>
      </c>
      <c r="D13" s="98">
        <v>45</v>
      </c>
      <c r="E13" s="99">
        <f>'UA Optimizer'!AB52</f>
        <v>337.5</v>
      </c>
      <c r="F13" s="100">
        <v>0</v>
      </c>
      <c r="G13" s="101" t="s">
        <v>169</v>
      </c>
      <c r="H13" s="49"/>
      <c r="I13" s="49"/>
      <c r="J13" s="49"/>
      <c r="K13" s="49"/>
      <c r="L13" s="49"/>
      <c r="M13" s="49"/>
      <c r="S13" s="49"/>
      <c r="T13" s="49"/>
      <c r="U13" s="49"/>
      <c r="W13" s="49"/>
      <c r="X13" s="49"/>
      <c r="Y13" s="49"/>
      <c r="Z13" s="49"/>
    </row>
    <row r="14" spans="1:26" ht="12.75" customHeight="1">
      <c r="A14" s="104" t="str">
        <f t="shared" si="0"/>
        <v>CLASS 35 PRIME WINDOW (Energy Star)</v>
      </c>
      <c r="B14" s="104" t="str">
        <f>'UA Optimizer'!Z53</f>
        <v>CLASS 35 PRIME WINDOW (Energy Star)</v>
      </c>
      <c r="C14" s="98">
        <f>'UA Optimizer'!AE53</f>
        <v>4094.6907282668662</v>
      </c>
      <c r="D14" s="98">
        <v>45</v>
      </c>
      <c r="E14" s="99">
        <f>'UA Optimizer'!AB53</f>
        <v>2385.8423548193973</v>
      </c>
      <c r="F14" s="100">
        <v>0</v>
      </c>
      <c r="G14" s="101" t="s">
        <v>169</v>
      </c>
      <c r="H14" s="49"/>
      <c r="I14" s="49"/>
      <c r="J14" s="49"/>
      <c r="K14" s="49"/>
      <c r="L14" s="49"/>
      <c r="M14" s="49"/>
      <c r="S14" s="49"/>
      <c r="T14" s="49"/>
      <c r="U14" s="49"/>
      <c r="W14" s="49"/>
      <c r="X14" s="49"/>
      <c r="Y14" s="49"/>
      <c r="Z14" s="49"/>
    </row>
    <row r="15" spans="1:26" ht="12.75" customHeight="1">
      <c r="A15" s="104" t="str">
        <f t="shared" si="0"/>
        <v>FLOOR R38</v>
      </c>
      <c r="B15" s="104" t="str">
        <f>'UA Optimizer'!Z54</f>
        <v>FLOOR R38</v>
      </c>
      <c r="C15" s="98">
        <f>'UA Optimizer'!AE54</f>
        <v>189.70723220041964</v>
      </c>
      <c r="D15" s="98">
        <v>45</v>
      </c>
      <c r="E15" s="99">
        <f>'UA Optimizer'!AB54</f>
        <v>175.5</v>
      </c>
      <c r="F15" s="100">
        <v>0</v>
      </c>
      <c r="G15" s="101" t="s">
        <v>169</v>
      </c>
      <c r="H15" s="49"/>
      <c r="I15" s="49"/>
      <c r="J15" s="49"/>
      <c r="K15" s="49"/>
      <c r="L15" s="49"/>
      <c r="M15" s="49"/>
      <c r="S15" s="49"/>
      <c r="T15" s="49"/>
      <c r="U15" s="49"/>
      <c r="W15" s="49"/>
      <c r="X15" s="49"/>
      <c r="Y15" s="49"/>
      <c r="Z15" s="49"/>
    </row>
    <row r="16" spans="1:26" ht="12.75" customHeight="1">
      <c r="A16" s="104" t="str">
        <f t="shared" si="0"/>
        <v>ATTIC R49</v>
      </c>
      <c r="B16" s="104" t="str">
        <f>'UA Optimizer'!Z55</f>
        <v>ATTIC R49</v>
      </c>
      <c r="C16" s="98">
        <f>'UA Optimizer'!AE55</f>
        <v>165.94053252271078</v>
      </c>
      <c r="D16" s="98">
        <v>45</v>
      </c>
      <c r="E16" s="99">
        <f>'UA Optimizer'!AB55</f>
        <v>171.9601370111855</v>
      </c>
      <c r="F16" s="100">
        <v>0</v>
      </c>
      <c r="G16" s="101" t="s">
        <v>169</v>
      </c>
      <c r="H16" s="49"/>
      <c r="I16" s="49"/>
      <c r="J16" s="49"/>
      <c r="K16" s="49"/>
      <c r="L16" s="49"/>
      <c r="M16" s="49"/>
      <c r="S16" s="49"/>
      <c r="T16" s="49"/>
      <c r="U16" s="49"/>
      <c r="W16" s="49"/>
      <c r="X16" s="49"/>
      <c r="Y16" s="49"/>
      <c r="Z16" s="49"/>
    </row>
    <row r="17" spans="1:26" ht="12.75" customHeight="1">
      <c r="A17" s="104" t="str">
        <f t="shared" si="0"/>
        <v>CLASS 25 PRIME WINDOW </v>
      </c>
      <c r="B17" s="104" t="str">
        <f>'UA Optimizer'!Z56</f>
        <v>CLASS 25 PRIME WINDOW </v>
      </c>
      <c r="C17" s="98">
        <f>'UA Optimizer'!AE56</f>
        <v>494.43437152064234</v>
      </c>
      <c r="D17" s="98">
        <v>45</v>
      </c>
      <c r="E17" s="99">
        <f>'UA Optimizer'!AB56</f>
        <v>715.2</v>
      </c>
      <c r="F17" s="100">
        <v>0</v>
      </c>
      <c r="G17" s="101" t="s">
        <v>169</v>
      </c>
      <c r="H17" s="49"/>
      <c r="I17" s="49"/>
      <c r="J17" s="49"/>
      <c r="K17" s="49"/>
      <c r="L17" s="49"/>
      <c r="M17" s="49"/>
      <c r="S17" s="49"/>
      <c r="T17" s="49"/>
      <c r="U17" s="49"/>
      <c r="W17" s="49"/>
      <c r="X17" s="49"/>
      <c r="Y17" s="49"/>
      <c r="Z17" s="49"/>
    </row>
    <row r="18" spans="1:22" ht="12.75" customHeight="1">
      <c r="A18" s="104" t="str">
        <f t="shared" si="0"/>
        <v>DOOR R5</v>
      </c>
      <c r="B18" s="104" t="str">
        <f>'UA Optimizer'!Z57</f>
        <v>DOOR R5</v>
      </c>
      <c r="C18" s="98">
        <f>'UA Optimizer'!AE57</f>
        <v>386.09645473193814</v>
      </c>
      <c r="D18" s="98">
        <v>45</v>
      </c>
      <c r="E18" s="99">
        <f>'UA Optimizer'!AB57</f>
        <v>600.46875</v>
      </c>
      <c r="F18" s="100">
        <v>0</v>
      </c>
      <c r="G18" s="101" t="s">
        <v>169</v>
      </c>
      <c r="I18"/>
      <c r="J18"/>
      <c r="K18"/>
      <c r="L18"/>
      <c r="M18"/>
      <c r="N18"/>
      <c r="O18"/>
      <c r="P18"/>
      <c r="Q18"/>
      <c r="R18"/>
      <c r="V18"/>
    </row>
    <row r="19" spans="1:22" ht="12.75" customHeight="1">
      <c r="A19" s="104" t="str">
        <f t="shared" si="0"/>
        <v>INFILTRATION @ O.35 ACH</v>
      </c>
      <c r="B19" s="104" t="str">
        <f>'UA Optimizer'!Z58</f>
        <v>INFILTRATION @ O.35 ACH</v>
      </c>
      <c r="C19" s="98">
        <f>'UA Optimizer'!AE58</f>
        <v>416.11990169937053</v>
      </c>
      <c r="D19" s="98">
        <v>45</v>
      </c>
      <c r="E19" s="99">
        <f>'UA Optimizer'!AB58</f>
        <v>675</v>
      </c>
      <c r="F19" s="100">
        <v>0</v>
      </c>
      <c r="G19" s="101" t="s">
        <v>169</v>
      </c>
      <c r="I19"/>
      <c r="J19"/>
      <c r="K19"/>
      <c r="L19"/>
      <c r="M19"/>
      <c r="N19"/>
      <c r="O19"/>
      <c r="P19"/>
      <c r="Q19"/>
      <c r="R19"/>
      <c r="V19"/>
    </row>
    <row r="20" spans="1:22" ht="12.75" customHeight="1">
      <c r="A20" s="104" t="str">
        <f t="shared" si="0"/>
        <v>VAULT R49</v>
      </c>
      <c r="B20" s="104" t="str">
        <f>'UA Optimizer'!Z59</f>
        <v>VAULT R49</v>
      </c>
      <c r="C20" s="98">
        <f>'UA Optimizer'!AE59</f>
        <v>40.95169425724998</v>
      </c>
      <c r="D20" s="98">
        <v>45</v>
      </c>
      <c r="E20" s="99">
        <f>'UA Optimizer'!AB59</f>
        <v>73.69720157622235</v>
      </c>
      <c r="F20" s="100">
        <v>0</v>
      </c>
      <c r="G20" s="101" t="s">
        <v>169</v>
      </c>
      <c r="I20"/>
      <c r="J20"/>
      <c r="K20"/>
      <c r="L20"/>
      <c r="M20"/>
      <c r="N20"/>
      <c r="O20"/>
      <c r="P20"/>
      <c r="Q20"/>
      <c r="R20"/>
      <c r="V20"/>
    </row>
    <row r="21" spans="9:22" ht="12.75" customHeight="1">
      <c r="I21"/>
      <c r="J21"/>
      <c r="K21"/>
      <c r="L21"/>
      <c r="M21"/>
      <c r="N21"/>
      <c r="O21"/>
      <c r="P21"/>
      <c r="Q21"/>
      <c r="R21"/>
      <c r="V21"/>
    </row>
    <row r="22" spans="9:22" ht="12.75" customHeight="1" thickBot="1">
      <c r="I22"/>
      <c r="J22"/>
      <c r="K22"/>
      <c r="L22"/>
      <c r="M22"/>
      <c r="N22"/>
      <c r="O22"/>
      <c r="P22"/>
      <c r="Q22"/>
      <c r="R22"/>
      <c r="V22"/>
    </row>
    <row r="23" spans="1:22" ht="12.75" customHeight="1" thickBot="1">
      <c r="A23" s="86" t="s">
        <v>599</v>
      </c>
      <c r="B23" s="50"/>
      <c r="C23" s="50"/>
      <c r="D23" s="51"/>
      <c r="I23"/>
      <c r="J23"/>
      <c r="K23"/>
      <c r="L23"/>
      <c r="M23"/>
      <c r="N23"/>
      <c r="O23"/>
      <c r="P23"/>
      <c r="Q23"/>
      <c r="R23"/>
      <c r="V23"/>
    </row>
    <row r="24" spans="1:41" ht="12.75" customHeight="1" thickBot="1">
      <c r="A24" s="52" t="s">
        <v>136</v>
      </c>
      <c r="B24" s="53"/>
      <c r="C24" s="54" t="s">
        <v>83</v>
      </c>
      <c r="D24" s="56"/>
      <c r="E24" s="56"/>
      <c r="F24" s="56"/>
      <c r="G24" s="56"/>
      <c r="H24" s="56"/>
      <c r="I24" s="56"/>
      <c r="J24" s="55"/>
      <c r="K24" s="54" t="s">
        <v>50</v>
      </c>
      <c r="L24" s="56"/>
      <c r="M24" s="55"/>
      <c r="N24" s="54" t="s">
        <v>51</v>
      </c>
      <c r="O24" s="56"/>
      <c r="P24" s="56"/>
      <c r="Q24" s="55"/>
      <c r="R24" s="54" t="s">
        <v>52</v>
      </c>
      <c r="S24" s="55"/>
      <c r="T24" s="54" t="s">
        <v>53</v>
      </c>
      <c r="U24" s="56"/>
      <c r="V24" s="56"/>
      <c r="W24" s="56"/>
      <c r="X24" s="55"/>
      <c r="Y24" s="54" t="s">
        <v>54</v>
      </c>
      <c r="Z24" s="56"/>
      <c r="AA24" s="56"/>
      <c r="AB24" s="56"/>
      <c r="AC24" s="55"/>
      <c r="AD24" s="54" t="s">
        <v>84</v>
      </c>
      <c r="AE24" s="56"/>
      <c r="AF24" s="56"/>
      <c r="AG24" s="56"/>
      <c r="AH24" s="56"/>
      <c r="AI24" s="55"/>
      <c r="AJ24" s="54" t="s">
        <v>85</v>
      </c>
      <c r="AK24" s="56"/>
      <c r="AL24" s="56"/>
      <c r="AM24" s="56"/>
      <c r="AN24" s="56"/>
      <c r="AO24" s="55"/>
    </row>
    <row r="25" spans="1:41" ht="51">
      <c r="A25" s="57" t="s">
        <v>56</v>
      </c>
      <c r="B25" s="58" t="s">
        <v>57</v>
      </c>
      <c r="C25" s="59" t="s">
        <v>86</v>
      </c>
      <c r="D25" s="59" t="s">
        <v>87</v>
      </c>
      <c r="E25" s="59" t="s">
        <v>88</v>
      </c>
      <c r="F25" s="59" t="s">
        <v>89</v>
      </c>
      <c r="G25" s="59" t="s">
        <v>155</v>
      </c>
      <c r="H25" s="59" t="s">
        <v>91</v>
      </c>
      <c r="I25" s="59" t="s">
        <v>92</v>
      </c>
      <c r="J25" s="59" t="s">
        <v>93</v>
      </c>
      <c r="K25" s="59" t="s">
        <v>94</v>
      </c>
      <c r="L25" s="59" t="s">
        <v>95</v>
      </c>
      <c r="M25" s="59" t="s">
        <v>96</v>
      </c>
      <c r="N25" s="59" t="s">
        <v>25</v>
      </c>
      <c r="O25" s="59" t="s">
        <v>26</v>
      </c>
      <c r="P25" s="59" t="s">
        <v>27</v>
      </c>
      <c r="Q25" s="59" t="s">
        <v>9</v>
      </c>
      <c r="R25" s="59" t="s">
        <v>58</v>
      </c>
      <c r="S25" s="59" t="s">
        <v>9</v>
      </c>
      <c r="T25" s="59" t="s">
        <v>25</v>
      </c>
      <c r="U25" s="59" t="s">
        <v>26</v>
      </c>
      <c r="V25" s="59" t="s">
        <v>27</v>
      </c>
      <c r="W25" s="59" t="s">
        <v>9</v>
      </c>
      <c r="X25" s="59" t="s">
        <v>62</v>
      </c>
      <c r="Y25" s="59" t="s">
        <v>25</v>
      </c>
      <c r="Z25" s="59" t="s">
        <v>26</v>
      </c>
      <c r="AA25" s="59" t="s">
        <v>27</v>
      </c>
      <c r="AB25" s="59" t="s">
        <v>9</v>
      </c>
      <c r="AC25" s="59" t="s">
        <v>62</v>
      </c>
      <c r="AD25" s="59" t="s">
        <v>97</v>
      </c>
      <c r="AE25" s="59" t="s">
        <v>98</v>
      </c>
      <c r="AF25" s="59" t="s">
        <v>61</v>
      </c>
      <c r="AG25" s="59" t="s">
        <v>99</v>
      </c>
      <c r="AH25" s="59" t="s">
        <v>100</v>
      </c>
      <c r="AI25" s="59" t="s">
        <v>101</v>
      </c>
      <c r="AJ25" s="59" t="s">
        <v>102</v>
      </c>
      <c r="AK25" s="59" t="s">
        <v>59</v>
      </c>
      <c r="AL25" s="59" t="s">
        <v>60</v>
      </c>
      <c r="AM25" s="59" t="s">
        <v>103</v>
      </c>
      <c r="AN25" s="59" t="s">
        <v>104</v>
      </c>
      <c r="AO25" s="59" t="s">
        <v>105</v>
      </c>
    </row>
    <row r="26" spans="1:41" ht="12.75" customHeight="1">
      <c r="A26" t="s">
        <v>483</v>
      </c>
      <c r="B26" t="s">
        <v>483</v>
      </c>
      <c r="C26" s="49">
        <v>45</v>
      </c>
      <c r="D26" s="49">
        <v>2063.1247783308136</v>
      </c>
      <c r="E26" s="49">
        <v>349.11</v>
      </c>
      <c r="F26" s="49">
        <v>0</v>
      </c>
      <c r="G26" s="49">
        <v>0</v>
      </c>
      <c r="H26" s="49" t="s">
        <v>169</v>
      </c>
      <c r="I26" s="49">
        <v>0.21</v>
      </c>
      <c r="J26" s="49">
        <v>0.4009999930858612</v>
      </c>
      <c r="K26" s="49">
        <v>2220.438042678538</v>
      </c>
      <c r="L26" s="60">
        <v>0.4840158946301788</v>
      </c>
      <c r="M26" s="49">
        <v>1.2070222019344086</v>
      </c>
      <c r="P26" s="49">
        <v>349.1070744930817</v>
      </c>
      <c r="Q26" s="49">
        <v>0</v>
      </c>
      <c r="R26" s="49">
        <v>0</v>
      </c>
      <c r="S26" s="49">
        <v>0</v>
      </c>
      <c r="T26" s="49">
        <v>0</v>
      </c>
      <c r="U26" s="49">
        <v>0</v>
      </c>
      <c r="V26" s="49">
        <v>349.1070744930817</v>
      </c>
      <c r="W26" s="49">
        <v>0</v>
      </c>
      <c r="X26" s="49">
        <v>349.1070744930817</v>
      </c>
      <c r="Y26" s="49">
        <v>0</v>
      </c>
      <c r="Z26" s="49">
        <v>0</v>
      </c>
      <c r="AA26" s="49">
        <v>8.52431583404541</v>
      </c>
      <c r="AB26" s="49">
        <v>0</v>
      </c>
      <c r="AC26" s="49">
        <v>8.524315778265306</v>
      </c>
      <c r="AD26" s="49">
        <v>934.6485192603013</v>
      </c>
      <c r="AE26" s="49">
        <v>26.781897351245178</v>
      </c>
      <c r="AF26" s="49">
        <v>138.52774047851562</v>
      </c>
      <c r="AG26" s="49">
        <v>1098.7437031617287</v>
      </c>
      <c r="AH26" s="49">
        <v>349.1070744930817</v>
      </c>
      <c r="AI26" s="48">
        <v>3.147297157346786</v>
      </c>
      <c r="AJ26" s="49">
        <v>445.2518310546875</v>
      </c>
      <c r="AK26" s="49">
        <v>0</v>
      </c>
      <c r="AL26" s="49">
        <v>0</v>
      </c>
      <c r="AM26" s="49">
        <v>1543.9954833984375</v>
      </c>
      <c r="AN26" s="49">
        <v>349.1070744930817</v>
      </c>
      <c r="AO26" s="48">
        <v>4.422698974609375</v>
      </c>
    </row>
    <row r="27" spans="1:41" ht="12.75" customHeight="1">
      <c r="A27" t="s">
        <v>172</v>
      </c>
      <c r="B27" t="s">
        <v>172</v>
      </c>
      <c r="C27" s="49">
        <v>45</v>
      </c>
      <c r="D27" s="49">
        <v>3816.110009200973</v>
      </c>
      <c r="E27" s="49">
        <v>814.58</v>
      </c>
      <c r="F27" s="49">
        <v>0</v>
      </c>
      <c r="G27" s="49">
        <v>0</v>
      </c>
      <c r="H27" s="49" t="s">
        <v>169</v>
      </c>
      <c r="I27" s="49">
        <v>0.21</v>
      </c>
      <c r="J27" s="49">
        <v>0.4009999930858612</v>
      </c>
      <c r="K27" s="49">
        <v>4107.088397402546</v>
      </c>
      <c r="L27" s="60">
        <v>0.8952720259629495</v>
      </c>
      <c r="M27" s="49">
        <v>2.2325986069811625</v>
      </c>
      <c r="P27" s="49">
        <v>814.5831738171904</v>
      </c>
      <c r="Q27" s="49">
        <v>0</v>
      </c>
      <c r="R27" s="49">
        <v>0</v>
      </c>
      <c r="S27" s="49">
        <v>0</v>
      </c>
      <c r="T27" s="49">
        <v>0</v>
      </c>
      <c r="U27" s="49">
        <v>0</v>
      </c>
      <c r="V27" s="49">
        <v>814.5831738171904</v>
      </c>
      <c r="W27" s="49">
        <v>0</v>
      </c>
      <c r="X27" s="49">
        <v>814.5831738171904</v>
      </c>
      <c r="Y27" s="49">
        <v>0</v>
      </c>
      <c r="Z27" s="49">
        <v>0</v>
      </c>
      <c r="AA27" s="49">
        <v>10.753279685974121</v>
      </c>
      <c r="AB27" s="49">
        <v>0</v>
      </c>
      <c r="AC27" s="49">
        <v>10.75327924739821</v>
      </c>
      <c r="AD27" s="49">
        <v>1728.795857088094</v>
      </c>
      <c r="AE27" s="49">
        <v>49.53780189202497</v>
      </c>
      <c r="AF27" s="49">
        <v>256.23126220703125</v>
      </c>
      <c r="AG27" s="49">
        <v>2032.318576302777</v>
      </c>
      <c r="AH27" s="49">
        <v>814.5831738171904</v>
      </c>
      <c r="AI27" s="48">
        <v>2.4949184339018426</v>
      </c>
      <c r="AJ27" s="49">
        <v>823.5709838867188</v>
      </c>
      <c r="AK27" s="49">
        <v>0</v>
      </c>
      <c r="AL27" s="49">
        <v>0</v>
      </c>
      <c r="AM27" s="49">
        <v>2855.8896484375</v>
      </c>
      <c r="AN27" s="49">
        <v>814.5831738171904</v>
      </c>
      <c r="AO27" s="48">
        <v>3.5059521198272705</v>
      </c>
    </row>
    <row r="28" spans="1:41" ht="12.75" customHeight="1">
      <c r="A28" t="s">
        <v>173</v>
      </c>
      <c r="B28" t="s">
        <v>173</v>
      </c>
      <c r="C28" s="49">
        <v>45</v>
      </c>
      <c r="D28" s="49">
        <v>2666.166766448534</v>
      </c>
      <c r="E28" s="49">
        <v>810</v>
      </c>
      <c r="F28" s="49">
        <v>0</v>
      </c>
      <c r="G28" s="49">
        <v>0</v>
      </c>
      <c r="H28" s="49" t="s">
        <v>169</v>
      </c>
      <c r="I28" s="49">
        <v>0.21</v>
      </c>
      <c r="J28" s="49">
        <v>0.4009999930858612</v>
      </c>
      <c r="K28" s="49">
        <v>2869.4619823902344</v>
      </c>
      <c r="L28" s="60">
        <v>0.6254915389751171</v>
      </c>
      <c r="M28" s="49">
        <v>1.5598293011471158</v>
      </c>
      <c r="P28" s="49">
        <v>810.0001728392616</v>
      </c>
      <c r="Q28" s="49">
        <v>0</v>
      </c>
      <c r="R28" s="49">
        <v>0</v>
      </c>
      <c r="S28" s="49">
        <v>0</v>
      </c>
      <c r="T28" s="49">
        <v>0</v>
      </c>
      <c r="U28" s="49">
        <v>0</v>
      </c>
      <c r="V28" s="49">
        <v>810.0001728392616</v>
      </c>
      <c r="W28" s="49">
        <v>0</v>
      </c>
      <c r="X28" s="49">
        <v>810.0001728392616</v>
      </c>
      <c r="Y28" s="49">
        <v>0</v>
      </c>
      <c r="Z28" s="49">
        <v>0</v>
      </c>
      <c r="AA28" s="49">
        <v>15.30467700958252</v>
      </c>
      <c r="AB28" s="49">
        <v>0</v>
      </c>
      <c r="AC28" s="49">
        <v>15.304677258568923</v>
      </c>
      <c r="AD28" s="49">
        <v>1207.8420299804977</v>
      </c>
      <c r="AE28" s="49">
        <v>34.61012412351359</v>
      </c>
      <c r="AF28" s="49">
        <v>179.01876831054688</v>
      </c>
      <c r="AG28" s="49">
        <v>1419.9014891271904</v>
      </c>
      <c r="AH28" s="49">
        <v>810.0001728392616</v>
      </c>
      <c r="AI28" s="48">
        <v>1.7529644273408804</v>
      </c>
      <c r="AJ28" s="49">
        <v>575.39697265625</v>
      </c>
      <c r="AK28" s="49">
        <v>0</v>
      </c>
      <c r="AL28" s="49">
        <v>0</v>
      </c>
      <c r="AM28" s="49">
        <v>1995.2984619140625</v>
      </c>
      <c r="AN28" s="49">
        <v>810.0001728392616</v>
      </c>
      <c r="AO28" s="48">
        <v>2.4633309841156006</v>
      </c>
    </row>
    <row r="29" spans="1:41" ht="12.75" customHeight="1">
      <c r="A29" t="s">
        <v>171</v>
      </c>
      <c r="B29" t="s">
        <v>171</v>
      </c>
      <c r="C29" s="49">
        <v>45</v>
      </c>
      <c r="D29" s="49">
        <v>2335.720138316092</v>
      </c>
      <c r="E29" s="49">
        <v>816.44</v>
      </c>
      <c r="F29" s="49">
        <v>0</v>
      </c>
      <c r="G29" s="49">
        <v>0</v>
      </c>
      <c r="H29" s="49" t="s">
        <v>169</v>
      </c>
      <c r="I29" s="49">
        <v>0.21</v>
      </c>
      <c r="J29" s="49">
        <v>0.4009999930858612</v>
      </c>
      <c r="K29" s="49">
        <v>2513.8187988626937</v>
      </c>
      <c r="L29" s="60">
        <v>0.5479676674076148</v>
      </c>
      <c r="M29" s="49">
        <v>1.3665029348025082</v>
      </c>
      <c r="P29" s="49">
        <v>816.4363742126295</v>
      </c>
      <c r="Q29" s="49">
        <v>0</v>
      </c>
      <c r="R29" s="49">
        <v>0</v>
      </c>
      <c r="S29" s="49">
        <v>0</v>
      </c>
      <c r="T29" s="49">
        <v>0</v>
      </c>
      <c r="U29" s="49">
        <v>0</v>
      </c>
      <c r="V29" s="49">
        <v>816.4363742126295</v>
      </c>
      <c r="W29" s="49">
        <v>0</v>
      </c>
      <c r="X29" s="49">
        <v>816.4363742126295</v>
      </c>
      <c r="Y29" s="49">
        <v>0</v>
      </c>
      <c r="Z29" s="49">
        <v>0</v>
      </c>
      <c r="AA29" s="49">
        <v>17.60872459411621</v>
      </c>
      <c r="AB29" s="49">
        <v>0</v>
      </c>
      <c r="AC29" s="49">
        <v>17.60872516162485</v>
      </c>
      <c r="AD29" s="49">
        <v>1058.1412193836543</v>
      </c>
      <c r="AE29" s="49">
        <v>30.320520427382196</v>
      </c>
      <c r="AF29" s="49">
        <v>156.8310546875</v>
      </c>
      <c r="AG29" s="49">
        <v>1243.9178779024785</v>
      </c>
      <c r="AH29" s="49">
        <v>816.4363742126295</v>
      </c>
      <c r="AI29" s="48">
        <v>1.5235943879914853</v>
      </c>
      <c r="AJ29" s="49">
        <v>504.0818176269531</v>
      </c>
      <c r="AK29" s="49">
        <v>0</v>
      </c>
      <c r="AL29" s="49">
        <v>0</v>
      </c>
      <c r="AM29" s="49">
        <v>1747.999755859375</v>
      </c>
      <c r="AN29" s="49">
        <v>816.4363742126295</v>
      </c>
      <c r="AO29" s="48">
        <v>2.1410117149353027</v>
      </c>
    </row>
    <row r="30" spans="1:41" ht="12.75" customHeight="1">
      <c r="A30" t="s">
        <v>174</v>
      </c>
      <c r="B30" t="s">
        <v>174</v>
      </c>
      <c r="C30" s="49">
        <v>45</v>
      </c>
      <c r="D30" s="49">
        <v>717.3245818671458</v>
      </c>
      <c r="E30" s="49">
        <v>268.14</v>
      </c>
      <c r="F30" s="49">
        <v>0</v>
      </c>
      <c r="G30" s="49">
        <v>0</v>
      </c>
      <c r="H30" s="49" t="s">
        <v>169</v>
      </c>
      <c r="I30" s="49">
        <v>0.21</v>
      </c>
      <c r="J30" s="49">
        <v>0.4009999930858612</v>
      </c>
      <c r="K30" s="49">
        <v>772.0205812345156</v>
      </c>
      <c r="L30" s="60">
        <v>0.16828671870905812</v>
      </c>
      <c r="M30" s="49">
        <v>0.41966763493939746</v>
      </c>
      <c r="P30" s="49">
        <v>268.1436572169652</v>
      </c>
      <c r="Q30" s="49">
        <v>0</v>
      </c>
      <c r="R30" s="49">
        <v>0</v>
      </c>
      <c r="S30" s="49">
        <v>0</v>
      </c>
      <c r="T30" s="49">
        <v>0</v>
      </c>
      <c r="U30" s="49">
        <v>0</v>
      </c>
      <c r="V30" s="49">
        <v>268.1436572169652</v>
      </c>
      <c r="W30" s="49">
        <v>0</v>
      </c>
      <c r="X30" s="49">
        <v>268.1436572169652</v>
      </c>
      <c r="Y30" s="49">
        <v>0</v>
      </c>
      <c r="Z30" s="49">
        <v>0</v>
      </c>
      <c r="AA30" s="49">
        <v>18.831209182739258</v>
      </c>
      <c r="AB30" s="49">
        <v>0</v>
      </c>
      <c r="AC30" s="49">
        <v>18.83120839233774</v>
      </c>
      <c r="AD30" s="49">
        <v>324.966461220814</v>
      </c>
      <c r="AE30" s="49">
        <v>9.311755411436543</v>
      </c>
      <c r="AF30" s="49">
        <v>48.16448974609375</v>
      </c>
      <c r="AG30" s="49">
        <v>382.0204548182406</v>
      </c>
      <c r="AH30" s="49">
        <v>268.1436572169652</v>
      </c>
      <c r="AI30" s="48">
        <v>1.4246857777028576</v>
      </c>
      <c r="AJ30" s="49">
        <v>154.80889892578125</v>
      </c>
      <c r="AK30" s="49">
        <v>0</v>
      </c>
      <c r="AL30" s="49">
        <v>0</v>
      </c>
      <c r="AM30" s="49">
        <v>536.829345703125</v>
      </c>
      <c r="AN30" s="49">
        <v>268.1436572169652</v>
      </c>
      <c r="AO30" s="48">
        <v>2.002021312713623</v>
      </c>
    </row>
    <row r="31" spans="1:41" ht="12.75" customHeight="1">
      <c r="A31" t="s">
        <v>177</v>
      </c>
      <c r="B31" t="s">
        <v>177</v>
      </c>
      <c r="C31" s="49">
        <v>45</v>
      </c>
      <c r="D31" s="49">
        <v>749.1776030875044</v>
      </c>
      <c r="E31" s="49">
        <v>312.19</v>
      </c>
      <c r="F31" s="49">
        <v>0</v>
      </c>
      <c r="G31" s="49">
        <v>0</v>
      </c>
      <c r="H31" s="49" t="s">
        <v>169</v>
      </c>
      <c r="I31" s="49">
        <v>0.21</v>
      </c>
      <c r="J31" s="49">
        <v>0.4009999930858612</v>
      </c>
      <c r="K31" s="49">
        <v>806.3023953229266</v>
      </c>
      <c r="L31" s="60">
        <v>0.1757595428080055</v>
      </c>
      <c r="M31" s="49">
        <v>0.4383031068291621</v>
      </c>
      <c r="P31" s="49">
        <v>312.1942666165618</v>
      </c>
      <c r="Q31" s="49">
        <v>0</v>
      </c>
      <c r="R31" s="49">
        <v>0</v>
      </c>
      <c r="S31" s="49">
        <v>0</v>
      </c>
      <c r="T31" s="49">
        <v>0</v>
      </c>
      <c r="U31" s="49">
        <v>0</v>
      </c>
      <c r="V31" s="49">
        <v>312.1942666165618</v>
      </c>
      <c r="W31" s="49">
        <v>0</v>
      </c>
      <c r="X31" s="49">
        <v>312.1942666165618</v>
      </c>
      <c r="Y31" s="49">
        <v>0</v>
      </c>
      <c r="Z31" s="49">
        <v>0</v>
      </c>
      <c r="AA31" s="49">
        <v>20.992612838745117</v>
      </c>
      <c r="AB31" s="49">
        <v>0</v>
      </c>
      <c r="AC31" s="49">
        <v>20.9926136188586</v>
      </c>
      <c r="AD31" s="49">
        <v>339.39669802969195</v>
      </c>
      <c r="AE31" s="49">
        <v>9.725246807405755</v>
      </c>
      <c r="AF31" s="49">
        <v>50.30324935913086</v>
      </c>
      <c r="AG31" s="49">
        <v>398.9841924242343</v>
      </c>
      <c r="AH31" s="49">
        <v>312.1942666165618</v>
      </c>
      <c r="AI31" s="48">
        <v>1.2779997427507799</v>
      </c>
      <c r="AJ31" s="49">
        <v>161.68325805664062</v>
      </c>
      <c r="AK31" s="49">
        <v>0</v>
      </c>
      <c r="AL31" s="49">
        <v>0</v>
      </c>
      <c r="AM31" s="49">
        <v>560.66748046875</v>
      </c>
      <c r="AN31" s="49">
        <v>312.1942666165618</v>
      </c>
      <c r="AO31" s="48">
        <v>1.7958929538726807</v>
      </c>
    </row>
    <row r="32" spans="1:41" ht="12.75" customHeight="1">
      <c r="A32" t="s">
        <v>485</v>
      </c>
      <c r="B32" t="s">
        <v>485</v>
      </c>
      <c r="C32" s="49">
        <v>45</v>
      </c>
      <c r="D32" s="49">
        <v>273.84864708460736</v>
      </c>
      <c r="E32" s="49">
        <v>133.8</v>
      </c>
      <c r="F32" s="49">
        <v>0</v>
      </c>
      <c r="G32" s="49">
        <v>0</v>
      </c>
      <c r="H32" s="49" t="s">
        <v>169</v>
      </c>
      <c r="I32" s="49">
        <v>0.21</v>
      </c>
      <c r="J32" s="49">
        <v>0.4009999930858612</v>
      </c>
      <c r="K32" s="49">
        <v>294.72960642480865</v>
      </c>
      <c r="L32" s="60">
        <v>0.06424579807487871</v>
      </c>
      <c r="M32" s="49">
        <v>0.1602139630489284</v>
      </c>
      <c r="P32" s="49">
        <v>133.797528549952</v>
      </c>
      <c r="Q32" s="49">
        <v>0</v>
      </c>
      <c r="R32" s="49">
        <v>0</v>
      </c>
      <c r="S32" s="49">
        <v>0</v>
      </c>
      <c r="T32" s="49">
        <v>0</v>
      </c>
      <c r="U32" s="49">
        <v>0</v>
      </c>
      <c r="V32" s="49">
        <v>133.797528549952</v>
      </c>
      <c r="W32" s="49">
        <v>0</v>
      </c>
      <c r="X32" s="49">
        <v>133.797528549952</v>
      </c>
      <c r="Y32" s="49">
        <v>0</v>
      </c>
      <c r="Z32" s="49">
        <v>0</v>
      </c>
      <c r="AA32" s="49">
        <v>24.612960815429688</v>
      </c>
      <c r="AB32" s="49">
        <v>0</v>
      </c>
      <c r="AC32" s="49">
        <v>24.61296117149723</v>
      </c>
      <c r="AD32" s="49">
        <v>124.06047137204433</v>
      </c>
      <c r="AE32" s="49">
        <v>3.5548922842810793</v>
      </c>
      <c r="AF32" s="49">
        <v>18.38746452331543</v>
      </c>
      <c r="AG32" s="49">
        <v>145.84162776718213</v>
      </c>
      <c r="AH32" s="49">
        <v>133.797528549952</v>
      </c>
      <c r="AI32" s="48">
        <v>1.0900173519478245</v>
      </c>
      <c r="AJ32" s="49">
        <v>59.1004524230957</v>
      </c>
      <c r="AK32" s="49">
        <v>0</v>
      </c>
      <c r="AL32" s="49">
        <v>0</v>
      </c>
      <c r="AM32" s="49">
        <v>204.94207763671875</v>
      </c>
      <c r="AN32" s="49">
        <v>133.797528549952</v>
      </c>
      <c r="AO32" s="48">
        <v>1.5317329168319702</v>
      </c>
    </row>
    <row r="33" spans="1:41" ht="12.75" customHeight="1">
      <c r="A33" t="s">
        <v>176</v>
      </c>
      <c r="B33" t="s">
        <v>176</v>
      </c>
      <c r="C33" s="49">
        <v>45</v>
      </c>
      <c r="D33" s="49">
        <v>604.0571645372711</v>
      </c>
      <c r="E33" s="49">
        <v>337.5</v>
      </c>
      <c r="F33" s="49">
        <v>0</v>
      </c>
      <c r="G33" s="49">
        <v>0</v>
      </c>
      <c r="H33" s="49" t="s">
        <v>169</v>
      </c>
      <c r="I33" s="49">
        <v>0.21</v>
      </c>
      <c r="J33" s="49">
        <v>0.4009999930858612</v>
      </c>
      <c r="K33" s="49">
        <v>650.116523333238</v>
      </c>
      <c r="L33" s="60">
        <v>0.1417138080896024</v>
      </c>
      <c r="M33" s="49">
        <v>0.35340102377323224</v>
      </c>
      <c r="P33" s="49">
        <v>337.500072016359</v>
      </c>
      <c r="Q33" s="49">
        <v>0</v>
      </c>
      <c r="R33" s="49">
        <v>0</v>
      </c>
      <c r="S33" s="49">
        <v>0</v>
      </c>
      <c r="T33" s="49">
        <v>0</v>
      </c>
      <c r="U33" s="49">
        <v>0</v>
      </c>
      <c r="V33" s="49">
        <v>337.500072016359</v>
      </c>
      <c r="W33" s="49">
        <v>0</v>
      </c>
      <c r="X33" s="49">
        <v>337.500072016359</v>
      </c>
      <c r="Y33" s="49">
        <v>0</v>
      </c>
      <c r="Z33" s="49">
        <v>0</v>
      </c>
      <c r="AA33" s="49">
        <v>28.146358489990234</v>
      </c>
      <c r="AB33" s="49">
        <v>0</v>
      </c>
      <c r="AC33" s="49">
        <v>28.146357851519895</v>
      </c>
      <c r="AD33" s="49">
        <v>273.6534117146886</v>
      </c>
      <c r="AE33" s="49">
        <v>7.841405010903017</v>
      </c>
      <c r="AF33" s="49">
        <v>40.55918884277344</v>
      </c>
      <c r="AG33" s="49">
        <v>321.6984286279321</v>
      </c>
      <c r="AH33" s="49">
        <v>337.500072016359</v>
      </c>
      <c r="AI33" s="69">
        <v>0.9531803258766091</v>
      </c>
      <c r="AJ33" s="49">
        <v>130.36415100097656</v>
      </c>
      <c r="AK33" s="49">
        <v>0</v>
      </c>
      <c r="AL33" s="49">
        <v>0</v>
      </c>
      <c r="AM33" s="49">
        <v>452.0625915527344</v>
      </c>
      <c r="AN33" s="49">
        <v>337.500072016359</v>
      </c>
      <c r="AO33" s="48">
        <v>1.3394443988800049</v>
      </c>
    </row>
    <row r="34" spans="1:41" ht="12.75" customHeight="1">
      <c r="A34" t="s">
        <v>488</v>
      </c>
      <c r="B34" t="s">
        <v>488</v>
      </c>
      <c r="C34" s="49">
        <v>45</v>
      </c>
      <c r="D34" s="49">
        <v>4094.6907282668662</v>
      </c>
      <c r="E34" s="49">
        <v>2385.84</v>
      </c>
      <c r="F34" s="49">
        <v>0</v>
      </c>
      <c r="G34" s="49">
        <v>0</v>
      </c>
      <c r="H34" s="49" t="s">
        <v>169</v>
      </c>
      <c r="I34" s="49">
        <v>0.21</v>
      </c>
      <c r="J34" s="49">
        <v>0.4009999930858612</v>
      </c>
      <c r="K34" s="49">
        <v>4406.910896297215</v>
      </c>
      <c r="L34" s="60">
        <v>0.9606279837710315</v>
      </c>
      <c r="M34" s="49">
        <v>2.39558104821549</v>
      </c>
      <c r="P34" s="49">
        <v>2385.8429090953564</v>
      </c>
      <c r="Q34" s="49">
        <v>0</v>
      </c>
      <c r="R34" s="49">
        <v>0</v>
      </c>
      <c r="S34" s="49">
        <v>0</v>
      </c>
      <c r="T34" s="49">
        <v>0</v>
      </c>
      <c r="U34" s="49">
        <v>0</v>
      </c>
      <c r="V34" s="49">
        <v>2385.8429090953564</v>
      </c>
      <c r="W34" s="49">
        <v>0</v>
      </c>
      <c r="X34" s="49">
        <v>2385.8429090953564</v>
      </c>
      <c r="Y34" s="49">
        <v>0</v>
      </c>
      <c r="Z34" s="49">
        <v>0</v>
      </c>
      <c r="AA34" s="49">
        <v>29.352636337280273</v>
      </c>
      <c r="AB34" s="49">
        <v>0</v>
      </c>
      <c r="AC34" s="49">
        <v>29.35263639578899</v>
      </c>
      <c r="AD34" s="49">
        <v>1855.0000786185399</v>
      </c>
      <c r="AE34" s="49">
        <v>53.15412229126672</v>
      </c>
      <c r="AF34" s="49">
        <v>274.93646240234375</v>
      </c>
      <c r="AG34" s="49">
        <v>2180.680332491405</v>
      </c>
      <c r="AH34" s="49">
        <v>2385.8429090953564</v>
      </c>
      <c r="AI34" s="69">
        <v>0.9140083465588507</v>
      </c>
      <c r="AJ34" s="49">
        <v>883.6928100585938</v>
      </c>
      <c r="AK34" s="49">
        <v>0</v>
      </c>
      <c r="AL34" s="49">
        <v>0</v>
      </c>
      <c r="AM34" s="49">
        <v>3064.373046875</v>
      </c>
      <c r="AN34" s="49">
        <v>2385.8429090953564</v>
      </c>
      <c r="AO34" s="48">
        <v>1.2843985557556152</v>
      </c>
    </row>
    <row r="35" spans="1:41" ht="12.75" customHeight="1">
      <c r="A35" t="s">
        <v>179</v>
      </c>
      <c r="B35" t="s">
        <v>179</v>
      </c>
      <c r="C35" s="49">
        <v>45</v>
      </c>
      <c r="D35" s="49">
        <v>189.70723220041964</v>
      </c>
      <c r="E35" s="49">
        <v>175.5</v>
      </c>
      <c r="F35" s="49">
        <v>0</v>
      </c>
      <c r="G35" s="49">
        <v>0</v>
      </c>
      <c r="H35" s="49" t="s">
        <v>169</v>
      </c>
      <c r="I35" s="49">
        <v>0.21</v>
      </c>
      <c r="J35" s="49">
        <v>0.4009999930858612</v>
      </c>
      <c r="K35" s="49">
        <v>204.17240865570162</v>
      </c>
      <c r="L35" s="60">
        <v>0.04450594393306153</v>
      </c>
      <c r="M35" s="49">
        <v>0.11098739326793958</v>
      </c>
      <c r="P35" s="49">
        <v>175.50003744850667</v>
      </c>
      <c r="Q35" s="49">
        <v>0</v>
      </c>
      <c r="R35" s="49">
        <v>0</v>
      </c>
      <c r="S35" s="49">
        <v>0</v>
      </c>
      <c r="T35" s="49">
        <v>0</v>
      </c>
      <c r="U35" s="49">
        <v>0</v>
      </c>
      <c r="V35" s="49">
        <v>175.50003744850667</v>
      </c>
      <c r="W35" s="49">
        <v>0</v>
      </c>
      <c r="X35" s="49">
        <v>175.50003744850667</v>
      </c>
      <c r="Y35" s="49">
        <v>0</v>
      </c>
      <c r="Z35" s="49">
        <v>0</v>
      </c>
      <c r="AA35" s="49">
        <v>46.6036262512207</v>
      </c>
      <c r="AB35" s="49">
        <v>0</v>
      </c>
      <c r="AC35" s="49">
        <v>46.60362516330827</v>
      </c>
      <c r="AD35" s="49">
        <v>85.94224912200687</v>
      </c>
      <c r="AE35" s="49">
        <v>2.4626332216760383</v>
      </c>
      <c r="AF35" s="49">
        <v>12.737821578979492</v>
      </c>
      <c r="AG35" s="49">
        <v>101.03103317167395</v>
      </c>
      <c r="AH35" s="49">
        <v>175.50003744850667</v>
      </c>
      <c r="AI35" s="69">
        <v>0.5756752798489709</v>
      </c>
      <c r="AJ35" s="49">
        <v>40.94154357910156</v>
      </c>
      <c r="AK35" s="49">
        <v>0</v>
      </c>
      <c r="AL35" s="49">
        <v>0</v>
      </c>
      <c r="AM35" s="49">
        <v>141.9725799560547</v>
      </c>
      <c r="AN35" s="49">
        <v>175.50003744850667</v>
      </c>
      <c r="AO35" s="69">
        <v>0.8089603781700134</v>
      </c>
    </row>
    <row r="36" spans="1:41" ht="12.75" customHeight="1">
      <c r="A36" t="s">
        <v>178</v>
      </c>
      <c r="B36" t="s">
        <v>178</v>
      </c>
      <c r="C36" s="49">
        <v>45</v>
      </c>
      <c r="D36" s="49">
        <v>165.94053252271078</v>
      </c>
      <c r="E36" s="49">
        <v>171.96</v>
      </c>
      <c r="F36" s="49">
        <v>0</v>
      </c>
      <c r="G36" s="49">
        <v>0</v>
      </c>
      <c r="H36" s="49" t="s">
        <v>169</v>
      </c>
      <c r="I36" s="49">
        <v>0.21</v>
      </c>
      <c r="J36" s="49">
        <v>0.4009999930858612</v>
      </c>
      <c r="K36" s="49">
        <v>178.59349812756747</v>
      </c>
      <c r="L36" s="60">
        <v>0.03893019760509585</v>
      </c>
      <c r="M36" s="49">
        <v>0.09708278871905168</v>
      </c>
      <c r="P36" s="49">
        <v>171.96013669315644</v>
      </c>
      <c r="Q36" s="49">
        <v>0</v>
      </c>
      <c r="R36" s="49">
        <v>0</v>
      </c>
      <c r="S36" s="49">
        <v>0</v>
      </c>
      <c r="T36" s="49">
        <v>0</v>
      </c>
      <c r="U36" s="49">
        <v>0</v>
      </c>
      <c r="V36" s="49">
        <v>171.96013669315644</v>
      </c>
      <c r="W36" s="49">
        <v>0</v>
      </c>
      <c r="X36" s="49">
        <v>171.96013669315644</v>
      </c>
      <c r="Y36" s="49">
        <v>0</v>
      </c>
      <c r="Z36" s="49">
        <v>0</v>
      </c>
      <c r="AA36" s="49">
        <v>52.2037467956543</v>
      </c>
      <c r="AB36" s="49">
        <v>0</v>
      </c>
      <c r="AC36" s="49">
        <v>52.20374709946081</v>
      </c>
      <c r="AD36" s="49">
        <v>75.17532368211825</v>
      </c>
      <c r="AE36" s="49">
        <v>2.1541122258392034</v>
      </c>
      <c r="AF36" s="49">
        <v>11.142014503479004</v>
      </c>
      <c r="AG36" s="49">
        <v>88.37376987669197</v>
      </c>
      <c r="AH36" s="49">
        <v>171.96013669315644</v>
      </c>
      <c r="AI36" s="69">
        <v>0.5139200955299602</v>
      </c>
      <c r="AJ36" s="49">
        <v>35.81233215332031</v>
      </c>
      <c r="AK36" s="49">
        <v>0</v>
      </c>
      <c r="AL36" s="49">
        <v>0</v>
      </c>
      <c r="AM36" s="49">
        <v>124.18610382080078</v>
      </c>
      <c r="AN36" s="49">
        <v>171.96013669315644</v>
      </c>
      <c r="AO36" s="69">
        <v>0.7221795916557312</v>
      </c>
    </row>
    <row r="37" spans="1:41" ht="12.75" customHeight="1">
      <c r="A37" t="s">
        <v>500</v>
      </c>
      <c r="B37" t="s">
        <v>489</v>
      </c>
      <c r="C37" s="49">
        <v>45</v>
      </c>
      <c r="D37" s="49">
        <v>494.43437152064234</v>
      </c>
      <c r="E37" s="49">
        <v>715.2</v>
      </c>
      <c r="F37" s="49">
        <v>0</v>
      </c>
      <c r="G37" s="49">
        <v>0</v>
      </c>
      <c r="H37" s="49" t="s">
        <v>169</v>
      </c>
      <c r="I37" s="49">
        <v>0.21</v>
      </c>
      <c r="J37" s="49">
        <v>0.4009999930858612</v>
      </c>
      <c r="K37" s="49">
        <v>532.1349923490912</v>
      </c>
      <c r="L37" s="60">
        <v>0.11599593838482844</v>
      </c>
      <c r="M37" s="49">
        <v>0.2892666842515173</v>
      </c>
      <c r="P37" s="49">
        <v>715.2001526106666</v>
      </c>
      <c r="Q37" s="49">
        <v>0</v>
      </c>
      <c r="R37" s="49">
        <v>0</v>
      </c>
      <c r="S37" s="49">
        <v>0</v>
      </c>
      <c r="T37" s="49">
        <v>0</v>
      </c>
      <c r="U37" s="49">
        <v>0</v>
      </c>
      <c r="V37" s="49">
        <v>715.2001526106666</v>
      </c>
      <c r="W37" s="49">
        <v>0</v>
      </c>
      <c r="X37" s="49">
        <v>715.2001526106666</v>
      </c>
      <c r="Y37" s="49">
        <v>0</v>
      </c>
      <c r="Z37" s="49">
        <v>0</v>
      </c>
      <c r="AA37" s="49">
        <v>72.86942291259766</v>
      </c>
      <c r="AB37" s="49">
        <v>0</v>
      </c>
      <c r="AC37" s="49">
        <v>72.86942110796547</v>
      </c>
      <c r="AD37" s="49">
        <v>223.99147064049583</v>
      </c>
      <c r="AE37" s="49">
        <v>6.418366316993546</v>
      </c>
      <c r="AF37" s="49">
        <v>33.1986083984375</v>
      </c>
      <c r="AG37" s="49">
        <v>263.3173976349634</v>
      </c>
      <c r="AH37" s="49">
        <v>715.2001526106666</v>
      </c>
      <c r="AI37" s="69">
        <v>0.36817301656576334</v>
      </c>
      <c r="AJ37" s="49">
        <v>106.70600891113281</v>
      </c>
      <c r="AK37" s="49">
        <v>0</v>
      </c>
      <c r="AL37" s="49">
        <v>0</v>
      </c>
      <c r="AM37" s="49">
        <v>370.0234069824219</v>
      </c>
      <c r="AN37" s="49">
        <v>715.2001526106666</v>
      </c>
      <c r="AO37" s="69">
        <v>0.5173704028129578</v>
      </c>
    </row>
    <row r="38" spans="1:41" ht="12.75" customHeight="1">
      <c r="A38" t="s">
        <v>180</v>
      </c>
      <c r="B38" t="s">
        <v>180</v>
      </c>
      <c r="C38" s="49">
        <v>45</v>
      </c>
      <c r="D38" s="49">
        <v>386.09645473193814</v>
      </c>
      <c r="E38" s="49">
        <v>600.47</v>
      </c>
      <c r="F38" s="49">
        <v>0</v>
      </c>
      <c r="G38" s="49">
        <v>0</v>
      </c>
      <c r="H38" s="49" t="s">
        <v>169</v>
      </c>
      <c r="I38" s="49">
        <v>0.21</v>
      </c>
      <c r="J38" s="49">
        <v>0.4009999930858612</v>
      </c>
      <c r="K38" s="49">
        <v>415.5363094052484</v>
      </c>
      <c r="L38" s="60">
        <v>0.09057950489151385</v>
      </c>
      <c r="M38" s="49">
        <v>0.2258840559932857</v>
      </c>
      <c r="P38" s="49">
        <v>600.4689281291161</v>
      </c>
      <c r="Q38" s="49">
        <v>0</v>
      </c>
      <c r="R38" s="49">
        <v>0</v>
      </c>
      <c r="S38" s="49">
        <v>0</v>
      </c>
      <c r="T38" s="49">
        <v>0</v>
      </c>
      <c r="U38" s="49">
        <v>0</v>
      </c>
      <c r="V38" s="49">
        <v>600.4689281291161</v>
      </c>
      <c r="W38" s="49">
        <v>0</v>
      </c>
      <c r="X38" s="49">
        <v>600.4689281291161</v>
      </c>
      <c r="Y38" s="49">
        <v>0</v>
      </c>
      <c r="Z38" s="49">
        <v>0</v>
      </c>
      <c r="AA38" s="49">
        <v>78.34677124023438</v>
      </c>
      <c r="AB38" s="49">
        <v>0</v>
      </c>
      <c r="AC38" s="49">
        <v>78.34677069253098</v>
      </c>
      <c r="AD38" s="49">
        <v>174.91161150166496</v>
      </c>
      <c r="AE38" s="49">
        <v>5.012006896973254</v>
      </c>
      <c r="AF38" s="49">
        <v>25.924301147460938</v>
      </c>
      <c r="AG38" s="49">
        <v>205.62064470499905</v>
      </c>
      <c r="AH38" s="49">
        <v>600.4689281291161</v>
      </c>
      <c r="AI38" s="69">
        <v>0.3424334467158064</v>
      </c>
      <c r="AJ38" s="49">
        <v>83.32512664794922</v>
      </c>
      <c r="AK38" s="49">
        <v>0</v>
      </c>
      <c r="AL38" s="49">
        <v>0</v>
      </c>
      <c r="AM38" s="49">
        <v>288.9457702636719</v>
      </c>
      <c r="AN38" s="49">
        <v>600.4689281291161</v>
      </c>
      <c r="AO38" s="69">
        <v>0.4812001883983612</v>
      </c>
    </row>
    <row r="39" spans="1:41" ht="12.75" customHeight="1">
      <c r="A39" t="s">
        <v>490</v>
      </c>
      <c r="B39" t="s">
        <v>490</v>
      </c>
      <c r="C39" s="49">
        <v>45</v>
      </c>
      <c r="D39" s="49">
        <v>416.11990169937053</v>
      </c>
      <c r="E39" s="49">
        <v>675</v>
      </c>
      <c r="F39" s="49">
        <v>0</v>
      </c>
      <c r="G39" s="49">
        <v>0</v>
      </c>
      <c r="H39" s="49" t="s">
        <v>169</v>
      </c>
      <c r="I39" s="49">
        <v>0.21</v>
      </c>
      <c r="J39" s="49">
        <v>0.4009999930858612</v>
      </c>
      <c r="K39" s="49">
        <v>447.8490442039475</v>
      </c>
      <c r="L39" s="60">
        <v>0.09762310482131578</v>
      </c>
      <c r="M39" s="49">
        <v>0.24344914340288515</v>
      </c>
      <c r="P39" s="49">
        <v>675.000144032718</v>
      </c>
      <c r="Q39" s="49">
        <v>0</v>
      </c>
      <c r="R39" s="49">
        <v>0</v>
      </c>
      <c r="S39" s="49">
        <v>0</v>
      </c>
      <c r="T39" s="49">
        <v>0</v>
      </c>
      <c r="U39" s="49">
        <v>0</v>
      </c>
      <c r="V39" s="49">
        <v>675.000144032718</v>
      </c>
      <c r="W39" s="49">
        <v>0</v>
      </c>
      <c r="X39" s="49">
        <v>675.000144032718</v>
      </c>
      <c r="Y39" s="49">
        <v>0</v>
      </c>
      <c r="Z39" s="49">
        <v>0</v>
      </c>
      <c r="AA39" s="49">
        <v>81.71687316894531</v>
      </c>
      <c r="AB39" s="49">
        <v>0</v>
      </c>
      <c r="AC39" s="49">
        <v>81.71687557555812</v>
      </c>
      <c r="AD39" s="49">
        <v>188.51300417840997</v>
      </c>
      <c r="AE39" s="49">
        <v>5.401748168687743</v>
      </c>
      <c r="AF39" s="49">
        <v>27.940214157104492</v>
      </c>
      <c r="AG39" s="49">
        <v>221.6100184261294</v>
      </c>
      <c r="AH39" s="49">
        <v>675.000144032718</v>
      </c>
      <c r="AI39" s="69">
        <v>0.3283110683534724</v>
      </c>
      <c r="AJ39" s="49">
        <v>89.80461883544922</v>
      </c>
      <c r="AK39" s="49">
        <v>0</v>
      </c>
      <c r="AL39" s="49">
        <v>0</v>
      </c>
      <c r="AM39" s="49">
        <v>311.4146423339844</v>
      </c>
      <c r="AN39" s="49">
        <v>675.000144032718</v>
      </c>
      <c r="AO39" s="69">
        <v>0.46135494112968445</v>
      </c>
    </row>
    <row r="40" spans="1:41" ht="12.75" customHeight="1">
      <c r="A40" t="s">
        <v>486</v>
      </c>
      <c r="B40" t="s">
        <v>486</v>
      </c>
      <c r="C40" s="49">
        <v>45</v>
      </c>
      <c r="D40" s="49">
        <v>40.95169425724998</v>
      </c>
      <c r="E40" s="49">
        <v>73.7</v>
      </c>
      <c r="F40" s="49">
        <v>0</v>
      </c>
      <c r="G40" s="49">
        <v>0</v>
      </c>
      <c r="H40" s="49" t="s">
        <v>169</v>
      </c>
      <c r="I40" s="49">
        <v>0.21</v>
      </c>
      <c r="J40" s="49">
        <v>0.4009999930858612</v>
      </c>
      <c r="K40" s="49">
        <v>44.07426094436529</v>
      </c>
      <c r="L40" s="60">
        <v>0.00960740287777502</v>
      </c>
      <c r="M40" s="49">
        <v>0.023958611080868285</v>
      </c>
      <c r="P40" s="49">
        <v>73.69721572564151</v>
      </c>
      <c r="Q40" s="49">
        <v>0</v>
      </c>
      <c r="R40" s="49">
        <v>0</v>
      </c>
      <c r="S40" s="49">
        <v>0</v>
      </c>
      <c r="T40" s="49">
        <v>0</v>
      </c>
      <c r="U40" s="49">
        <v>0</v>
      </c>
      <c r="V40" s="49">
        <v>73.69721572564151</v>
      </c>
      <c r="W40" s="49">
        <v>0</v>
      </c>
      <c r="X40" s="49">
        <v>73.69721572564151</v>
      </c>
      <c r="Y40" s="49">
        <v>0</v>
      </c>
      <c r="Z40" s="49">
        <v>0</v>
      </c>
      <c r="AA40" s="49">
        <v>90.65788269042969</v>
      </c>
      <c r="AB40" s="49">
        <v>0</v>
      </c>
      <c r="AC40" s="49">
        <v>90.65788464427133</v>
      </c>
      <c r="AD40" s="49">
        <v>18.552169408631883</v>
      </c>
      <c r="AE40" s="49">
        <v>0.531603363730909</v>
      </c>
      <c r="AF40" s="49">
        <v>2.749685764312744</v>
      </c>
      <c r="AG40" s="49">
        <v>21.80935241062587</v>
      </c>
      <c r="AH40" s="49">
        <v>73.69721572564151</v>
      </c>
      <c r="AI40" s="69">
        <v>0.2959318367171059</v>
      </c>
      <c r="AJ40" s="49">
        <v>8.837958335876465</v>
      </c>
      <c r="AK40" s="49">
        <v>0</v>
      </c>
      <c r="AL40" s="49">
        <v>0</v>
      </c>
      <c r="AM40" s="49">
        <v>30.647310256958008</v>
      </c>
      <c r="AN40" s="49">
        <v>73.69721572564151</v>
      </c>
      <c r="AO40" s="69">
        <v>0.41585439443588257</v>
      </c>
    </row>
    <row r="41" spans="3:41" ht="12.75" customHeight="1">
      <c r="C41" s="49"/>
      <c r="D41" s="49"/>
      <c r="E41" s="49"/>
      <c r="F41" s="49"/>
      <c r="G41" s="49"/>
      <c r="H41" s="49"/>
      <c r="I41" s="49"/>
      <c r="J41" s="49"/>
      <c r="K41" s="49"/>
      <c r="L41" s="60"/>
      <c r="M41" s="49"/>
      <c r="S41" s="49"/>
      <c r="T41" s="49"/>
      <c r="U41" s="49"/>
      <c r="W41" s="49"/>
      <c r="X41" s="49"/>
      <c r="Y41" s="49"/>
      <c r="Z41" s="49"/>
      <c r="AA41" s="49"/>
      <c r="AB41" s="49"/>
      <c r="AC41" s="49"/>
      <c r="AD41" s="49"/>
      <c r="AE41" s="49"/>
      <c r="AF41" s="49"/>
      <c r="AG41" s="49"/>
      <c r="AH41" s="49"/>
      <c r="AI41" s="49"/>
      <c r="AJ41" s="49"/>
      <c r="AK41" s="49"/>
      <c r="AL41" s="49"/>
      <c r="AM41" s="49"/>
      <c r="AN41" s="49"/>
      <c r="AO41" s="61"/>
    </row>
    <row r="42" spans="3:41" ht="12.75" customHeight="1" thickBot="1">
      <c r="C42" s="49"/>
      <c r="D42" s="49"/>
      <c r="E42" s="49"/>
      <c r="F42" s="49"/>
      <c r="G42" s="49"/>
      <c r="H42" s="49"/>
      <c r="I42" s="49"/>
      <c r="J42" s="49"/>
      <c r="K42" s="49"/>
      <c r="L42" s="49"/>
      <c r="M42" s="49"/>
      <c r="S42" s="49"/>
      <c r="T42" s="49"/>
      <c r="U42" s="49"/>
      <c r="W42" s="49"/>
      <c r="X42" s="49"/>
      <c r="Y42" s="49"/>
      <c r="Z42" s="49"/>
      <c r="AA42" s="49"/>
      <c r="AB42" s="49"/>
      <c r="AC42" s="49"/>
      <c r="AD42" s="49"/>
      <c r="AE42" s="49"/>
      <c r="AF42" s="49"/>
      <c r="AG42" s="49"/>
      <c r="AH42" s="49"/>
      <c r="AI42" s="49"/>
      <c r="AJ42" s="49"/>
      <c r="AK42" s="49"/>
      <c r="AL42" s="49"/>
      <c r="AM42" s="49"/>
      <c r="AN42" s="49"/>
      <c r="AO42" s="49"/>
    </row>
    <row r="43" spans="1:41" ht="12.75" customHeight="1" thickBot="1">
      <c r="A43" s="62" t="s">
        <v>137</v>
      </c>
      <c r="B43" s="71"/>
      <c r="C43" s="72" t="s">
        <v>106</v>
      </c>
      <c r="D43" s="63"/>
      <c r="E43" s="63"/>
      <c r="F43" s="63"/>
      <c r="G43" s="63"/>
      <c r="H43" s="63"/>
      <c r="I43" s="63"/>
      <c r="J43" s="64"/>
      <c r="K43" s="72" t="s">
        <v>50</v>
      </c>
      <c r="L43" s="63"/>
      <c r="M43" s="64"/>
      <c r="N43" s="72" t="s">
        <v>107</v>
      </c>
      <c r="O43" s="63"/>
      <c r="P43" s="63"/>
      <c r="Q43" s="63"/>
      <c r="R43" s="73" t="s">
        <v>108</v>
      </c>
      <c r="S43" s="72" t="s">
        <v>84</v>
      </c>
      <c r="T43" s="63"/>
      <c r="U43" s="63"/>
      <c r="V43" s="63"/>
      <c r="W43" s="63"/>
      <c r="X43" s="64"/>
      <c r="Y43" s="72" t="s">
        <v>85</v>
      </c>
      <c r="Z43" s="63"/>
      <c r="AA43" s="63"/>
      <c r="AB43" s="63"/>
      <c r="AC43" s="63"/>
      <c r="AD43" s="64"/>
      <c r="AE43" s="49"/>
      <c r="AF43" s="49"/>
      <c r="AG43" s="49"/>
      <c r="AH43" s="49"/>
      <c r="AI43" s="49"/>
      <c r="AJ43" s="49"/>
      <c r="AK43" s="49"/>
      <c r="AL43" s="49"/>
      <c r="AM43" s="49"/>
      <c r="AN43" s="49"/>
      <c r="AO43" s="49"/>
    </row>
    <row r="44" spans="1:41" ht="51">
      <c r="A44" s="57"/>
      <c r="B44" s="58" t="s">
        <v>56</v>
      </c>
      <c r="C44" s="59" t="s">
        <v>109</v>
      </c>
      <c r="D44" s="59" t="s">
        <v>87</v>
      </c>
      <c r="E44" s="59" t="s">
        <v>88</v>
      </c>
      <c r="F44" s="59" t="s">
        <v>89</v>
      </c>
      <c r="G44" s="59" t="s">
        <v>90</v>
      </c>
      <c r="H44" s="59" t="s">
        <v>91</v>
      </c>
      <c r="I44" s="59" t="s">
        <v>110</v>
      </c>
      <c r="J44" s="59" t="s">
        <v>111</v>
      </c>
      <c r="K44" s="59" t="s">
        <v>94</v>
      </c>
      <c r="L44" s="59" t="s">
        <v>95</v>
      </c>
      <c r="M44" s="59" t="s">
        <v>96</v>
      </c>
      <c r="N44" s="59" t="s">
        <v>51</v>
      </c>
      <c r="O44" s="59" t="s">
        <v>112</v>
      </c>
      <c r="P44" s="59" t="s">
        <v>113</v>
      </c>
      <c r="Q44" s="59" t="s">
        <v>114</v>
      </c>
      <c r="R44" s="59" t="s">
        <v>115</v>
      </c>
      <c r="S44" s="59" t="s">
        <v>97</v>
      </c>
      <c r="T44" s="59" t="s">
        <v>98</v>
      </c>
      <c r="U44" s="59" t="s">
        <v>61</v>
      </c>
      <c r="V44" s="59" t="s">
        <v>99</v>
      </c>
      <c r="W44" s="59" t="s">
        <v>100</v>
      </c>
      <c r="X44" s="59" t="s">
        <v>101</v>
      </c>
      <c r="Y44" s="59" t="s">
        <v>102</v>
      </c>
      <c r="Z44" s="59" t="s">
        <v>59</v>
      </c>
      <c r="AA44" s="59" t="s">
        <v>60</v>
      </c>
      <c r="AB44" s="59" t="s">
        <v>103</v>
      </c>
      <c r="AC44" s="59" t="s">
        <v>104</v>
      </c>
      <c r="AD44" s="59" t="s">
        <v>105</v>
      </c>
      <c r="AE44" s="49"/>
      <c r="AF44" s="49"/>
      <c r="AG44" s="49"/>
      <c r="AH44" s="49"/>
      <c r="AI44" s="49"/>
      <c r="AJ44" s="49"/>
      <c r="AK44" s="49"/>
      <c r="AL44" s="49"/>
      <c r="AM44" s="49"/>
      <c r="AN44" s="49"/>
      <c r="AO44" s="49"/>
    </row>
    <row r="45" spans="2:41" ht="12.75" customHeight="1">
      <c r="B45" t="s">
        <v>483</v>
      </c>
      <c r="C45" s="49">
        <v>45</v>
      </c>
      <c r="D45" s="49">
        <v>2063.1247783308136</v>
      </c>
      <c r="E45" s="49">
        <v>349.11</v>
      </c>
      <c r="F45" s="49">
        <v>0</v>
      </c>
      <c r="G45" s="49">
        <v>0</v>
      </c>
      <c r="H45" s="49"/>
      <c r="I45" s="49">
        <v>0.21</v>
      </c>
      <c r="J45" s="49">
        <v>0.4009999930858612</v>
      </c>
      <c r="K45" s="49">
        <v>2220.438042678538</v>
      </c>
      <c r="L45" s="49">
        <v>0.4840158946301788</v>
      </c>
      <c r="M45" s="49">
        <v>1.2070221900939941</v>
      </c>
      <c r="N45" s="49">
        <v>349.1070744930817</v>
      </c>
      <c r="O45" s="49">
        <v>0</v>
      </c>
      <c r="P45" s="49">
        <v>0</v>
      </c>
      <c r="Q45" s="49">
        <v>349.1070861816406</v>
      </c>
      <c r="R45" s="49">
        <v>8.524316248470765</v>
      </c>
      <c r="S45" s="49">
        <v>934.6485192603013</v>
      </c>
      <c r="T45" s="49">
        <v>26.781896591186523</v>
      </c>
      <c r="U45" s="49">
        <v>138.52774047851562</v>
      </c>
      <c r="V45" s="49">
        <v>1098.7437031617287</v>
      </c>
      <c r="W45" s="49">
        <v>349.1070744930817</v>
      </c>
      <c r="X45" s="48">
        <v>3.147297157346786</v>
      </c>
      <c r="Y45" s="60">
        <v>445.2518310546875</v>
      </c>
      <c r="Z45" s="60">
        <v>0</v>
      </c>
      <c r="AA45" s="60">
        <v>0</v>
      </c>
      <c r="AB45" s="60">
        <v>1543.9954833984375</v>
      </c>
      <c r="AC45" s="60">
        <v>349.1070861816406</v>
      </c>
      <c r="AD45" s="48">
        <v>4.422698974609375</v>
      </c>
      <c r="AE45" s="60"/>
      <c r="AF45" s="60"/>
      <c r="AG45" s="60"/>
      <c r="AH45" s="60"/>
      <c r="AI45" s="60"/>
      <c r="AJ45" s="60"/>
      <c r="AK45" s="60"/>
      <c r="AL45" s="49"/>
      <c r="AM45" s="49"/>
      <c r="AN45" s="49"/>
      <c r="AO45" s="49"/>
    </row>
    <row r="46" spans="2:41" ht="12.75" customHeight="1">
      <c r="B46" t="s">
        <v>172</v>
      </c>
      <c r="C46" s="49">
        <v>45</v>
      </c>
      <c r="D46" s="49">
        <v>3816.110009200973</v>
      </c>
      <c r="E46" s="49">
        <v>814.58</v>
      </c>
      <c r="F46" s="49">
        <v>0</v>
      </c>
      <c r="G46" s="49">
        <v>0</v>
      </c>
      <c r="H46" s="49"/>
      <c r="I46" s="49">
        <v>0.21</v>
      </c>
      <c r="J46" s="49">
        <v>0.4009999930858612</v>
      </c>
      <c r="K46" s="49">
        <v>4107.088397402546</v>
      </c>
      <c r="L46" s="49">
        <v>0.8952720259629495</v>
      </c>
      <c r="M46" s="49">
        <v>2.2325985431671143</v>
      </c>
      <c r="N46" s="49">
        <v>814.5831738171904</v>
      </c>
      <c r="O46" s="49">
        <v>0</v>
      </c>
      <c r="P46" s="49">
        <v>0</v>
      </c>
      <c r="Q46" s="49">
        <v>814.5831909179688</v>
      </c>
      <c r="R46" s="49">
        <v>10.75327942802442</v>
      </c>
      <c r="S46" s="49">
        <v>1728.795857088094</v>
      </c>
      <c r="T46" s="49">
        <v>49.537803649902344</v>
      </c>
      <c r="U46" s="49">
        <v>256.23126220703125</v>
      </c>
      <c r="V46" s="49">
        <v>2032.318576302777</v>
      </c>
      <c r="W46" s="49">
        <v>814.5831738171904</v>
      </c>
      <c r="X46" s="48">
        <v>2.4949184339018426</v>
      </c>
      <c r="Y46" s="60">
        <v>823.5709838867188</v>
      </c>
      <c r="Z46" s="60">
        <v>0</v>
      </c>
      <c r="AA46" s="60">
        <v>0</v>
      </c>
      <c r="AB46" s="60">
        <v>2855.8896484375</v>
      </c>
      <c r="AC46" s="60">
        <v>814.5831909179688</v>
      </c>
      <c r="AD46" s="48">
        <v>3.5059521198272705</v>
      </c>
      <c r="AE46" s="60"/>
      <c r="AF46" s="60"/>
      <c r="AG46" s="60"/>
      <c r="AH46" s="60"/>
      <c r="AI46" s="60"/>
      <c r="AJ46" s="60"/>
      <c r="AK46" s="60"/>
      <c r="AL46" s="49"/>
      <c r="AM46" s="49"/>
      <c r="AN46" s="49"/>
      <c r="AO46" s="49"/>
    </row>
    <row r="47" spans="2:41" ht="12.75" customHeight="1">
      <c r="B47" t="s">
        <v>173</v>
      </c>
      <c r="C47" s="49">
        <v>45</v>
      </c>
      <c r="D47" s="49">
        <v>2666.166766448534</v>
      </c>
      <c r="E47" s="49">
        <v>810</v>
      </c>
      <c r="F47" s="49">
        <v>0</v>
      </c>
      <c r="G47" s="49">
        <v>0</v>
      </c>
      <c r="H47" s="49"/>
      <c r="I47" s="49">
        <v>0.21</v>
      </c>
      <c r="J47" s="49">
        <v>0.4009999632835388</v>
      </c>
      <c r="K47" s="49">
        <v>2869.4619823902344</v>
      </c>
      <c r="L47" s="49">
        <v>0.6254915389751171</v>
      </c>
      <c r="M47" s="49">
        <v>1.5598293542861938</v>
      </c>
      <c r="N47" s="49">
        <v>810.0001728392616</v>
      </c>
      <c r="O47" s="49">
        <v>0</v>
      </c>
      <c r="P47" s="49">
        <v>0</v>
      </c>
      <c r="Q47" s="49">
        <v>810.0001831054688</v>
      </c>
      <c r="R47" s="49">
        <v>15.304677535578579</v>
      </c>
      <c r="S47" s="49">
        <v>1207.8420299804977</v>
      </c>
      <c r="T47" s="49">
        <v>34.61012268066406</v>
      </c>
      <c r="U47" s="49">
        <v>179.01876831054688</v>
      </c>
      <c r="V47" s="49">
        <v>1419.9014891271904</v>
      </c>
      <c r="W47" s="49">
        <v>810.0001728392616</v>
      </c>
      <c r="X47" s="48">
        <v>1.7529644273408804</v>
      </c>
      <c r="Y47" s="60">
        <v>575.39697265625</v>
      </c>
      <c r="Z47" s="60">
        <v>0</v>
      </c>
      <c r="AA47" s="60">
        <v>0</v>
      </c>
      <c r="AB47" s="60">
        <v>1995.2984619140625</v>
      </c>
      <c r="AC47" s="60">
        <v>810.0001831054688</v>
      </c>
      <c r="AD47" s="48">
        <v>2.4633309841156006</v>
      </c>
      <c r="AE47" s="60"/>
      <c r="AF47" s="60"/>
      <c r="AG47" s="60"/>
      <c r="AH47" s="60"/>
      <c r="AI47" s="60"/>
      <c r="AJ47" s="60"/>
      <c r="AK47" s="60"/>
      <c r="AL47" s="49"/>
      <c r="AM47" s="49"/>
      <c r="AN47" s="49"/>
      <c r="AO47" s="49"/>
    </row>
    <row r="48" spans="2:41" ht="12.75" customHeight="1">
      <c r="B48" t="s">
        <v>171</v>
      </c>
      <c r="C48" s="49">
        <v>45</v>
      </c>
      <c r="D48" s="49">
        <v>2335.720138316092</v>
      </c>
      <c r="E48" s="49">
        <v>816.44</v>
      </c>
      <c r="F48" s="49">
        <v>0</v>
      </c>
      <c r="G48" s="49">
        <v>0</v>
      </c>
      <c r="H48" s="49"/>
      <c r="I48" s="49">
        <v>0.21</v>
      </c>
      <c r="J48" s="49">
        <v>0.4009999930858612</v>
      </c>
      <c r="K48" s="49">
        <v>2513.8187988626937</v>
      </c>
      <c r="L48" s="49">
        <v>0.5479676674076148</v>
      </c>
      <c r="M48" s="49">
        <v>1.3665028810501099</v>
      </c>
      <c r="N48" s="49">
        <v>816.4363742126295</v>
      </c>
      <c r="O48" s="49">
        <v>0</v>
      </c>
      <c r="P48" s="49">
        <v>0</v>
      </c>
      <c r="Q48" s="49">
        <v>816.4364013671875</v>
      </c>
      <c r="R48" s="49">
        <v>17.60872517860669</v>
      </c>
      <c r="S48" s="49">
        <v>1058.1412193836543</v>
      </c>
      <c r="T48" s="49">
        <v>30.320520401000977</v>
      </c>
      <c r="U48" s="49">
        <v>156.8310546875</v>
      </c>
      <c r="V48" s="49">
        <v>1243.9178779024785</v>
      </c>
      <c r="W48" s="49">
        <v>816.4363742126295</v>
      </c>
      <c r="X48" s="48">
        <v>1.5235943879914853</v>
      </c>
      <c r="Y48" s="60">
        <v>504.0818176269531</v>
      </c>
      <c r="Z48" s="60">
        <v>0</v>
      </c>
      <c r="AA48" s="60">
        <v>0</v>
      </c>
      <c r="AB48" s="60">
        <v>1747.999755859375</v>
      </c>
      <c r="AC48" s="60">
        <v>816.4364013671875</v>
      </c>
      <c r="AD48" s="48">
        <v>2.1410114765167236</v>
      </c>
      <c r="AE48" s="60"/>
      <c r="AF48" s="60"/>
      <c r="AG48" s="60"/>
      <c r="AH48" s="60"/>
      <c r="AI48" s="60"/>
      <c r="AJ48" s="60"/>
      <c r="AK48" s="60"/>
      <c r="AL48" s="49"/>
      <c r="AM48" s="49"/>
      <c r="AN48" s="49"/>
      <c r="AO48" s="49"/>
    </row>
    <row r="49" spans="2:41" ht="12.75" customHeight="1">
      <c r="B49" t="s">
        <v>174</v>
      </c>
      <c r="C49" s="49">
        <v>45</v>
      </c>
      <c r="D49" s="49">
        <v>717.3245818671458</v>
      </c>
      <c r="E49" s="49">
        <v>268.14</v>
      </c>
      <c r="F49" s="49">
        <v>0</v>
      </c>
      <c r="G49" s="49">
        <v>0</v>
      </c>
      <c r="H49" s="49"/>
      <c r="I49" s="49">
        <v>0.21</v>
      </c>
      <c r="J49" s="49">
        <v>0.4009999930858612</v>
      </c>
      <c r="K49" s="49">
        <v>772.0205812345156</v>
      </c>
      <c r="L49" s="49">
        <v>0.16828671870905812</v>
      </c>
      <c r="M49" s="49">
        <v>0.41966763138771057</v>
      </c>
      <c r="N49" s="49">
        <v>268.1436572169652</v>
      </c>
      <c r="O49" s="49">
        <v>0</v>
      </c>
      <c r="P49" s="49">
        <v>0</v>
      </c>
      <c r="Q49" s="49">
        <v>268.1436462402344</v>
      </c>
      <c r="R49" s="49">
        <v>18.83120832442965</v>
      </c>
      <c r="S49" s="49">
        <v>324.966461220814</v>
      </c>
      <c r="T49" s="49">
        <v>9.311755180358887</v>
      </c>
      <c r="U49" s="49">
        <v>48.16448974609375</v>
      </c>
      <c r="V49" s="49">
        <v>382.0204548182406</v>
      </c>
      <c r="W49" s="49">
        <v>268.1436572169652</v>
      </c>
      <c r="X49" s="48">
        <v>1.4246857777028576</v>
      </c>
      <c r="Y49" s="60">
        <v>154.80889892578125</v>
      </c>
      <c r="Z49" s="60">
        <v>0</v>
      </c>
      <c r="AA49" s="60">
        <v>0</v>
      </c>
      <c r="AB49" s="60">
        <v>536.829345703125</v>
      </c>
      <c r="AC49" s="60">
        <v>268.1436462402344</v>
      </c>
      <c r="AD49" s="48">
        <v>2.002021551132202</v>
      </c>
      <c r="AE49" s="60"/>
      <c r="AF49" s="60"/>
      <c r="AG49" s="60"/>
      <c r="AH49" s="60"/>
      <c r="AI49" s="60"/>
      <c r="AJ49" s="60"/>
      <c r="AK49" s="60"/>
      <c r="AL49" s="49"/>
      <c r="AM49" s="49"/>
      <c r="AN49" s="49"/>
      <c r="AO49" s="49"/>
    </row>
    <row r="50" spans="2:41" ht="12.75" customHeight="1">
      <c r="B50" t="s">
        <v>177</v>
      </c>
      <c r="C50" s="49">
        <v>45</v>
      </c>
      <c r="D50" s="49">
        <v>749.1776030875044</v>
      </c>
      <c r="E50" s="49">
        <v>312.19</v>
      </c>
      <c r="F50" s="49">
        <v>0</v>
      </c>
      <c r="G50" s="49">
        <v>0</v>
      </c>
      <c r="H50" s="49"/>
      <c r="I50" s="49">
        <v>0.21</v>
      </c>
      <c r="J50" s="49">
        <v>0.4010000228881836</v>
      </c>
      <c r="K50" s="49">
        <v>806.3023953229266</v>
      </c>
      <c r="L50" s="49">
        <v>0.1757595428080055</v>
      </c>
      <c r="M50" s="49">
        <v>0.4383031129837036</v>
      </c>
      <c r="N50" s="49">
        <v>312.1942666165618</v>
      </c>
      <c r="O50" s="49">
        <v>0</v>
      </c>
      <c r="P50" s="49">
        <v>0</v>
      </c>
      <c r="Q50" s="49">
        <v>312.19427490234375</v>
      </c>
      <c r="R50" s="49">
        <v>20.99261460284244</v>
      </c>
      <c r="S50" s="49">
        <v>339.39669802969195</v>
      </c>
      <c r="T50" s="49">
        <v>9.72524642944336</v>
      </c>
      <c r="U50" s="49">
        <v>50.30324935913086</v>
      </c>
      <c r="V50" s="49">
        <v>398.9841924242343</v>
      </c>
      <c r="W50" s="49">
        <v>312.1942666165618</v>
      </c>
      <c r="X50" s="48">
        <v>1.2779997427507799</v>
      </c>
      <c r="Y50" s="60">
        <v>161.68325805664062</v>
      </c>
      <c r="Z50" s="60">
        <v>0</v>
      </c>
      <c r="AA50" s="60">
        <v>0</v>
      </c>
      <c r="AB50" s="60">
        <v>560.66748046875</v>
      </c>
      <c r="AC50" s="60">
        <v>312.19427490234375</v>
      </c>
      <c r="AD50" s="48">
        <v>1.7958929538726807</v>
      </c>
      <c r="AE50" s="60"/>
      <c r="AF50" s="60"/>
      <c r="AG50" s="60"/>
      <c r="AH50" s="60"/>
      <c r="AI50" s="60"/>
      <c r="AJ50" s="60"/>
      <c r="AK50" s="60"/>
      <c r="AL50" s="49"/>
      <c r="AM50" s="49"/>
      <c r="AN50" s="49"/>
      <c r="AO50" s="49"/>
    </row>
    <row r="51" spans="2:41" ht="12.75" customHeight="1">
      <c r="B51" t="s">
        <v>485</v>
      </c>
      <c r="C51" s="49">
        <v>45</v>
      </c>
      <c r="D51" s="49">
        <v>273.84864708460736</v>
      </c>
      <c r="E51" s="49">
        <v>133.8</v>
      </c>
      <c r="F51" s="49">
        <v>0</v>
      </c>
      <c r="G51" s="49">
        <v>0</v>
      </c>
      <c r="H51" s="49"/>
      <c r="I51" s="49">
        <v>0.21</v>
      </c>
      <c r="J51" s="49">
        <v>0.4009999930858612</v>
      </c>
      <c r="K51" s="49">
        <v>294.72960642480865</v>
      </c>
      <c r="L51" s="49">
        <v>0.06424579807487871</v>
      </c>
      <c r="M51" s="49">
        <v>0.16021396219730377</v>
      </c>
      <c r="N51" s="49">
        <v>133.797528549952</v>
      </c>
      <c r="O51" s="49">
        <v>0</v>
      </c>
      <c r="P51" s="49">
        <v>0</v>
      </c>
      <c r="Q51" s="49">
        <v>133.7975311279297</v>
      </c>
      <c r="R51" s="49">
        <v>24.61296166818934</v>
      </c>
      <c r="S51" s="49">
        <v>124.06047137204433</v>
      </c>
      <c r="T51" s="49">
        <v>3.5548923015594482</v>
      </c>
      <c r="U51" s="49">
        <v>18.38746452331543</v>
      </c>
      <c r="V51" s="49">
        <v>145.84162776718213</v>
      </c>
      <c r="W51" s="49">
        <v>133.797528549952</v>
      </c>
      <c r="X51" s="48">
        <v>1.0900173519478245</v>
      </c>
      <c r="Y51" s="60">
        <v>59.1004524230957</v>
      </c>
      <c r="Z51" s="60">
        <v>0</v>
      </c>
      <c r="AA51" s="60">
        <v>0</v>
      </c>
      <c r="AB51" s="60">
        <v>204.94207763671875</v>
      </c>
      <c r="AC51" s="60">
        <v>133.7975311279297</v>
      </c>
      <c r="AD51" s="48">
        <v>1.5317329168319702</v>
      </c>
      <c r="AE51" s="60"/>
      <c r="AF51" s="60"/>
      <c r="AG51" s="60"/>
      <c r="AH51" s="60"/>
      <c r="AI51" s="60"/>
      <c r="AJ51" s="60"/>
      <c r="AK51" s="60"/>
      <c r="AL51" s="49"/>
      <c r="AM51" s="49"/>
      <c r="AN51" s="49"/>
      <c r="AO51" s="49"/>
    </row>
    <row r="52" spans="2:41" ht="12.75" customHeight="1">
      <c r="B52" t="s">
        <v>176</v>
      </c>
      <c r="C52" s="49">
        <v>45</v>
      </c>
      <c r="D52" s="49">
        <v>604.0571645372711</v>
      </c>
      <c r="E52" s="49">
        <v>337.5</v>
      </c>
      <c r="F52" s="49">
        <v>0</v>
      </c>
      <c r="G52" s="49">
        <v>0</v>
      </c>
      <c r="H52" s="49"/>
      <c r="I52" s="49">
        <v>0.21</v>
      </c>
      <c r="J52" s="49">
        <v>0.4009999930858612</v>
      </c>
      <c r="K52" s="49">
        <v>650.116523333238</v>
      </c>
      <c r="L52" s="49">
        <v>0.1417138080896024</v>
      </c>
      <c r="M52" s="49">
        <v>0.3534010350704193</v>
      </c>
      <c r="N52" s="49">
        <v>337.500072016359</v>
      </c>
      <c r="O52" s="49">
        <v>0</v>
      </c>
      <c r="P52" s="49">
        <v>0</v>
      </c>
      <c r="Q52" s="49">
        <v>337.50006103515625</v>
      </c>
      <c r="R52" s="49">
        <v>28.14635705788793</v>
      </c>
      <c r="S52" s="49">
        <v>273.6534117146886</v>
      </c>
      <c r="T52" s="49">
        <v>7.841404914855957</v>
      </c>
      <c r="U52" s="49">
        <v>40.55918884277344</v>
      </c>
      <c r="V52" s="49">
        <v>321.6984286279321</v>
      </c>
      <c r="W52" s="49">
        <v>337.500072016359</v>
      </c>
      <c r="X52" s="69">
        <v>0.9531803258766091</v>
      </c>
      <c r="Y52" s="60">
        <v>130.36415100097656</v>
      </c>
      <c r="Z52" s="60">
        <v>0</v>
      </c>
      <c r="AA52" s="60">
        <v>0</v>
      </c>
      <c r="AB52" s="60">
        <v>452.0625915527344</v>
      </c>
      <c r="AC52" s="60">
        <v>337.50006103515625</v>
      </c>
      <c r="AD52" s="48">
        <v>1.3394445180892944</v>
      </c>
      <c r="AE52" s="60"/>
      <c r="AF52" s="60"/>
      <c r="AG52" s="60"/>
      <c r="AH52" s="60"/>
      <c r="AI52" s="60"/>
      <c r="AJ52" s="60"/>
      <c r="AK52" s="60"/>
      <c r="AL52" s="49"/>
      <c r="AM52" s="49"/>
      <c r="AN52" s="49"/>
      <c r="AO52" s="49"/>
    </row>
    <row r="53" spans="2:41" ht="12.75" customHeight="1">
      <c r="B53" t="s">
        <v>488</v>
      </c>
      <c r="C53" s="49">
        <v>45</v>
      </c>
      <c r="D53" s="49">
        <v>4094.6907282668662</v>
      </c>
      <c r="E53" s="49">
        <v>2385.84</v>
      </c>
      <c r="F53" s="49">
        <v>0</v>
      </c>
      <c r="G53" s="49">
        <v>0</v>
      </c>
      <c r="H53" s="49"/>
      <c r="I53" s="49">
        <v>0.21</v>
      </c>
      <c r="J53" s="49">
        <v>0.4009999930858612</v>
      </c>
      <c r="K53" s="49">
        <v>4406.910896297215</v>
      </c>
      <c r="L53" s="49">
        <v>0.9606279837710315</v>
      </c>
      <c r="M53" s="49">
        <v>2.395581007003784</v>
      </c>
      <c r="N53" s="49">
        <v>2385.8429090953564</v>
      </c>
      <c r="O53" s="49">
        <v>0</v>
      </c>
      <c r="P53" s="49">
        <v>0</v>
      </c>
      <c r="Q53" s="49">
        <v>2385.843017578125</v>
      </c>
      <c r="R53" s="49">
        <v>29.352637514174003</v>
      </c>
      <c r="S53" s="49">
        <v>1855.0000786185399</v>
      </c>
      <c r="T53" s="49">
        <v>53.15412139892578</v>
      </c>
      <c r="U53" s="49">
        <v>274.93646240234375</v>
      </c>
      <c r="V53" s="49">
        <v>2180.680332491405</v>
      </c>
      <c r="W53" s="49">
        <v>2385.8429090953564</v>
      </c>
      <c r="X53" s="69">
        <v>0.9140083465588507</v>
      </c>
      <c r="Y53" s="60">
        <v>883.6928100585938</v>
      </c>
      <c r="Z53" s="60">
        <v>0</v>
      </c>
      <c r="AA53" s="60">
        <v>0</v>
      </c>
      <c r="AB53" s="60">
        <v>3064.373046875</v>
      </c>
      <c r="AC53" s="60">
        <v>2385.843017578125</v>
      </c>
      <c r="AD53" s="48">
        <v>1.2843984365463257</v>
      </c>
      <c r="AE53" s="60"/>
      <c r="AF53" s="60"/>
      <c r="AG53" s="60"/>
      <c r="AH53" s="60"/>
      <c r="AI53" s="60"/>
      <c r="AJ53" s="60"/>
      <c r="AK53" s="60"/>
      <c r="AL53" s="49"/>
      <c r="AM53" s="49"/>
      <c r="AN53" s="49"/>
      <c r="AO53" s="49"/>
    </row>
    <row r="54" spans="2:41" ht="12.75" customHeight="1">
      <c r="B54" t="s">
        <v>179</v>
      </c>
      <c r="C54" s="49">
        <v>45</v>
      </c>
      <c r="D54" s="49">
        <v>189.70723220041964</v>
      </c>
      <c r="E54" s="49">
        <v>175.5</v>
      </c>
      <c r="F54" s="49">
        <v>0</v>
      </c>
      <c r="G54" s="49">
        <v>0</v>
      </c>
      <c r="H54" s="49"/>
      <c r="I54" s="49">
        <v>0.21</v>
      </c>
      <c r="J54" s="49">
        <v>0.4009999930858612</v>
      </c>
      <c r="K54" s="49">
        <v>204.17240865570162</v>
      </c>
      <c r="L54" s="49">
        <v>0.04450594393306153</v>
      </c>
      <c r="M54" s="49">
        <v>0.11098739504814148</v>
      </c>
      <c r="N54" s="49">
        <v>175.50003744850667</v>
      </c>
      <c r="O54" s="49">
        <v>0</v>
      </c>
      <c r="P54" s="49">
        <v>0</v>
      </c>
      <c r="Q54" s="49">
        <v>175.50003051757812</v>
      </c>
      <c r="R54" s="49">
        <v>46.6036235173093</v>
      </c>
      <c r="S54" s="49">
        <v>85.94224912200687</v>
      </c>
      <c r="T54" s="49">
        <v>2.4626331329345703</v>
      </c>
      <c r="U54" s="49">
        <v>12.737821578979492</v>
      </c>
      <c r="V54" s="49">
        <v>101.03103317167395</v>
      </c>
      <c r="W54" s="49">
        <v>175.50003744850667</v>
      </c>
      <c r="X54" s="69">
        <v>0.5756752798489709</v>
      </c>
      <c r="Y54" s="60">
        <v>40.94154357910156</v>
      </c>
      <c r="Z54" s="60">
        <v>0</v>
      </c>
      <c r="AA54" s="60">
        <v>0</v>
      </c>
      <c r="AB54" s="60">
        <v>141.9725799560547</v>
      </c>
      <c r="AC54" s="60">
        <v>175.50003051757812</v>
      </c>
      <c r="AD54" s="69">
        <v>0.8089604377746582</v>
      </c>
      <c r="AE54" s="60"/>
      <c r="AF54" s="60"/>
      <c r="AG54" s="60"/>
      <c r="AH54" s="60"/>
      <c r="AI54" s="60"/>
      <c r="AJ54" s="60"/>
      <c r="AK54" s="60"/>
      <c r="AL54" s="49"/>
      <c r="AM54" s="49"/>
      <c r="AN54" s="49"/>
      <c r="AO54" s="49"/>
    </row>
    <row r="55" spans="2:41" ht="12.75" customHeight="1">
      <c r="B55" t="s">
        <v>178</v>
      </c>
      <c r="C55" s="49">
        <v>45</v>
      </c>
      <c r="D55" s="49">
        <v>165.94053252271078</v>
      </c>
      <c r="E55" s="49">
        <v>171.96</v>
      </c>
      <c r="F55" s="49">
        <v>0</v>
      </c>
      <c r="G55" s="49">
        <v>0</v>
      </c>
      <c r="H55" s="49"/>
      <c r="I55" s="49">
        <v>0.21</v>
      </c>
      <c r="J55" s="49">
        <v>0.4009999930858612</v>
      </c>
      <c r="K55" s="49">
        <v>178.59349812756747</v>
      </c>
      <c r="L55" s="49">
        <v>0.03893019760509585</v>
      </c>
      <c r="M55" s="49">
        <v>0.09708278626203537</v>
      </c>
      <c r="N55" s="49">
        <v>171.96013669315644</v>
      </c>
      <c r="O55" s="49">
        <v>0</v>
      </c>
      <c r="P55" s="49">
        <v>0</v>
      </c>
      <c r="Q55" s="49">
        <v>171.96014404296875</v>
      </c>
      <c r="R55" s="49">
        <v>52.20374829309191</v>
      </c>
      <c r="S55" s="49">
        <v>75.17532368211825</v>
      </c>
      <c r="T55" s="49">
        <v>2.1541123390197754</v>
      </c>
      <c r="U55" s="49">
        <v>11.142014503479004</v>
      </c>
      <c r="V55" s="49">
        <v>88.37376987669197</v>
      </c>
      <c r="W55" s="49">
        <v>171.96013669315644</v>
      </c>
      <c r="X55" s="69">
        <v>0.5139200955299602</v>
      </c>
      <c r="Y55" s="60">
        <v>35.81233215332031</v>
      </c>
      <c r="Z55" s="60">
        <v>0</v>
      </c>
      <c r="AA55" s="60">
        <v>0</v>
      </c>
      <c r="AB55" s="60">
        <v>124.18610382080078</v>
      </c>
      <c r="AC55" s="60">
        <v>171.96014404296875</v>
      </c>
      <c r="AD55" s="69">
        <v>0.7221795916557312</v>
      </c>
      <c r="AE55" s="60"/>
      <c r="AF55" s="60"/>
      <c r="AG55" s="60"/>
      <c r="AH55" s="60"/>
      <c r="AI55" s="60"/>
      <c r="AJ55" s="60"/>
      <c r="AK55" s="60"/>
      <c r="AL55" s="49"/>
      <c r="AM55" s="49"/>
      <c r="AN55" s="49"/>
      <c r="AO55" s="49"/>
    </row>
    <row r="56" spans="2:41" ht="12.75" customHeight="1">
      <c r="B56" t="s">
        <v>500</v>
      </c>
      <c r="C56" s="49">
        <v>45</v>
      </c>
      <c r="D56" s="49">
        <v>494.43437152064234</v>
      </c>
      <c r="E56" s="49">
        <v>715.2</v>
      </c>
      <c r="F56" s="49">
        <v>0</v>
      </c>
      <c r="G56" s="49">
        <v>0</v>
      </c>
      <c r="H56" s="49"/>
      <c r="I56" s="49">
        <v>0.21</v>
      </c>
      <c r="J56" s="49">
        <v>0.4009999930858612</v>
      </c>
      <c r="K56" s="49">
        <v>532.1349923490912</v>
      </c>
      <c r="L56" s="49">
        <v>0.11599593838482844</v>
      </c>
      <c r="M56" s="49">
        <v>0.2892666757106781</v>
      </c>
      <c r="N56" s="49">
        <v>715.2001526106666</v>
      </c>
      <c r="O56" s="49">
        <v>0</v>
      </c>
      <c r="P56" s="49">
        <v>0</v>
      </c>
      <c r="Q56" s="49">
        <v>715.2001342773438</v>
      </c>
      <c r="R56" s="49">
        <v>72.8694182948043</v>
      </c>
      <c r="S56" s="49">
        <v>223.99147064049583</v>
      </c>
      <c r="T56" s="49">
        <v>6.418366432189941</v>
      </c>
      <c r="U56" s="49">
        <v>33.1986083984375</v>
      </c>
      <c r="V56" s="49">
        <v>263.3173976349634</v>
      </c>
      <c r="W56" s="49">
        <v>715.2001526106666</v>
      </c>
      <c r="X56" s="69">
        <v>0.36817301656576334</v>
      </c>
      <c r="Y56" s="60">
        <v>106.70600891113281</v>
      </c>
      <c r="Z56" s="60">
        <v>0</v>
      </c>
      <c r="AA56" s="60">
        <v>0</v>
      </c>
      <c r="AB56" s="60">
        <v>370.0234375</v>
      </c>
      <c r="AC56" s="60">
        <v>715.2001342773438</v>
      </c>
      <c r="AD56" s="69">
        <v>0.5173704624176025</v>
      </c>
      <c r="AE56" s="60"/>
      <c r="AF56" s="60"/>
      <c r="AG56" s="60"/>
      <c r="AH56" s="60"/>
      <c r="AI56" s="60"/>
      <c r="AJ56" s="60"/>
      <c r="AK56" s="60"/>
      <c r="AL56" s="49"/>
      <c r="AM56" s="49"/>
      <c r="AN56" s="49"/>
      <c r="AO56" s="49"/>
    </row>
    <row r="57" spans="2:41" ht="12.75" customHeight="1">
      <c r="B57" t="s">
        <v>180</v>
      </c>
      <c r="C57" s="49">
        <v>45</v>
      </c>
      <c r="D57" s="49">
        <v>386.09645473193814</v>
      </c>
      <c r="E57" s="49">
        <v>600.47</v>
      </c>
      <c r="F57" s="49">
        <v>0</v>
      </c>
      <c r="G57" s="49">
        <v>0</v>
      </c>
      <c r="H57" s="49"/>
      <c r="I57" s="49">
        <v>0.21</v>
      </c>
      <c r="J57" s="49">
        <v>0.4009999930858612</v>
      </c>
      <c r="K57" s="49">
        <v>415.5363094052484</v>
      </c>
      <c r="L57" s="49">
        <v>0.09057950489151385</v>
      </c>
      <c r="M57" s="49">
        <v>0.22588405013084412</v>
      </c>
      <c r="N57" s="49">
        <v>600.4689281291161</v>
      </c>
      <c r="O57" s="49">
        <v>0</v>
      </c>
      <c r="P57" s="49">
        <v>0</v>
      </c>
      <c r="Q57" s="49">
        <v>600.4689331054688</v>
      </c>
      <c r="R57" s="49">
        <v>78.34677191520623</v>
      </c>
      <c r="S57" s="49">
        <v>174.91161150166496</v>
      </c>
      <c r="T57" s="49">
        <v>5.012006759643555</v>
      </c>
      <c r="U57" s="49">
        <v>25.924301147460938</v>
      </c>
      <c r="V57" s="49">
        <v>205.62064470499905</v>
      </c>
      <c r="W57" s="49">
        <v>600.4689281291161</v>
      </c>
      <c r="X57" s="69">
        <v>0.3424334467158064</v>
      </c>
      <c r="Y57" s="60">
        <v>83.32512664794922</v>
      </c>
      <c r="Z57" s="60">
        <v>0</v>
      </c>
      <c r="AA57" s="60">
        <v>0</v>
      </c>
      <c r="AB57" s="60">
        <v>288.9457702636719</v>
      </c>
      <c r="AC57" s="60">
        <v>600.4689331054688</v>
      </c>
      <c r="AD57" s="69">
        <v>0.4812001883983612</v>
      </c>
      <c r="AE57" s="60"/>
      <c r="AF57" s="60"/>
      <c r="AG57" s="60"/>
      <c r="AH57" s="60"/>
      <c r="AI57" s="60"/>
      <c r="AJ57" s="60"/>
      <c r="AK57" s="60"/>
      <c r="AL57" s="49"/>
      <c r="AM57" s="49"/>
      <c r="AN57" s="49"/>
      <c r="AO57" s="49"/>
    </row>
    <row r="58" spans="2:41" ht="12.75" customHeight="1">
      <c r="B58" t="s">
        <v>490</v>
      </c>
      <c r="C58" s="49">
        <v>45</v>
      </c>
      <c r="D58" s="49">
        <v>416.11990169937053</v>
      </c>
      <c r="E58" s="49">
        <v>675</v>
      </c>
      <c r="F58" s="49">
        <v>0</v>
      </c>
      <c r="G58" s="49">
        <v>0</v>
      </c>
      <c r="H58" s="49"/>
      <c r="I58" s="49">
        <v>0.21</v>
      </c>
      <c r="J58" s="49">
        <v>0.4009999930858612</v>
      </c>
      <c r="K58" s="49">
        <v>447.8490442039475</v>
      </c>
      <c r="L58" s="49">
        <v>0.09762310482131578</v>
      </c>
      <c r="M58" s="49">
        <v>0.2434491366147995</v>
      </c>
      <c r="N58" s="49">
        <v>675.000144032718</v>
      </c>
      <c r="O58" s="49">
        <v>0</v>
      </c>
      <c r="P58" s="49">
        <v>0</v>
      </c>
      <c r="Q58" s="49">
        <v>675.0001220703125</v>
      </c>
      <c r="R58" s="49">
        <v>81.71687327141898</v>
      </c>
      <c r="S58" s="49">
        <v>188.51300417840997</v>
      </c>
      <c r="T58" s="49">
        <v>5.401748180389404</v>
      </c>
      <c r="U58" s="49">
        <v>27.940214157104492</v>
      </c>
      <c r="V58" s="49">
        <v>221.6100184261294</v>
      </c>
      <c r="W58" s="49">
        <v>675.000144032718</v>
      </c>
      <c r="X58" s="69">
        <v>0.3283110683534724</v>
      </c>
      <c r="Y58" s="60">
        <v>89.80461883544922</v>
      </c>
      <c r="Z58" s="60">
        <v>0</v>
      </c>
      <c r="AA58" s="60">
        <v>0</v>
      </c>
      <c r="AB58" s="60">
        <v>311.4146728515625</v>
      </c>
      <c r="AC58" s="60">
        <v>675.0001220703125</v>
      </c>
      <c r="AD58" s="69">
        <v>0.4613550007343292</v>
      </c>
      <c r="AE58" s="60"/>
      <c r="AF58" s="60"/>
      <c r="AG58" s="60"/>
      <c r="AH58" s="60"/>
      <c r="AI58" s="60"/>
      <c r="AJ58" s="60"/>
      <c r="AK58" s="60"/>
      <c r="AL58" s="49"/>
      <c r="AM58" s="49"/>
      <c r="AN58" s="49"/>
      <c r="AO58" s="49"/>
    </row>
    <row r="59" spans="2:41" ht="12.75" customHeight="1">
      <c r="B59" t="s">
        <v>486</v>
      </c>
      <c r="C59" s="49">
        <v>45</v>
      </c>
      <c r="D59" s="49">
        <v>40.95169425724998</v>
      </c>
      <c r="E59" s="49">
        <v>73.7</v>
      </c>
      <c r="F59" s="49">
        <v>0</v>
      </c>
      <c r="G59" s="49">
        <v>0</v>
      </c>
      <c r="H59" s="49"/>
      <c r="I59" s="49">
        <v>0.21</v>
      </c>
      <c r="J59" s="49">
        <v>0.4009999930858612</v>
      </c>
      <c r="K59" s="49">
        <v>44.07426094436529</v>
      </c>
      <c r="L59" s="49">
        <v>0.00960740287777502</v>
      </c>
      <c r="M59" s="49">
        <v>0.023958610370755196</v>
      </c>
      <c r="N59" s="49">
        <v>73.69721572564151</v>
      </c>
      <c r="O59" s="49">
        <v>0</v>
      </c>
      <c r="P59" s="49">
        <v>0</v>
      </c>
      <c r="Q59" s="49">
        <v>73.69721221923828</v>
      </c>
      <c r="R59" s="49">
        <v>90.65787875418748</v>
      </c>
      <c r="S59" s="49">
        <v>18.552169408631883</v>
      </c>
      <c r="T59" s="49">
        <v>0.5316033363342285</v>
      </c>
      <c r="U59" s="49">
        <v>2.749685764312744</v>
      </c>
      <c r="V59" s="49">
        <v>21.80935241062587</v>
      </c>
      <c r="W59" s="49">
        <v>73.69721572564151</v>
      </c>
      <c r="X59" s="69">
        <v>0.2959318367171059</v>
      </c>
      <c r="Y59" s="60">
        <v>8.837958335876465</v>
      </c>
      <c r="Z59" s="60">
        <v>0</v>
      </c>
      <c r="AA59" s="60">
        <v>0</v>
      </c>
      <c r="AB59" s="60">
        <v>30.647314071655273</v>
      </c>
      <c r="AC59" s="60">
        <v>73.69721221923828</v>
      </c>
      <c r="AD59" s="69">
        <v>0.41585445404052734</v>
      </c>
      <c r="AE59" s="60"/>
      <c r="AF59" s="60"/>
      <c r="AG59" s="60"/>
      <c r="AH59" s="60"/>
      <c r="AI59" s="60"/>
      <c r="AJ59" s="60"/>
      <c r="AK59" s="60"/>
      <c r="AL59" s="49"/>
      <c r="AM59" s="49"/>
      <c r="AN59" s="49"/>
      <c r="AO59" s="49"/>
    </row>
    <row r="60" spans="3:41" ht="12.75" customHeight="1">
      <c r="C60" s="49"/>
      <c r="D60" s="49"/>
      <c r="E60" s="49"/>
      <c r="F60" s="49"/>
      <c r="G60" s="49"/>
      <c r="H60" s="49"/>
      <c r="I60" s="49"/>
      <c r="J60" s="49"/>
      <c r="K60" s="49"/>
      <c r="L60" s="49"/>
      <c r="M60" s="49"/>
      <c r="S60" s="49"/>
      <c r="T60" s="49"/>
      <c r="U60" s="49"/>
      <c r="W60" s="49"/>
      <c r="X60" s="60"/>
      <c r="Y60" s="60"/>
      <c r="Z60" s="60"/>
      <c r="AA60" s="60"/>
      <c r="AB60" s="60"/>
      <c r="AC60" s="60"/>
      <c r="AD60" s="60"/>
      <c r="AE60" s="60"/>
      <c r="AF60" s="60"/>
      <c r="AG60" s="60"/>
      <c r="AH60" s="60"/>
      <c r="AI60" s="60"/>
      <c r="AJ60" s="60"/>
      <c r="AK60" s="60"/>
      <c r="AL60" s="49"/>
      <c r="AM60" s="49"/>
      <c r="AN60" s="49"/>
      <c r="AO60" s="49"/>
    </row>
    <row r="61" spans="3:41" ht="12.75" customHeight="1" thickBot="1">
      <c r="C61" s="49"/>
      <c r="D61" s="49"/>
      <c r="E61" s="49"/>
      <c r="F61" s="49"/>
      <c r="G61" s="49"/>
      <c r="H61" s="49"/>
      <c r="I61" s="49"/>
      <c r="J61" s="49"/>
      <c r="K61" s="49"/>
      <c r="L61" s="49"/>
      <c r="M61" s="49"/>
      <c r="S61" s="49"/>
      <c r="T61" s="49"/>
      <c r="U61" s="49"/>
      <c r="W61" s="49"/>
      <c r="X61" s="49"/>
      <c r="Y61" s="49"/>
      <c r="Z61" s="49"/>
      <c r="AA61" s="49"/>
      <c r="AB61" s="49"/>
      <c r="AC61" s="49"/>
      <c r="AD61" s="49"/>
      <c r="AE61" s="49"/>
      <c r="AF61" s="49"/>
      <c r="AG61" s="49"/>
      <c r="AH61" s="49"/>
      <c r="AI61" s="49"/>
      <c r="AJ61" s="49"/>
      <c r="AK61" s="49"/>
      <c r="AL61" s="49"/>
      <c r="AM61" s="49"/>
      <c r="AN61" s="49"/>
      <c r="AO61" s="49"/>
    </row>
    <row r="62" spans="1:41" ht="12.75" customHeight="1" thickBot="1">
      <c r="A62" s="65" t="s">
        <v>67</v>
      </c>
      <c r="B62" s="66"/>
      <c r="C62" s="67"/>
      <c r="D62" s="67"/>
      <c r="E62" s="67"/>
      <c r="F62" s="67"/>
      <c r="G62" s="67"/>
      <c r="H62" s="67"/>
      <c r="I62" s="67"/>
      <c r="J62" s="67"/>
      <c r="K62" s="68"/>
      <c r="L62" s="49"/>
      <c r="M62" s="49"/>
      <c r="S62" s="49"/>
      <c r="T62" s="49"/>
      <c r="U62" s="49"/>
      <c r="W62" s="49"/>
      <c r="X62" s="49"/>
      <c r="Y62" s="49"/>
      <c r="Z62" s="49"/>
      <c r="AA62" s="49"/>
      <c r="AB62" s="49"/>
      <c r="AC62" s="49"/>
      <c r="AD62" s="49"/>
      <c r="AE62" s="49"/>
      <c r="AF62" s="49"/>
      <c r="AG62" s="49"/>
      <c r="AH62" s="49"/>
      <c r="AI62" s="49"/>
      <c r="AJ62" s="49"/>
      <c r="AK62" s="49"/>
      <c r="AL62" s="49"/>
      <c r="AM62" s="49"/>
      <c r="AN62" s="49"/>
      <c r="AO62" s="49"/>
    </row>
    <row r="63" spans="1:41" ht="25.5">
      <c r="A63" s="57"/>
      <c r="B63" s="58" t="s">
        <v>68</v>
      </c>
      <c r="C63" s="59" t="s">
        <v>64</v>
      </c>
      <c r="D63" s="59" t="s">
        <v>65</v>
      </c>
      <c r="E63" s="59" t="s">
        <v>69</v>
      </c>
      <c r="F63" s="59" t="s">
        <v>70</v>
      </c>
      <c r="G63" s="59" t="s">
        <v>71</v>
      </c>
      <c r="H63" s="59" t="s">
        <v>72</v>
      </c>
      <c r="I63" s="59" t="s">
        <v>66</v>
      </c>
      <c r="J63" s="59" t="s">
        <v>55</v>
      </c>
      <c r="K63" s="59" t="s">
        <v>63</v>
      </c>
      <c r="L63" s="49"/>
      <c r="M63" s="49"/>
      <c r="S63" s="49"/>
      <c r="T63" s="49"/>
      <c r="U63" s="49"/>
      <c r="W63" s="49"/>
      <c r="X63" s="49"/>
      <c r="Y63" s="49"/>
      <c r="Z63" s="49"/>
      <c r="AA63" s="49"/>
      <c r="AB63" s="49"/>
      <c r="AC63" s="49"/>
      <c r="AD63" s="49"/>
      <c r="AE63" s="49"/>
      <c r="AF63" s="49"/>
      <c r="AG63" s="49"/>
      <c r="AH63" s="49"/>
      <c r="AI63" s="49"/>
      <c r="AJ63" s="49"/>
      <c r="AK63" s="49"/>
      <c r="AL63" s="49"/>
      <c r="AM63" s="49"/>
      <c r="AN63" s="49"/>
      <c r="AO63" s="49"/>
    </row>
    <row r="64" spans="2:41" ht="12.75" customHeight="1">
      <c r="B64" t="s">
        <v>73</v>
      </c>
      <c r="C64" s="49">
        <v>13289.130197891454</v>
      </c>
      <c r="D64" s="49">
        <v>3370.4647191956906</v>
      </c>
      <c r="E64" s="49">
        <v>3370.46</v>
      </c>
      <c r="F64" s="49">
        <v>674.0928</v>
      </c>
      <c r="G64" s="49">
        <v>4044.5575191956905</v>
      </c>
      <c r="H64" s="49">
        <v>2666.113037109375</v>
      </c>
      <c r="I64" s="49">
        <v>16.501141901185004</v>
      </c>
      <c r="J64" s="49">
        <v>5593.790784963053</v>
      </c>
      <c r="K64" s="48">
        <v>1.3830414720064226</v>
      </c>
      <c r="L64" s="49"/>
      <c r="M64" s="49"/>
      <c r="S64" s="49"/>
      <c r="T64" s="49"/>
      <c r="U64" s="49"/>
      <c r="W64" s="49"/>
      <c r="X64" s="49"/>
      <c r="Y64" s="49"/>
      <c r="Z64" s="49"/>
      <c r="AA64" s="49"/>
      <c r="AB64" s="49"/>
      <c r="AC64" s="49"/>
      <c r="AD64" s="49"/>
      <c r="AE64" s="49"/>
      <c r="AF64" s="49"/>
      <c r="AG64" s="49"/>
      <c r="AH64" s="49"/>
      <c r="AI64" s="49"/>
      <c r="AJ64" s="49"/>
      <c r="AK64" s="49"/>
      <c r="AL64" s="49"/>
      <c r="AM64" s="49"/>
      <c r="AN64" s="49"/>
      <c r="AO64" s="49"/>
    </row>
    <row r="65" spans="2:41" ht="12.75" customHeight="1">
      <c r="B65" t="s">
        <v>74</v>
      </c>
      <c r="C65" s="49">
        <v>0</v>
      </c>
      <c r="D65" s="49">
        <v>0</v>
      </c>
      <c r="E65" s="49">
        <v>0</v>
      </c>
      <c r="F65" s="49">
        <v>0</v>
      </c>
      <c r="G65" s="49">
        <v>0</v>
      </c>
      <c r="H65" s="49">
        <v>0</v>
      </c>
      <c r="I65" s="49">
        <v>0</v>
      </c>
      <c r="J65" s="49">
        <v>8613.590575201652</v>
      </c>
      <c r="K65" s="69">
        <v>0</v>
      </c>
      <c r="L65" s="49"/>
      <c r="M65" s="49"/>
      <c r="S65" s="49"/>
      <c r="T65" s="49"/>
      <c r="U65" s="49"/>
      <c r="W65" s="49"/>
      <c r="X65" s="49"/>
      <c r="Y65" s="49"/>
      <c r="Z65" s="49"/>
      <c r="AA65" s="49"/>
      <c r="AB65" s="49"/>
      <c r="AC65" s="49"/>
      <c r="AD65" s="49"/>
      <c r="AE65" s="49"/>
      <c r="AF65" s="49"/>
      <c r="AG65" s="49"/>
      <c r="AH65" s="49"/>
      <c r="AI65" s="49"/>
      <c r="AJ65" s="49"/>
      <c r="AK65" s="49"/>
      <c r="AL65" s="49"/>
      <c r="AM65" s="49"/>
      <c r="AN65" s="49"/>
      <c r="AO65" s="49"/>
    </row>
    <row r="66" spans="2:41" ht="12.75" customHeight="1">
      <c r="B66" t="s">
        <v>75</v>
      </c>
      <c r="C66" s="49">
        <v>13567.18433624957</v>
      </c>
      <c r="D66" s="49">
        <v>5679.0029296875</v>
      </c>
      <c r="E66" s="49">
        <v>5679.001934375889</v>
      </c>
      <c r="F66" s="49">
        <v>1135.8003868751778</v>
      </c>
      <c r="G66" s="49">
        <v>6814.8033165626775</v>
      </c>
      <c r="H66" s="49">
        <v>4400.15234375</v>
      </c>
      <c r="I66" s="49">
        <v>27.233479932169736</v>
      </c>
      <c r="J66" s="49">
        <v>5710.832055061774</v>
      </c>
      <c r="K66" s="69">
        <v>0.8380039437355712</v>
      </c>
      <c r="L66" s="49"/>
      <c r="M66" s="49"/>
      <c r="S66" s="49"/>
      <c r="T66" s="49"/>
      <c r="U66" s="49"/>
      <c r="W66" s="49"/>
      <c r="X66" s="49"/>
      <c r="Y66" s="49"/>
      <c r="Z66" s="49"/>
      <c r="AA66" s="49"/>
      <c r="AB66" s="49"/>
      <c r="AC66" s="49"/>
      <c r="AD66" s="49"/>
      <c r="AE66" s="49"/>
      <c r="AF66" s="49"/>
      <c r="AG66" s="49"/>
      <c r="AH66" s="49"/>
      <c r="AI66" s="49"/>
      <c r="AJ66" s="49"/>
      <c r="AK66" s="49"/>
      <c r="AL66" s="49"/>
      <c r="AM66" s="49"/>
      <c r="AN66" s="49"/>
      <c r="AO66" s="49"/>
    </row>
    <row r="67" spans="2:41" ht="12.75" customHeight="1">
      <c r="B67" t="s">
        <v>76</v>
      </c>
      <c r="C67" s="49">
        <v>0</v>
      </c>
      <c r="D67" s="49">
        <v>0</v>
      </c>
      <c r="E67" s="49">
        <v>0</v>
      </c>
      <c r="F67" s="49">
        <v>0</v>
      </c>
      <c r="G67" s="49">
        <v>0</v>
      </c>
      <c r="H67" s="49">
        <v>0</v>
      </c>
      <c r="I67" s="49">
        <v>0</v>
      </c>
      <c r="J67" s="49">
        <v>0</v>
      </c>
      <c r="K67" s="69">
        <v>0</v>
      </c>
      <c r="L67" s="49"/>
      <c r="M67" s="49"/>
      <c r="S67" s="49"/>
      <c r="T67" s="49"/>
      <c r="U67" s="49"/>
      <c r="W67" s="49"/>
      <c r="X67" s="49"/>
      <c r="Y67" s="49"/>
      <c r="Z67" s="49"/>
      <c r="AA67" s="49"/>
      <c r="AB67" s="49"/>
      <c r="AC67" s="49"/>
      <c r="AD67" s="49"/>
      <c r="AE67" s="49"/>
      <c r="AF67" s="49"/>
      <c r="AG67" s="49"/>
      <c r="AH67" s="49"/>
      <c r="AI67" s="49"/>
      <c r="AJ67" s="49"/>
      <c r="AK67" s="49"/>
      <c r="AL67" s="49"/>
      <c r="AM67" s="49"/>
      <c r="AN67" s="49"/>
      <c r="AO67" s="49"/>
    </row>
    <row r="68" spans="2:41" ht="12.75" customHeight="1">
      <c r="B68" t="s">
        <v>77</v>
      </c>
      <c r="C68" s="49">
        <v>9196.988422471319</v>
      </c>
      <c r="D68" s="49">
        <v>1973.690421149534</v>
      </c>
      <c r="E68" s="49">
        <v>1973.69</v>
      </c>
      <c r="F68" s="49">
        <v>394.738</v>
      </c>
      <c r="G68" s="49">
        <v>2368.4284211495337</v>
      </c>
      <c r="H68" s="49">
        <v>2255.894287109375</v>
      </c>
      <c r="I68" s="49">
        <v>13.962209927592719</v>
      </c>
      <c r="J68" s="49">
        <v>3871.2864063288926</v>
      </c>
      <c r="K68" s="102">
        <v>1.6345380640424574</v>
      </c>
      <c r="L68" s="49"/>
      <c r="M68" s="49"/>
      <c r="S68" s="49"/>
      <c r="T68" s="49"/>
      <c r="U68" s="49"/>
      <c r="W68" s="49"/>
      <c r="X68" s="49"/>
      <c r="Y68" s="49"/>
      <c r="Z68" s="49"/>
      <c r="AA68" s="49"/>
      <c r="AB68" s="49"/>
      <c r="AC68" s="49"/>
      <c r="AD68" s="49"/>
      <c r="AE68" s="49"/>
      <c r="AF68" s="49"/>
      <c r="AG68" s="49"/>
      <c r="AH68" s="49"/>
      <c r="AI68" s="49"/>
      <c r="AJ68" s="49"/>
      <c r="AK68" s="49"/>
      <c r="AL68" s="49"/>
      <c r="AM68" s="49"/>
      <c r="AN68" s="49"/>
      <c r="AO68" s="49"/>
    </row>
    <row r="69" spans="2:41" ht="12.75" customHeight="1">
      <c r="B69" t="s">
        <v>78</v>
      </c>
      <c r="C69" s="49">
        <v>4386.871381844945</v>
      </c>
      <c r="D69" s="49">
        <v>1530.5718265961086</v>
      </c>
      <c r="E69" s="49">
        <v>1530.57</v>
      </c>
      <c r="F69" s="49">
        <v>306.1143</v>
      </c>
      <c r="G69" s="49">
        <v>1836.6861265961086</v>
      </c>
      <c r="H69" s="49">
        <v>3667.618408203125</v>
      </c>
      <c r="I69" s="49">
        <v>22.699672075162045</v>
      </c>
      <c r="J69" s="49">
        <v>1846.5648500062046</v>
      </c>
      <c r="K69" s="102">
        <v>1.005378558299672</v>
      </c>
      <c r="L69" s="49"/>
      <c r="M69" s="49"/>
      <c r="S69" s="49"/>
      <c r="T69" s="49"/>
      <c r="U69" s="49"/>
      <c r="W69" s="49"/>
      <c r="X69" s="49"/>
      <c r="Y69" s="49"/>
      <c r="Z69" s="49"/>
      <c r="AA69" s="49"/>
      <c r="AB69" s="49"/>
      <c r="AC69" s="49"/>
      <c r="AD69" s="49"/>
      <c r="AE69" s="49"/>
      <c r="AF69" s="49"/>
      <c r="AG69" s="49"/>
      <c r="AH69" s="49"/>
      <c r="AI69" s="49"/>
      <c r="AJ69" s="49"/>
      <c r="AK69" s="49"/>
      <c r="AL69" s="49"/>
      <c r="AM69" s="49"/>
      <c r="AN69" s="49"/>
      <c r="AO69" s="49"/>
    </row>
    <row r="70" spans="2:41" ht="12.75" customHeight="1">
      <c r="B70" t="s">
        <v>79</v>
      </c>
      <c r="C70" s="49">
        <v>5057.027419630453</v>
      </c>
      <c r="D70" s="49">
        <v>2723.3429811117153</v>
      </c>
      <c r="E70" s="49">
        <v>2723.34</v>
      </c>
      <c r="F70" s="49">
        <v>544.66848</v>
      </c>
      <c r="G70" s="49">
        <v>3268.011461111715</v>
      </c>
      <c r="H70" s="49">
        <v>5660.98974609375</v>
      </c>
      <c r="I70" s="49">
        <v>35.03707169654885</v>
      </c>
      <c r="J70" s="49">
        <v>2128.6534903332285</v>
      </c>
      <c r="K70" s="70">
        <v>0.6513604727717514</v>
      </c>
      <c r="L70" s="49"/>
      <c r="M70" s="49"/>
      <c r="S70" s="49"/>
      <c r="T70" s="49"/>
      <c r="U70" s="49"/>
      <c r="W70" s="49"/>
      <c r="X70" s="49"/>
      <c r="Y70" s="49"/>
      <c r="Z70" s="49"/>
      <c r="AA70" s="49"/>
      <c r="AB70" s="49"/>
      <c r="AC70" s="49"/>
      <c r="AD70" s="49"/>
      <c r="AE70" s="49"/>
      <c r="AF70" s="49"/>
      <c r="AG70" s="49"/>
      <c r="AH70" s="49"/>
      <c r="AI70" s="49"/>
      <c r="AJ70" s="49"/>
      <c r="AK70" s="49"/>
      <c r="AL70" s="49"/>
      <c r="AM70" s="49"/>
      <c r="AN70" s="49"/>
      <c r="AO70" s="49"/>
    </row>
    <row r="71" spans="2:41" ht="12.75" customHeight="1">
      <c r="B71" t="s">
        <v>80</v>
      </c>
      <c r="C71" s="49">
        <v>0</v>
      </c>
      <c r="D71" s="49">
        <v>0</v>
      </c>
      <c r="E71" s="49">
        <v>0</v>
      </c>
      <c r="F71" s="49">
        <v>0</v>
      </c>
      <c r="G71" s="49">
        <v>0</v>
      </c>
      <c r="H71" s="49">
        <v>0</v>
      </c>
      <c r="I71" s="49">
        <v>0</v>
      </c>
      <c r="J71" s="49">
        <v>0</v>
      </c>
      <c r="K71" s="70">
        <v>0</v>
      </c>
      <c r="L71" s="49"/>
      <c r="M71" s="49"/>
      <c r="S71" s="49"/>
      <c r="T71" s="49"/>
      <c r="U71" s="49"/>
      <c r="W71" s="49"/>
      <c r="X71" s="49"/>
      <c r="Y71" s="49"/>
      <c r="Z71" s="49"/>
      <c r="AA71" s="49"/>
      <c r="AB71" s="49"/>
      <c r="AC71" s="49"/>
      <c r="AD71" s="49"/>
      <c r="AE71" s="49"/>
      <c r="AF71" s="49"/>
      <c r="AG71" s="49"/>
      <c r="AH71" s="49"/>
      <c r="AI71" s="49"/>
      <c r="AJ71" s="49"/>
      <c r="AK71" s="49"/>
      <c r="AL71" s="49"/>
      <c r="AM71" s="49"/>
      <c r="AN71" s="49"/>
      <c r="AO71" s="49"/>
    </row>
    <row r="72" spans="2:41" ht="12.75" customHeight="1">
      <c r="B72" t="s">
        <v>81</v>
      </c>
      <c r="C72" s="49">
        <v>204.17240865570162</v>
      </c>
      <c r="D72" s="49">
        <v>175.50003744850667</v>
      </c>
      <c r="E72" s="49">
        <v>175.5</v>
      </c>
      <c r="F72" s="49">
        <v>35.1</v>
      </c>
      <c r="G72" s="49">
        <v>210.60003744850667</v>
      </c>
      <c r="H72" s="49">
        <v>9035.77734375</v>
      </c>
      <c r="I72" s="49">
        <v>55.924348207097225</v>
      </c>
      <c r="J72" s="49">
        <v>85.94224912200687</v>
      </c>
      <c r="K72" s="70">
        <v>0.40808278176598334</v>
      </c>
      <c r="L72" s="49"/>
      <c r="M72" s="49"/>
      <c r="S72" s="49"/>
      <c r="T72" s="49"/>
      <c r="U72" s="49"/>
      <c r="W72" s="49"/>
      <c r="X72" s="49"/>
      <c r="Y72" s="49"/>
      <c r="Z72" s="49"/>
      <c r="AA72" s="49"/>
      <c r="AB72" s="49"/>
      <c r="AC72" s="49"/>
      <c r="AD72" s="49"/>
      <c r="AE72" s="49"/>
      <c r="AF72" s="49"/>
      <c r="AG72" s="49"/>
      <c r="AH72" s="49"/>
      <c r="AI72" s="49"/>
      <c r="AJ72" s="49"/>
      <c r="AK72" s="49"/>
      <c r="AL72" s="49"/>
      <c r="AM72" s="49"/>
      <c r="AN72" s="49"/>
      <c r="AO72" s="49"/>
    </row>
    <row r="73" spans="2:41" ht="12.75" customHeight="1">
      <c r="B73" t="s">
        <v>82</v>
      </c>
      <c r="C73" s="49">
        <v>1618.1881050302197</v>
      </c>
      <c r="D73" s="49">
        <v>2236.3265771912984</v>
      </c>
      <c r="E73" s="49">
        <v>2236.33</v>
      </c>
      <c r="F73" s="49">
        <v>447.26522</v>
      </c>
      <c r="G73" s="49">
        <v>2683.5917971912986</v>
      </c>
      <c r="H73" s="49">
        <v>14527.5224609375</v>
      </c>
      <c r="I73" s="49">
        <v>89.91393210597906</v>
      </c>
      <c r="J73" s="49">
        <v>681.1435794113208</v>
      </c>
      <c r="K73" s="70">
        <v>0.2538178795017258</v>
      </c>
      <c r="L73" s="49"/>
      <c r="M73" s="49"/>
      <c r="S73" s="49"/>
      <c r="T73" s="49"/>
      <c r="U73" s="49"/>
      <c r="W73" s="49"/>
      <c r="X73" s="49"/>
      <c r="Y73" s="49"/>
      <c r="Z73" s="49"/>
      <c r="AA73" s="49"/>
      <c r="AB73" s="49"/>
      <c r="AC73" s="49"/>
      <c r="AD73" s="49"/>
      <c r="AE73" s="49"/>
      <c r="AF73" s="49"/>
      <c r="AG73" s="49"/>
      <c r="AH73" s="49"/>
      <c r="AI73" s="49"/>
      <c r="AJ73" s="49"/>
      <c r="AK73" s="49"/>
      <c r="AL73" s="49"/>
      <c r="AM73" s="49"/>
      <c r="AN73" s="49"/>
      <c r="AO73" s="49"/>
    </row>
    <row r="74" spans="3:41" ht="12.75" customHeight="1">
      <c r="C74" s="49"/>
      <c r="D74" s="49"/>
      <c r="E74" s="49"/>
      <c r="F74" s="49"/>
      <c r="G74" s="49"/>
      <c r="H74" s="49"/>
      <c r="I74" s="49"/>
      <c r="J74" s="49"/>
      <c r="K74" s="49"/>
      <c r="L74" s="49"/>
      <c r="M74" s="49"/>
      <c r="S74" s="49"/>
      <c r="T74" s="49"/>
      <c r="U74" s="49"/>
      <c r="W74" s="49"/>
      <c r="X74" s="49"/>
      <c r="Y74" s="49"/>
      <c r="Z74" s="49"/>
      <c r="AA74" s="49"/>
      <c r="AB74" s="49"/>
      <c r="AC74" s="49"/>
      <c r="AD74" s="49"/>
      <c r="AE74" s="49"/>
      <c r="AF74" s="49"/>
      <c r="AG74" s="49"/>
      <c r="AH74" s="49"/>
      <c r="AI74" s="49"/>
      <c r="AJ74" s="49"/>
      <c r="AK74" s="49"/>
      <c r="AL74" s="49"/>
      <c r="AM74" s="49"/>
      <c r="AN74" s="49"/>
      <c r="AO74" s="49"/>
    </row>
    <row r="75" spans="3:41" ht="12.75" customHeight="1">
      <c r="C75" s="49"/>
      <c r="D75" s="49"/>
      <c r="E75" s="49"/>
      <c r="F75" s="49"/>
      <c r="G75" s="49"/>
      <c r="H75" s="49"/>
      <c r="I75" s="49"/>
      <c r="J75" s="49"/>
      <c r="K75" s="49"/>
      <c r="L75" s="49"/>
      <c r="M75" s="49"/>
      <c r="S75" s="49"/>
      <c r="T75" s="49"/>
      <c r="U75" s="49"/>
      <c r="W75" s="49"/>
      <c r="X75" s="49"/>
      <c r="Y75" s="49"/>
      <c r="Z75" s="49"/>
      <c r="AA75" s="49"/>
      <c r="AB75" s="49"/>
      <c r="AC75" s="49"/>
      <c r="AD75" s="49"/>
      <c r="AE75" s="49"/>
      <c r="AF75" s="49"/>
      <c r="AG75" s="49"/>
      <c r="AH75" s="49"/>
      <c r="AI75" s="49"/>
      <c r="AJ75" s="49"/>
      <c r="AK75" s="49"/>
      <c r="AL75" s="49"/>
      <c r="AM75" s="49"/>
      <c r="AN75" s="49"/>
      <c r="AO75" s="49"/>
    </row>
    <row r="76" spans="3:41" ht="12.75" customHeight="1">
      <c r="C76" s="49"/>
      <c r="D76" s="49"/>
      <c r="E76" s="49"/>
      <c r="F76" s="49"/>
      <c r="G76" s="49"/>
      <c r="H76" s="49"/>
      <c r="I76" s="49"/>
      <c r="J76" s="49"/>
      <c r="K76" s="49"/>
      <c r="L76" s="49"/>
      <c r="M76" s="49"/>
      <c r="S76" s="49"/>
      <c r="T76" s="49"/>
      <c r="U76" s="49"/>
      <c r="W76" s="49"/>
      <c r="X76" s="49"/>
      <c r="Y76" s="49"/>
      <c r="Z76" s="49"/>
      <c r="AA76" s="49"/>
      <c r="AB76" s="49"/>
      <c r="AC76" s="49"/>
      <c r="AD76" s="49"/>
      <c r="AE76" s="49"/>
      <c r="AF76" s="49"/>
      <c r="AG76" s="49"/>
      <c r="AH76" s="49"/>
      <c r="AI76" s="49"/>
      <c r="AJ76" s="49"/>
      <c r="AK76" s="49"/>
      <c r="AL76" s="49"/>
      <c r="AM76" s="49"/>
      <c r="AN76" s="49"/>
      <c r="AO76" s="49"/>
    </row>
    <row r="77" spans="3:41" ht="12.75" customHeight="1">
      <c r="C77" s="49"/>
      <c r="D77" s="49"/>
      <c r="E77" s="49"/>
      <c r="F77" s="49"/>
      <c r="G77" s="49"/>
      <c r="H77" s="49"/>
      <c r="I77" s="49"/>
      <c r="J77" s="49"/>
      <c r="K77" s="49"/>
      <c r="L77" s="49"/>
      <c r="M77" s="49"/>
      <c r="S77" s="49"/>
      <c r="T77" s="49"/>
      <c r="U77" s="49"/>
      <c r="W77" s="49"/>
      <c r="X77" s="49"/>
      <c r="Y77" s="49"/>
      <c r="Z77" s="49"/>
      <c r="AA77" s="49"/>
      <c r="AB77" s="49"/>
      <c r="AC77" s="49"/>
      <c r="AD77" s="49"/>
      <c r="AE77" s="49"/>
      <c r="AF77" s="49"/>
      <c r="AG77" s="49"/>
      <c r="AH77" s="49"/>
      <c r="AI77" s="49"/>
      <c r="AJ77" s="49"/>
      <c r="AK77" s="49"/>
      <c r="AL77" s="49"/>
      <c r="AM77" s="49"/>
      <c r="AN77" s="49"/>
      <c r="AO77" s="49"/>
    </row>
    <row r="78" spans="3:41" ht="12.75" customHeight="1">
      <c r="C78" s="49"/>
      <c r="D78" s="49"/>
      <c r="E78" s="49"/>
      <c r="F78" s="49"/>
      <c r="G78" s="49"/>
      <c r="H78" s="49"/>
      <c r="I78" s="49"/>
      <c r="J78" s="49"/>
      <c r="K78" s="49"/>
      <c r="L78" s="49"/>
      <c r="M78" s="49"/>
      <c r="S78" s="49"/>
      <c r="T78" s="49"/>
      <c r="U78" s="49"/>
      <c r="W78" s="49"/>
      <c r="X78" s="49"/>
      <c r="Y78" s="49"/>
      <c r="Z78" s="49"/>
      <c r="AA78" s="49"/>
      <c r="AB78" s="49"/>
      <c r="AC78" s="49"/>
      <c r="AD78" s="49"/>
      <c r="AE78" s="49"/>
      <c r="AF78" s="49"/>
      <c r="AG78" s="49"/>
      <c r="AH78" s="49"/>
      <c r="AI78" s="49"/>
      <c r="AJ78" s="49"/>
      <c r="AK78" s="49"/>
      <c r="AL78" s="49"/>
      <c r="AM78" s="49"/>
      <c r="AN78" s="49"/>
      <c r="AO78" s="49"/>
    </row>
    <row r="79" spans="3:41" ht="12.75" customHeight="1">
      <c r="C79" s="49"/>
      <c r="D79" s="49"/>
      <c r="E79" s="49"/>
      <c r="F79" s="49"/>
      <c r="G79" s="49"/>
      <c r="H79" s="49"/>
      <c r="I79" s="49"/>
      <c r="J79" s="49"/>
      <c r="K79" s="49"/>
      <c r="L79" s="49"/>
      <c r="M79" s="49"/>
      <c r="S79" s="49"/>
      <c r="T79" s="49"/>
      <c r="U79" s="49"/>
      <c r="W79" s="49"/>
      <c r="X79" s="49"/>
      <c r="Y79" s="49"/>
      <c r="Z79" s="49"/>
      <c r="AA79" s="49"/>
      <c r="AB79" s="49"/>
      <c r="AC79" s="49"/>
      <c r="AD79" s="49"/>
      <c r="AE79" s="49"/>
      <c r="AF79" s="49"/>
      <c r="AG79" s="49"/>
      <c r="AH79" s="49"/>
      <c r="AI79" s="49"/>
      <c r="AJ79" s="49"/>
      <c r="AK79" s="49"/>
      <c r="AL79" s="49"/>
      <c r="AM79" s="49"/>
      <c r="AN79" s="49"/>
      <c r="AO79" s="49"/>
    </row>
    <row r="80" spans="3:41" ht="12.75" customHeight="1">
      <c r="C80" s="49"/>
      <c r="D80" s="49"/>
      <c r="E80" s="49"/>
      <c r="F80" s="49"/>
      <c r="G80" s="49"/>
      <c r="H80" s="49"/>
      <c r="I80" s="49"/>
      <c r="J80" s="49"/>
      <c r="K80" s="49"/>
      <c r="L80" s="49"/>
      <c r="M80" s="49"/>
      <c r="S80" s="49"/>
      <c r="T80" s="49"/>
      <c r="U80" s="49"/>
      <c r="W80" s="49"/>
      <c r="X80" s="49"/>
      <c r="Y80" s="49"/>
      <c r="Z80" s="49"/>
      <c r="AA80" s="49"/>
      <c r="AB80" s="49"/>
      <c r="AC80" s="49"/>
      <c r="AD80" s="49"/>
      <c r="AE80" s="49"/>
      <c r="AF80" s="49"/>
      <c r="AG80" s="49"/>
      <c r="AH80" s="49"/>
      <c r="AI80" s="49"/>
      <c r="AJ80" s="49"/>
      <c r="AK80" s="49"/>
      <c r="AL80" s="49"/>
      <c r="AM80" s="49"/>
      <c r="AN80" s="49"/>
      <c r="AO80" s="49"/>
    </row>
    <row r="81" spans="3:41" ht="12.75" customHeight="1">
      <c r="C81" s="49"/>
      <c r="D81" s="49"/>
      <c r="E81" s="49"/>
      <c r="F81" s="49"/>
      <c r="G81" s="49"/>
      <c r="H81" s="49"/>
      <c r="I81" s="49"/>
      <c r="J81" s="49"/>
      <c r="K81" s="49"/>
      <c r="L81" s="49"/>
      <c r="M81" s="49"/>
      <c r="S81" s="49"/>
      <c r="T81" s="49"/>
      <c r="U81" s="49"/>
      <c r="W81" s="49"/>
      <c r="X81" s="49"/>
      <c r="Y81" s="49"/>
      <c r="Z81" s="49"/>
      <c r="AA81" s="49"/>
      <c r="AB81" s="49"/>
      <c r="AC81" s="49"/>
      <c r="AD81" s="49"/>
      <c r="AE81" s="49"/>
      <c r="AF81" s="49"/>
      <c r="AG81" s="49"/>
      <c r="AH81" s="49"/>
      <c r="AI81" s="49"/>
      <c r="AJ81" s="49"/>
      <c r="AK81" s="49"/>
      <c r="AL81" s="49"/>
      <c r="AM81" s="49"/>
      <c r="AN81" s="49"/>
      <c r="AO81" s="49"/>
    </row>
    <row r="82" spans="3:41" ht="12.75" customHeight="1">
      <c r="C82" s="49"/>
      <c r="D82" s="49"/>
      <c r="E82" s="49"/>
      <c r="F82" s="49"/>
      <c r="G82" s="49"/>
      <c r="H82" s="49"/>
      <c r="I82" s="49"/>
      <c r="J82" s="49"/>
      <c r="K82" s="49"/>
      <c r="L82" s="49"/>
      <c r="M82" s="49"/>
      <c r="S82" s="49"/>
      <c r="T82" s="49"/>
      <c r="U82" s="49"/>
      <c r="W82" s="49"/>
      <c r="X82" s="49"/>
      <c r="Y82" s="49"/>
      <c r="Z82" s="49"/>
      <c r="AA82" s="49"/>
      <c r="AB82" s="49"/>
      <c r="AC82" s="49"/>
      <c r="AD82" s="49"/>
      <c r="AE82" s="49"/>
      <c r="AF82" s="49"/>
      <c r="AG82" s="49"/>
      <c r="AH82" s="49"/>
      <c r="AI82" s="49"/>
      <c r="AJ82" s="49"/>
      <c r="AK82" s="49"/>
      <c r="AL82" s="49"/>
      <c r="AM82" s="49"/>
      <c r="AN82" s="49"/>
      <c r="AO82" s="49"/>
    </row>
    <row r="83" spans="3:41" ht="12.75" customHeight="1">
      <c r="C83" s="49"/>
      <c r="D83" s="49"/>
      <c r="E83" s="49"/>
      <c r="F83" s="49"/>
      <c r="G83" s="49"/>
      <c r="H83" s="49"/>
      <c r="I83" s="49"/>
      <c r="J83" s="49"/>
      <c r="K83" s="49"/>
      <c r="L83" s="49"/>
      <c r="M83" s="49"/>
      <c r="S83" s="49"/>
      <c r="T83" s="49"/>
      <c r="U83" s="49"/>
      <c r="W83" s="49"/>
      <c r="X83" s="49"/>
      <c r="Y83" s="49"/>
      <c r="Z83" s="49"/>
      <c r="AA83" s="49"/>
      <c r="AB83" s="49"/>
      <c r="AC83" s="49"/>
      <c r="AD83" s="49"/>
      <c r="AE83" s="49"/>
      <c r="AF83" s="49"/>
      <c r="AG83" s="49"/>
      <c r="AH83" s="49"/>
      <c r="AI83" s="49"/>
      <c r="AJ83" s="49"/>
      <c r="AK83" s="49"/>
      <c r="AL83" s="49"/>
      <c r="AM83" s="49"/>
      <c r="AN83" s="49"/>
      <c r="AO83" s="49"/>
    </row>
    <row r="84" spans="3:41" ht="12.75" customHeight="1">
      <c r="C84" s="49"/>
      <c r="D84" s="49"/>
      <c r="E84" s="49"/>
      <c r="F84" s="49"/>
      <c r="G84" s="49"/>
      <c r="H84" s="49"/>
      <c r="I84" s="49"/>
      <c r="J84" s="49"/>
      <c r="K84" s="49"/>
      <c r="L84" s="49"/>
      <c r="M84" s="49"/>
      <c r="S84" s="49"/>
      <c r="T84" s="49"/>
      <c r="U84" s="49"/>
      <c r="W84" s="49"/>
      <c r="X84" s="49"/>
      <c r="Y84" s="49"/>
      <c r="Z84" s="49"/>
      <c r="AA84" s="49"/>
      <c r="AB84" s="49"/>
      <c r="AC84" s="49"/>
      <c r="AD84" s="49"/>
      <c r="AE84" s="49"/>
      <c r="AF84" s="49"/>
      <c r="AG84" s="49"/>
      <c r="AH84" s="49"/>
      <c r="AI84" s="49"/>
      <c r="AJ84" s="49"/>
      <c r="AK84" s="49"/>
      <c r="AL84" s="49"/>
      <c r="AM84" s="49"/>
      <c r="AN84" s="49"/>
      <c r="AO84" s="49"/>
    </row>
    <row r="85" spans="3:41" ht="12.75" customHeight="1">
      <c r="C85" s="49"/>
      <c r="D85" s="49"/>
      <c r="E85" s="49"/>
      <c r="F85" s="49"/>
      <c r="G85" s="49"/>
      <c r="H85" s="49"/>
      <c r="I85" s="49"/>
      <c r="J85" s="49"/>
      <c r="K85" s="49"/>
      <c r="L85" s="49"/>
      <c r="M85" s="49"/>
      <c r="S85" s="49"/>
      <c r="T85" s="49"/>
      <c r="U85" s="49"/>
      <c r="W85" s="49"/>
      <c r="X85" s="49"/>
      <c r="Y85" s="49"/>
      <c r="Z85" s="49"/>
      <c r="AA85" s="49"/>
      <c r="AB85" s="49"/>
      <c r="AC85" s="49"/>
      <c r="AD85" s="49"/>
      <c r="AE85" s="49"/>
      <c r="AF85" s="49"/>
      <c r="AG85" s="49"/>
      <c r="AH85" s="49"/>
      <c r="AI85" s="49"/>
      <c r="AJ85" s="49"/>
      <c r="AK85" s="49"/>
      <c r="AL85" s="49"/>
      <c r="AM85" s="49"/>
      <c r="AN85" s="49"/>
      <c r="AO85" s="49"/>
    </row>
    <row r="86" spans="3:41" ht="12.75" customHeight="1">
      <c r="C86" s="49"/>
      <c r="D86" s="49"/>
      <c r="E86" s="49"/>
      <c r="F86" s="49"/>
      <c r="G86" s="49"/>
      <c r="H86" s="49"/>
      <c r="I86" s="49"/>
      <c r="J86" s="49"/>
      <c r="K86" s="49"/>
      <c r="L86" s="49"/>
      <c r="M86" s="49"/>
      <c r="S86" s="49"/>
      <c r="T86" s="49"/>
      <c r="U86" s="49"/>
      <c r="W86" s="49"/>
      <c r="X86" s="49"/>
      <c r="Y86" s="49"/>
      <c r="Z86" s="49"/>
      <c r="AA86" s="49"/>
      <c r="AB86" s="49"/>
      <c r="AC86" s="49"/>
      <c r="AD86" s="49"/>
      <c r="AE86" s="49"/>
      <c r="AF86" s="49"/>
      <c r="AG86" s="49"/>
      <c r="AH86" s="49"/>
      <c r="AI86" s="49"/>
      <c r="AJ86" s="49"/>
      <c r="AK86" s="49"/>
      <c r="AL86" s="49"/>
      <c r="AM86" s="49"/>
      <c r="AN86" s="49"/>
      <c r="AO86" s="49"/>
    </row>
    <row r="87" spans="3:41" ht="12.75" customHeight="1">
      <c r="C87" s="49"/>
      <c r="D87" s="49"/>
      <c r="E87" s="49"/>
      <c r="F87" s="49"/>
      <c r="G87" s="49"/>
      <c r="H87" s="49"/>
      <c r="I87" s="49"/>
      <c r="J87" s="49"/>
      <c r="K87" s="49"/>
      <c r="L87" s="49"/>
      <c r="M87" s="49"/>
      <c r="S87" s="49"/>
      <c r="T87" s="49"/>
      <c r="U87" s="49"/>
      <c r="W87" s="49"/>
      <c r="X87" s="49"/>
      <c r="Y87" s="49"/>
      <c r="Z87" s="49"/>
      <c r="AA87" s="49"/>
      <c r="AB87" s="49"/>
      <c r="AC87" s="49"/>
      <c r="AD87" s="49"/>
      <c r="AE87" s="49"/>
      <c r="AF87" s="49"/>
      <c r="AG87" s="49"/>
      <c r="AH87" s="49"/>
      <c r="AI87" s="49"/>
      <c r="AJ87" s="49"/>
      <c r="AK87" s="49"/>
      <c r="AL87" s="49"/>
      <c r="AM87" s="49"/>
      <c r="AN87" s="49"/>
      <c r="AO87" s="49"/>
    </row>
    <row r="88" spans="3:41" ht="12.75" customHeight="1">
      <c r="C88" s="49"/>
      <c r="D88" s="49"/>
      <c r="E88" s="49"/>
      <c r="F88" s="49"/>
      <c r="G88" s="49"/>
      <c r="H88" s="49"/>
      <c r="I88" s="49"/>
      <c r="J88" s="49"/>
      <c r="K88" s="49"/>
      <c r="L88" s="49"/>
      <c r="M88" s="49"/>
      <c r="S88" s="49"/>
      <c r="T88" s="49"/>
      <c r="U88" s="49"/>
      <c r="W88" s="49"/>
      <c r="X88" s="49"/>
      <c r="Y88" s="49"/>
      <c r="Z88" s="49"/>
      <c r="AA88" s="49"/>
      <c r="AB88" s="49"/>
      <c r="AC88" s="49"/>
      <c r="AD88" s="49"/>
      <c r="AE88" s="49"/>
      <c r="AF88" s="49"/>
      <c r="AG88" s="49"/>
      <c r="AH88" s="49"/>
      <c r="AI88" s="49"/>
      <c r="AJ88" s="49"/>
      <c r="AK88" s="49"/>
      <c r="AL88" s="49"/>
      <c r="AM88" s="49"/>
      <c r="AN88" s="49"/>
      <c r="AO88" s="49"/>
    </row>
    <row r="89" spans="3:41" ht="12.75" customHeight="1">
      <c r="C89" s="49"/>
      <c r="D89" s="49"/>
      <c r="E89" s="49"/>
      <c r="F89" s="49"/>
      <c r="G89" s="49"/>
      <c r="H89" s="49"/>
      <c r="I89" s="49"/>
      <c r="J89" s="49"/>
      <c r="K89" s="49"/>
      <c r="L89" s="49"/>
      <c r="M89" s="49"/>
      <c r="S89" s="49"/>
      <c r="T89" s="49"/>
      <c r="U89" s="49"/>
      <c r="W89" s="49"/>
      <c r="X89" s="49"/>
      <c r="Y89" s="49"/>
      <c r="Z89" s="49"/>
      <c r="AA89" s="49"/>
      <c r="AB89" s="49"/>
      <c r="AC89" s="49"/>
      <c r="AD89" s="49"/>
      <c r="AE89" s="49"/>
      <c r="AF89" s="49"/>
      <c r="AG89" s="49"/>
      <c r="AH89" s="49"/>
      <c r="AI89" s="49"/>
      <c r="AJ89" s="49"/>
      <c r="AK89" s="49"/>
      <c r="AL89" s="49"/>
      <c r="AM89" s="49"/>
      <c r="AN89" s="49"/>
      <c r="AO89" s="49"/>
    </row>
    <row r="90" spans="3:41" ht="12.75" customHeight="1">
      <c r="C90" s="49"/>
      <c r="D90" s="49"/>
      <c r="E90" s="49"/>
      <c r="F90" s="49"/>
      <c r="G90" s="49"/>
      <c r="H90" s="49"/>
      <c r="I90" s="49"/>
      <c r="J90" s="49"/>
      <c r="K90" s="49"/>
      <c r="L90" s="49"/>
      <c r="M90" s="49"/>
      <c r="S90" s="49"/>
      <c r="T90" s="49"/>
      <c r="U90" s="49"/>
      <c r="W90" s="49"/>
      <c r="X90" s="49"/>
      <c r="Y90" s="49"/>
      <c r="Z90" s="49"/>
      <c r="AA90" s="49"/>
      <c r="AB90" s="49"/>
      <c r="AC90" s="49"/>
      <c r="AD90" s="49"/>
      <c r="AE90" s="49"/>
      <c r="AF90" s="49"/>
      <c r="AG90" s="49"/>
      <c r="AH90" s="49"/>
      <c r="AI90" s="49"/>
      <c r="AJ90" s="49"/>
      <c r="AK90" s="49"/>
      <c r="AL90" s="49"/>
      <c r="AM90" s="49"/>
      <c r="AN90" s="49"/>
      <c r="AO90" s="49"/>
    </row>
    <row r="91" spans="3:41" ht="12.75" customHeight="1">
      <c r="C91" s="49"/>
      <c r="D91" s="49"/>
      <c r="E91" s="49"/>
      <c r="F91" s="49"/>
      <c r="G91" s="49"/>
      <c r="H91" s="49"/>
      <c r="I91" s="49"/>
      <c r="J91" s="49"/>
      <c r="K91" s="49"/>
      <c r="L91" s="49"/>
      <c r="M91" s="49"/>
      <c r="S91" s="49"/>
      <c r="T91" s="49"/>
      <c r="U91" s="49"/>
      <c r="W91" s="49"/>
      <c r="X91" s="49"/>
      <c r="Y91" s="49"/>
      <c r="Z91" s="49"/>
      <c r="AA91" s="49"/>
      <c r="AB91" s="49"/>
      <c r="AC91" s="49"/>
      <c r="AD91" s="49"/>
      <c r="AE91" s="49"/>
      <c r="AF91" s="49"/>
      <c r="AG91" s="49"/>
      <c r="AH91" s="49"/>
      <c r="AI91" s="49"/>
      <c r="AJ91" s="49"/>
      <c r="AK91" s="49"/>
      <c r="AL91" s="49"/>
      <c r="AM91" s="49"/>
      <c r="AN91" s="49"/>
      <c r="AO91" s="49"/>
    </row>
    <row r="92" spans="3:41" ht="12.75" customHeight="1">
      <c r="C92" s="49"/>
      <c r="D92" s="49"/>
      <c r="E92" s="49"/>
      <c r="F92" s="49"/>
      <c r="G92" s="49"/>
      <c r="H92" s="49"/>
      <c r="I92" s="49"/>
      <c r="J92" s="49"/>
      <c r="K92" s="49"/>
      <c r="L92" s="49"/>
      <c r="M92" s="49"/>
      <c r="S92" s="49"/>
      <c r="T92" s="49"/>
      <c r="U92" s="49"/>
      <c r="W92" s="49"/>
      <c r="X92" s="49"/>
      <c r="Y92" s="49"/>
      <c r="Z92" s="49"/>
      <c r="AA92" s="49"/>
      <c r="AB92" s="49"/>
      <c r="AC92" s="49"/>
      <c r="AD92" s="49"/>
      <c r="AE92" s="49"/>
      <c r="AF92" s="49"/>
      <c r="AG92" s="49"/>
      <c r="AH92" s="49"/>
      <c r="AI92" s="49"/>
      <c r="AJ92" s="49"/>
      <c r="AK92" s="49"/>
      <c r="AL92" s="49"/>
      <c r="AM92" s="49"/>
      <c r="AN92" s="49"/>
      <c r="AO92" s="49"/>
    </row>
    <row r="93" spans="3:41" ht="12.75" customHeight="1">
      <c r="C93" s="49"/>
      <c r="D93" s="49"/>
      <c r="E93" s="49"/>
      <c r="F93" s="49"/>
      <c r="G93" s="49"/>
      <c r="H93" s="49"/>
      <c r="I93" s="49"/>
      <c r="J93" s="49"/>
      <c r="K93" s="49"/>
      <c r="L93" s="49"/>
      <c r="M93" s="49"/>
      <c r="S93" s="49"/>
      <c r="T93" s="49"/>
      <c r="U93" s="49"/>
      <c r="W93" s="49"/>
      <c r="X93" s="49"/>
      <c r="Y93" s="49"/>
      <c r="Z93" s="49"/>
      <c r="AA93" s="49"/>
      <c r="AB93" s="49"/>
      <c r="AC93" s="49"/>
      <c r="AD93" s="49"/>
      <c r="AE93" s="49"/>
      <c r="AF93" s="49"/>
      <c r="AG93" s="49"/>
      <c r="AH93" s="49"/>
      <c r="AI93" s="49"/>
      <c r="AJ93" s="49"/>
      <c r="AK93" s="49"/>
      <c r="AL93" s="49"/>
      <c r="AM93" s="49"/>
      <c r="AN93" s="49"/>
      <c r="AO93" s="49"/>
    </row>
    <row r="94" spans="3:41" ht="12.75" customHeight="1">
      <c r="C94" s="49"/>
      <c r="D94" s="49"/>
      <c r="E94" s="49"/>
      <c r="F94" s="49"/>
      <c r="G94" s="49"/>
      <c r="H94" s="49"/>
      <c r="I94" s="49"/>
      <c r="J94" s="49"/>
      <c r="K94" s="49"/>
      <c r="L94" s="49"/>
      <c r="M94" s="49"/>
      <c r="S94" s="49"/>
      <c r="T94" s="49"/>
      <c r="U94" s="49"/>
      <c r="W94" s="49"/>
      <c r="X94" s="49"/>
      <c r="Y94" s="49"/>
      <c r="Z94" s="49"/>
      <c r="AA94" s="49"/>
      <c r="AB94" s="49"/>
      <c r="AC94" s="49"/>
      <c r="AD94" s="49"/>
      <c r="AE94" s="49"/>
      <c r="AF94" s="49"/>
      <c r="AG94" s="49"/>
      <c r="AH94" s="49"/>
      <c r="AI94" s="49"/>
      <c r="AJ94" s="49"/>
      <c r="AK94" s="49"/>
      <c r="AL94" s="49"/>
      <c r="AM94" s="49"/>
      <c r="AN94" s="49"/>
      <c r="AO94" s="49"/>
    </row>
    <row r="95" spans="3:41" ht="12.75" customHeight="1">
      <c r="C95" s="49"/>
      <c r="D95" s="49"/>
      <c r="E95" s="49"/>
      <c r="F95" s="49"/>
      <c r="G95" s="49"/>
      <c r="H95" s="49"/>
      <c r="I95" s="49"/>
      <c r="J95" s="49"/>
      <c r="K95" s="49"/>
      <c r="L95" s="49"/>
      <c r="M95" s="49"/>
      <c r="S95" s="49"/>
      <c r="T95" s="49"/>
      <c r="U95" s="49"/>
      <c r="W95" s="49"/>
      <c r="X95" s="49"/>
      <c r="Y95" s="49"/>
      <c r="Z95" s="49"/>
      <c r="AA95" s="49"/>
      <c r="AB95" s="49"/>
      <c r="AC95" s="49"/>
      <c r="AD95" s="49"/>
      <c r="AE95" s="49"/>
      <c r="AF95" s="49"/>
      <c r="AG95" s="49"/>
      <c r="AH95" s="49"/>
      <c r="AI95" s="49"/>
      <c r="AJ95" s="49"/>
      <c r="AK95" s="49"/>
      <c r="AL95" s="49"/>
      <c r="AM95" s="49"/>
      <c r="AN95" s="49"/>
      <c r="AO95" s="49"/>
    </row>
    <row r="96" spans="3:41" ht="12.75" customHeight="1">
      <c r="C96" s="49"/>
      <c r="D96" s="49"/>
      <c r="E96" s="49"/>
      <c r="F96" s="49"/>
      <c r="G96" s="49"/>
      <c r="H96" s="49"/>
      <c r="I96" s="49"/>
      <c r="J96" s="49"/>
      <c r="K96" s="49"/>
      <c r="L96" s="49"/>
      <c r="M96" s="49"/>
      <c r="S96" s="49"/>
      <c r="T96" s="49"/>
      <c r="U96" s="49"/>
      <c r="W96" s="49"/>
      <c r="X96" s="49"/>
      <c r="Y96" s="49"/>
      <c r="Z96" s="49"/>
      <c r="AA96" s="49"/>
      <c r="AB96" s="49"/>
      <c r="AC96" s="49"/>
      <c r="AD96" s="49"/>
      <c r="AE96" s="49"/>
      <c r="AF96" s="49"/>
      <c r="AG96" s="49"/>
      <c r="AH96" s="49"/>
      <c r="AI96" s="49"/>
      <c r="AJ96" s="49"/>
      <c r="AK96" s="49"/>
      <c r="AL96" s="49"/>
      <c r="AM96" s="49"/>
      <c r="AN96" s="49"/>
      <c r="AO96" s="49"/>
    </row>
    <row r="97" spans="3:41" ht="12.75" customHeight="1">
      <c r="C97" s="49"/>
      <c r="D97" s="49"/>
      <c r="E97" s="49"/>
      <c r="F97" s="49"/>
      <c r="G97" s="49"/>
      <c r="H97" s="49"/>
      <c r="I97" s="49"/>
      <c r="J97" s="49"/>
      <c r="K97" s="49"/>
      <c r="L97" s="49"/>
      <c r="M97" s="49"/>
      <c r="S97" s="49"/>
      <c r="T97" s="49"/>
      <c r="U97" s="49"/>
      <c r="W97" s="49"/>
      <c r="X97" s="49"/>
      <c r="Y97" s="49"/>
      <c r="Z97" s="49"/>
      <c r="AA97" s="49"/>
      <c r="AB97" s="49"/>
      <c r="AC97" s="49"/>
      <c r="AD97" s="49"/>
      <c r="AE97" s="49"/>
      <c r="AF97" s="49"/>
      <c r="AG97" s="49"/>
      <c r="AH97" s="49"/>
      <c r="AI97" s="49"/>
      <c r="AJ97" s="49"/>
      <c r="AK97" s="49"/>
      <c r="AL97" s="49"/>
      <c r="AM97" s="49"/>
      <c r="AN97" s="49"/>
      <c r="AO97" s="49"/>
    </row>
    <row r="98" spans="3:41" ht="12.75" customHeight="1">
      <c r="C98" s="49"/>
      <c r="D98" s="49"/>
      <c r="E98" s="49"/>
      <c r="F98" s="49"/>
      <c r="G98" s="49"/>
      <c r="H98" s="49"/>
      <c r="I98" s="49"/>
      <c r="J98" s="49"/>
      <c r="K98" s="49"/>
      <c r="L98" s="49"/>
      <c r="M98" s="49"/>
      <c r="S98" s="49"/>
      <c r="T98" s="49"/>
      <c r="U98" s="49"/>
      <c r="W98" s="49"/>
      <c r="X98" s="49"/>
      <c r="Y98" s="49"/>
      <c r="Z98" s="49"/>
      <c r="AA98" s="49"/>
      <c r="AB98" s="49"/>
      <c r="AC98" s="49"/>
      <c r="AD98" s="49"/>
      <c r="AE98" s="49"/>
      <c r="AF98" s="49"/>
      <c r="AG98" s="49"/>
      <c r="AH98" s="49"/>
      <c r="AI98" s="49"/>
      <c r="AJ98" s="49"/>
      <c r="AK98" s="49"/>
      <c r="AL98" s="49"/>
      <c r="AM98" s="49"/>
      <c r="AN98" s="49"/>
      <c r="AO98" s="49"/>
    </row>
    <row r="99" spans="3:41" ht="12.75" customHeight="1">
      <c r="C99" s="49"/>
      <c r="D99" s="49"/>
      <c r="E99" s="49"/>
      <c r="F99" s="49"/>
      <c r="G99" s="49"/>
      <c r="H99" s="49"/>
      <c r="I99" s="49"/>
      <c r="J99" s="49"/>
      <c r="K99" s="49"/>
      <c r="L99" s="49"/>
      <c r="M99" s="49"/>
      <c r="S99" s="49"/>
      <c r="T99" s="49"/>
      <c r="U99" s="49"/>
      <c r="W99" s="49"/>
      <c r="X99" s="49"/>
      <c r="Y99" s="49"/>
      <c r="Z99" s="49"/>
      <c r="AA99" s="49"/>
      <c r="AB99" s="49"/>
      <c r="AC99" s="49"/>
      <c r="AD99" s="49"/>
      <c r="AE99" s="49"/>
      <c r="AF99" s="49"/>
      <c r="AG99" s="49"/>
      <c r="AH99" s="49"/>
      <c r="AI99" s="49"/>
      <c r="AJ99" s="49"/>
      <c r="AK99" s="49"/>
      <c r="AL99" s="49"/>
      <c r="AM99" s="49"/>
      <c r="AN99" s="49"/>
      <c r="AO99" s="49"/>
    </row>
    <row r="100" spans="3:41" ht="12.75" customHeight="1">
      <c r="C100" s="49"/>
      <c r="D100" s="49"/>
      <c r="E100" s="49"/>
      <c r="F100" s="49"/>
      <c r="G100" s="49"/>
      <c r="H100" s="49"/>
      <c r="I100" s="49"/>
      <c r="J100" s="49"/>
      <c r="K100" s="49"/>
      <c r="L100" s="49"/>
      <c r="M100" s="49"/>
      <c r="S100" s="49"/>
      <c r="T100" s="49"/>
      <c r="U100" s="49"/>
      <c r="W100" s="49"/>
      <c r="X100" s="49"/>
      <c r="Y100" s="49"/>
      <c r="Z100" s="49"/>
      <c r="AA100" s="49"/>
      <c r="AB100" s="49"/>
      <c r="AC100" s="49"/>
      <c r="AD100" s="49"/>
      <c r="AE100" s="49"/>
      <c r="AF100" s="49"/>
      <c r="AG100" s="49"/>
      <c r="AH100" s="49"/>
      <c r="AI100" s="49"/>
      <c r="AJ100" s="49"/>
      <c r="AK100" s="49"/>
      <c r="AL100" s="49"/>
      <c r="AM100" s="49"/>
      <c r="AN100" s="49"/>
      <c r="AO100" s="49"/>
    </row>
    <row r="101" spans="3:41" ht="12.75" customHeight="1">
      <c r="C101" s="49"/>
      <c r="D101" s="49"/>
      <c r="E101" s="49"/>
      <c r="F101" s="49"/>
      <c r="G101" s="49"/>
      <c r="H101" s="49"/>
      <c r="I101" s="49"/>
      <c r="J101" s="49"/>
      <c r="K101" s="49"/>
      <c r="L101" s="49"/>
      <c r="M101" s="49"/>
      <c r="S101" s="49"/>
      <c r="T101" s="49"/>
      <c r="U101" s="49"/>
      <c r="W101" s="49"/>
      <c r="X101" s="49"/>
      <c r="Y101" s="49"/>
      <c r="Z101" s="49"/>
      <c r="AA101" s="49"/>
      <c r="AB101" s="49"/>
      <c r="AC101" s="49"/>
      <c r="AD101" s="49"/>
      <c r="AE101" s="49"/>
      <c r="AF101" s="49"/>
      <c r="AG101" s="49"/>
      <c r="AH101" s="49"/>
      <c r="AI101" s="49"/>
      <c r="AJ101" s="49"/>
      <c r="AK101" s="49"/>
      <c r="AL101" s="49"/>
      <c r="AM101" s="49"/>
      <c r="AN101" s="49"/>
      <c r="AO101" s="49"/>
    </row>
    <row r="102" spans="3:41" ht="12.75" customHeight="1">
      <c r="C102" s="49"/>
      <c r="D102" s="49"/>
      <c r="E102" s="49"/>
      <c r="F102" s="49"/>
      <c r="G102" s="49"/>
      <c r="H102" s="49"/>
      <c r="I102" s="49"/>
      <c r="J102" s="49"/>
      <c r="K102" s="49"/>
      <c r="L102" s="49"/>
      <c r="M102" s="49"/>
      <c r="S102" s="49"/>
      <c r="T102" s="49"/>
      <c r="U102" s="49"/>
      <c r="W102" s="49"/>
      <c r="X102" s="49"/>
      <c r="Y102" s="49"/>
      <c r="Z102" s="49"/>
      <c r="AA102" s="49"/>
      <c r="AB102" s="49"/>
      <c r="AC102" s="49"/>
      <c r="AD102" s="49"/>
      <c r="AE102" s="49"/>
      <c r="AF102" s="49"/>
      <c r="AG102" s="49"/>
      <c r="AH102" s="49"/>
      <c r="AI102" s="49"/>
      <c r="AJ102" s="49"/>
      <c r="AK102" s="49"/>
      <c r="AL102" s="49"/>
      <c r="AM102" s="49"/>
      <c r="AN102" s="49"/>
      <c r="AO102" s="49"/>
    </row>
    <row r="103" spans="3:41" ht="12.75" customHeight="1">
      <c r="C103" s="49"/>
      <c r="D103" s="49"/>
      <c r="E103" s="49"/>
      <c r="F103" s="49"/>
      <c r="G103" s="49"/>
      <c r="H103" s="49"/>
      <c r="I103" s="49"/>
      <c r="J103" s="49"/>
      <c r="K103" s="49"/>
      <c r="L103" s="49"/>
      <c r="M103" s="49"/>
      <c r="S103" s="49"/>
      <c r="T103" s="49"/>
      <c r="U103" s="49"/>
      <c r="W103" s="49"/>
      <c r="X103" s="49"/>
      <c r="Y103" s="49"/>
      <c r="Z103" s="49"/>
      <c r="AA103" s="49"/>
      <c r="AB103" s="49"/>
      <c r="AC103" s="49"/>
      <c r="AD103" s="49"/>
      <c r="AE103" s="49"/>
      <c r="AF103" s="49"/>
      <c r="AG103" s="49"/>
      <c r="AH103" s="49"/>
      <c r="AI103" s="49"/>
      <c r="AJ103" s="49"/>
      <c r="AK103" s="49"/>
      <c r="AL103" s="49"/>
      <c r="AM103" s="49"/>
      <c r="AN103" s="49"/>
      <c r="AO103" s="49"/>
    </row>
    <row r="104" spans="3:41" ht="12.75" customHeight="1">
      <c r="C104" s="49"/>
      <c r="D104" s="49"/>
      <c r="E104" s="49"/>
      <c r="F104" s="49"/>
      <c r="G104" s="49"/>
      <c r="H104" s="49"/>
      <c r="I104" s="49"/>
      <c r="J104" s="49"/>
      <c r="K104" s="49"/>
      <c r="L104" s="49"/>
      <c r="M104" s="49"/>
      <c r="S104" s="49"/>
      <c r="T104" s="49"/>
      <c r="U104" s="49"/>
      <c r="W104" s="49"/>
      <c r="X104" s="49"/>
      <c r="Y104" s="49"/>
      <c r="Z104" s="49"/>
      <c r="AA104" s="49"/>
      <c r="AB104" s="49"/>
      <c r="AC104" s="49"/>
      <c r="AD104" s="49"/>
      <c r="AE104" s="49"/>
      <c r="AF104" s="49"/>
      <c r="AG104" s="49"/>
      <c r="AH104" s="49"/>
      <c r="AI104" s="49"/>
      <c r="AJ104" s="49"/>
      <c r="AK104" s="49"/>
      <c r="AL104" s="49"/>
      <c r="AM104" s="49"/>
      <c r="AN104" s="49"/>
      <c r="AO104" s="49"/>
    </row>
    <row r="105" spans="3:41" ht="12.75" customHeight="1">
      <c r="C105" s="49"/>
      <c r="D105" s="49"/>
      <c r="E105" s="49"/>
      <c r="F105" s="49"/>
      <c r="G105" s="49"/>
      <c r="H105" s="49"/>
      <c r="I105" s="49"/>
      <c r="J105" s="49"/>
      <c r="K105" s="49"/>
      <c r="L105" s="49"/>
      <c r="M105" s="49"/>
      <c r="S105" s="49"/>
      <c r="T105" s="49"/>
      <c r="U105" s="49"/>
      <c r="W105" s="49"/>
      <c r="X105" s="49"/>
      <c r="Y105" s="49"/>
      <c r="Z105" s="49"/>
      <c r="AA105" s="49"/>
      <c r="AB105" s="49"/>
      <c r="AC105" s="49"/>
      <c r="AD105" s="49"/>
      <c r="AE105" s="49"/>
      <c r="AF105" s="49"/>
      <c r="AG105" s="49"/>
      <c r="AH105" s="49"/>
      <c r="AI105" s="49"/>
      <c r="AJ105" s="49"/>
      <c r="AK105" s="49"/>
      <c r="AL105" s="49"/>
      <c r="AM105" s="49"/>
      <c r="AN105" s="49"/>
      <c r="AO105" s="49"/>
    </row>
    <row r="106" spans="3:41" ht="12.75" customHeight="1">
      <c r="C106" s="49"/>
      <c r="D106" s="49"/>
      <c r="E106" s="49"/>
      <c r="F106" s="49"/>
      <c r="G106" s="49"/>
      <c r="H106" s="49"/>
      <c r="I106" s="49"/>
      <c r="J106" s="49"/>
      <c r="K106" s="49"/>
      <c r="L106" s="49"/>
      <c r="M106" s="49"/>
      <c r="S106" s="49"/>
      <c r="T106" s="49"/>
      <c r="U106" s="49"/>
      <c r="W106" s="49"/>
      <c r="X106" s="49"/>
      <c r="Y106" s="49"/>
      <c r="Z106" s="49"/>
      <c r="AA106" s="49"/>
      <c r="AB106" s="49"/>
      <c r="AC106" s="49"/>
      <c r="AD106" s="49"/>
      <c r="AE106" s="49"/>
      <c r="AF106" s="49"/>
      <c r="AG106" s="49"/>
      <c r="AH106" s="49"/>
      <c r="AI106" s="49"/>
      <c r="AJ106" s="49"/>
      <c r="AK106" s="49"/>
      <c r="AL106" s="49"/>
      <c r="AM106" s="49"/>
      <c r="AN106" s="49"/>
      <c r="AO106" s="49"/>
    </row>
    <row r="107" spans="3:41" ht="12.75" customHeight="1">
      <c r="C107" s="49"/>
      <c r="D107" s="49"/>
      <c r="E107" s="49"/>
      <c r="F107" s="49"/>
      <c r="G107" s="49"/>
      <c r="H107" s="49"/>
      <c r="I107" s="49"/>
      <c r="J107" s="49"/>
      <c r="K107" s="49"/>
      <c r="L107" s="49"/>
      <c r="M107" s="49"/>
      <c r="S107" s="49"/>
      <c r="T107" s="49"/>
      <c r="U107" s="49"/>
      <c r="W107" s="49"/>
      <c r="X107" s="49"/>
      <c r="Y107" s="49"/>
      <c r="Z107" s="49"/>
      <c r="AA107" s="49"/>
      <c r="AB107" s="49"/>
      <c r="AC107" s="49"/>
      <c r="AD107" s="49"/>
      <c r="AE107" s="49"/>
      <c r="AF107" s="49"/>
      <c r="AG107" s="49"/>
      <c r="AH107" s="49"/>
      <c r="AI107" s="49"/>
      <c r="AJ107" s="49"/>
      <c r="AK107" s="49"/>
      <c r="AL107" s="49"/>
      <c r="AM107" s="49"/>
      <c r="AN107" s="49"/>
      <c r="AO107" s="49"/>
    </row>
    <row r="108" spans="3:41" ht="12.75" customHeight="1">
      <c r="C108" s="49"/>
      <c r="D108" s="49"/>
      <c r="E108" s="49"/>
      <c r="F108" s="49"/>
      <c r="G108" s="49"/>
      <c r="H108" s="49"/>
      <c r="I108" s="49"/>
      <c r="J108" s="49"/>
      <c r="K108" s="49"/>
      <c r="L108" s="49"/>
      <c r="M108" s="49"/>
      <c r="S108" s="49"/>
      <c r="T108" s="49"/>
      <c r="U108" s="49"/>
      <c r="W108" s="49"/>
      <c r="X108" s="49"/>
      <c r="Y108" s="49"/>
      <c r="Z108" s="49"/>
      <c r="AA108" s="49"/>
      <c r="AB108" s="49"/>
      <c r="AC108" s="49"/>
      <c r="AD108" s="49"/>
      <c r="AE108" s="49"/>
      <c r="AF108" s="49"/>
      <c r="AG108" s="49"/>
      <c r="AH108" s="49"/>
      <c r="AI108" s="49"/>
      <c r="AJ108" s="49"/>
      <c r="AK108" s="49"/>
      <c r="AL108" s="49"/>
      <c r="AM108" s="49"/>
      <c r="AN108" s="49"/>
      <c r="AO108" s="49"/>
    </row>
    <row r="109" spans="3:41" ht="12.75" customHeight="1">
      <c r="C109" s="49"/>
      <c r="D109" s="49"/>
      <c r="E109" s="49"/>
      <c r="F109" s="49"/>
      <c r="G109" s="49"/>
      <c r="H109" s="49"/>
      <c r="I109" s="49"/>
      <c r="J109" s="49"/>
      <c r="K109" s="49"/>
      <c r="L109" s="49"/>
      <c r="M109" s="49"/>
      <c r="S109" s="49"/>
      <c r="T109" s="49"/>
      <c r="U109" s="49"/>
      <c r="W109" s="49"/>
      <c r="X109" s="49"/>
      <c r="Y109" s="49"/>
      <c r="Z109" s="49"/>
      <c r="AA109" s="49"/>
      <c r="AB109" s="49"/>
      <c r="AC109" s="49"/>
      <c r="AD109" s="49"/>
      <c r="AE109" s="49"/>
      <c r="AF109" s="49"/>
      <c r="AG109" s="49"/>
      <c r="AH109" s="49"/>
      <c r="AI109" s="49"/>
      <c r="AJ109" s="49"/>
      <c r="AK109" s="49"/>
      <c r="AL109" s="49"/>
      <c r="AM109" s="49"/>
      <c r="AN109" s="49"/>
      <c r="AO109" s="49"/>
    </row>
    <row r="110" spans="3:41" ht="12.75" customHeight="1">
      <c r="C110" s="49"/>
      <c r="D110" s="49"/>
      <c r="E110" s="49"/>
      <c r="F110" s="49"/>
      <c r="G110" s="49"/>
      <c r="H110" s="49"/>
      <c r="I110" s="49"/>
      <c r="J110" s="49"/>
      <c r="K110" s="49"/>
      <c r="L110" s="49"/>
      <c r="M110" s="49"/>
      <c r="S110" s="49"/>
      <c r="T110" s="49"/>
      <c r="U110" s="49"/>
      <c r="W110" s="49"/>
      <c r="X110" s="49"/>
      <c r="Y110" s="49"/>
      <c r="Z110" s="49"/>
      <c r="AA110" s="49"/>
      <c r="AB110" s="49"/>
      <c r="AC110" s="49"/>
      <c r="AD110" s="49"/>
      <c r="AE110" s="49"/>
      <c r="AF110" s="49"/>
      <c r="AG110" s="49"/>
      <c r="AH110" s="49"/>
      <c r="AI110" s="49"/>
      <c r="AJ110" s="49"/>
      <c r="AK110" s="49"/>
      <c r="AL110" s="49"/>
      <c r="AM110" s="49"/>
      <c r="AN110" s="49"/>
      <c r="AO110" s="49"/>
    </row>
    <row r="111" spans="3:41" ht="12.75" customHeight="1">
      <c r="C111" s="49"/>
      <c r="D111" s="49"/>
      <c r="E111" s="49"/>
      <c r="F111" s="49"/>
      <c r="G111" s="49"/>
      <c r="H111" s="49"/>
      <c r="I111" s="49"/>
      <c r="J111" s="49"/>
      <c r="K111" s="49"/>
      <c r="L111" s="49"/>
      <c r="M111" s="49"/>
      <c r="S111" s="49"/>
      <c r="T111" s="49"/>
      <c r="U111" s="49"/>
      <c r="W111" s="49"/>
      <c r="X111" s="49"/>
      <c r="Y111" s="49"/>
      <c r="Z111" s="49"/>
      <c r="AA111" s="49"/>
      <c r="AB111" s="49"/>
      <c r="AC111" s="49"/>
      <c r="AD111" s="49"/>
      <c r="AE111" s="49"/>
      <c r="AF111" s="49"/>
      <c r="AG111" s="49"/>
      <c r="AH111" s="49"/>
      <c r="AI111" s="49"/>
      <c r="AJ111" s="49"/>
      <c r="AK111" s="49"/>
      <c r="AL111" s="49"/>
      <c r="AM111" s="49"/>
      <c r="AN111" s="49"/>
      <c r="AO111" s="49"/>
    </row>
    <row r="112" spans="3:41" ht="12.75" customHeight="1">
      <c r="C112" s="49"/>
      <c r="D112" s="49"/>
      <c r="E112" s="49"/>
      <c r="F112" s="49"/>
      <c r="G112" s="49"/>
      <c r="H112" s="49"/>
      <c r="I112" s="49"/>
      <c r="J112" s="49"/>
      <c r="K112" s="49"/>
      <c r="L112" s="49"/>
      <c r="M112" s="49"/>
      <c r="S112" s="49"/>
      <c r="T112" s="49"/>
      <c r="U112" s="49"/>
      <c r="W112" s="49"/>
      <c r="X112" s="49"/>
      <c r="Y112" s="49"/>
      <c r="Z112" s="49"/>
      <c r="AA112" s="49"/>
      <c r="AB112" s="49"/>
      <c r="AC112" s="49"/>
      <c r="AD112" s="49"/>
      <c r="AE112" s="49"/>
      <c r="AF112" s="49"/>
      <c r="AG112" s="49"/>
      <c r="AH112" s="49"/>
      <c r="AI112" s="49"/>
      <c r="AJ112" s="49"/>
      <c r="AK112" s="49"/>
      <c r="AL112" s="49"/>
      <c r="AM112" s="49"/>
      <c r="AN112" s="49"/>
      <c r="AO112" s="49"/>
    </row>
    <row r="113" spans="3:41" ht="12.75" customHeight="1">
      <c r="C113" s="49"/>
      <c r="D113" s="49"/>
      <c r="E113" s="49"/>
      <c r="F113" s="49"/>
      <c r="G113" s="49"/>
      <c r="H113" s="49"/>
      <c r="I113" s="49"/>
      <c r="J113" s="49"/>
      <c r="K113" s="49"/>
      <c r="L113" s="49"/>
      <c r="M113" s="49"/>
      <c r="S113" s="49"/>
      <c r="T113" s="49"/>
      <c r="U113" s="49"/>
      <c r="W113" s="49"/>
      <c r="X113" s="49"/>
      <c r="Y113" s="49"/>
      <c r="Z113" s="49"/>
      <c r="AA113" s="49"/>
      <c r="AB113" s="49"/>
      <c r="AC113" s="49"/>
      <c r="AD113" s="49"/>
      <c r="AE113" s="49"/>
      <c r="AF113" s="49"/>
      <c r="AG113" s="49"/>
      <c r="AH113" s="49"/>
      <c r="AI113" s="49"/>
      <c r="AJ113" s="49"/>
      <c r="AK113" s="49"/>
      <c r="AL113" s="49"/>
      <c r="AM113" s="49"/>
      <c r="AN113" s="49"/>
      <c r="AO113" s="49"/>
    </row>
    <row r="114" spans="3:41" ht="12.75" customHeight="1">
      <c r="C114" s="49"/>
      <c r="D114" s="49"/>
      <c r="E114" s="49"/>
      <c r="F114" s="49"/>
      <c r="G114" s="49"/>
      <c r="H114" s="49"/>
      <c r="I114" s="49"/>
      <c r="J114" s="49"/>
      <c r="K114" s="49"/>
      <c r="L114" s="49"/>
      <c r="M114" s="49"/>
      <c r="S114" s="49"/>
      <c r="T114" s="49"/>
      <c r="U114" s="49"/>
      <c r="W114" s="49"/>
      <c r="X114" s="49"/>
      <c r="Y114" s="49"/>
      <c r="Z114" s="49"/>
      <c r="AA114" s="49"/>
      <c r="AB114" s="49"/>
      <c r="AC114" s="49"/>
      <c r="AD114" s="49"/>
      <c r="AE114" s="49"/>
      <c r="AF114" s="49"/>
      <c r="AG114" s="49"/>
      <c r="AH114" s="49"/>
      <c r="AI114" s="49"/>
      <c r="AJ114" s="49"/>
      <c r="AK114" s="49"/>
      <c r="AL114" s="49"/>
      <c r="AM114" s="49"/>
      <c r="AN114" s="49"/>
      <c r="AO114" s="49"/>
    </row>
    <row r="115" spans="3:41" ht="12.75" customHeight="1">
      <c r="C115" s="49"/>
      <c r="D115" s="49"/>
      <c r="E115" s="49"/>
      <c r="F115" s="49"/>
      <c r="G115" s="49"/>
      <c r="H115" s="49"/>
      <c r="I115" s="49"/>
      <c r="J115" s="49"/>
      <c r="K115" s="49"/>
      <c r="L115" s="49"/>
      <c r="M115" s="49"/>
      <c r="S115" s="49"/>
      <c r="T115" s="49"/>
      <c r="U115" s="49"/>
      <c r="W115" s="49"/>
      <c r="X115" s="49"/>
      <c r="Y115" s="49"/>
      <c r="Z115" s="49"/>
      <c r="AA115" s="49"/>
      <c r="AB115" s="49"/>
      <c r="AC115" s="49"/>
      <c r="AD115" s="49"/>
      <c r="AE115" s="49"/>
      <c r="AF115" s="49"/>
      <c r="AG115" s="49"/>
      <c r="AH115" s="49"/>
      <c r="AI115" s="49"/>
      <c r="AJ115" s="49"/>
      <c r="AK115" s="49"/>
      <c r="AL115" s="49"/>
      <c r="AM115" s="49"/>
      <c r="AN115" s="49"/>
      <c r="AO115" s="49"/>
    </row>
    <row r="116" spans="3:41" ht="12.75" customHeight="1">
      <c r="C116" s="49"/>
      <c r="D116" s="49"/>
      <c r="E116" s="49"/>
      <c r="F116" s="49"/>
      <c r="G116" s="49"/>
      <c r="H116" s="49"/>
      <c r="I116" s="49"/>
      <c r="J116" s="49"/>
      <c r="K116" s="49"/>
      <c r="L116" s="49"/>
      <c r="M116" s="49"/>
      <c r="S116" s="49"/>
      <c r="T116" s="49"/>
      <c r="U116" s="49"/>
      <c r="W116" s="49"/>
      <c r="X116" s="49"/>
      <c r="Y116" s="49"/>
      <c r="Z116" s="49"/>
      <c r="AA116" s="49"/>
      <c r="AB116" s="49"/>
      <c r="AC116" s="49"/>
      <c r="AD116" s="49"/>
      <c r="AE116" s="49"/>
      <c r="AF116" s="49"/>
      <c r="AG116" s="49"/>
      <c r="AH116" s="49"/>
      <c r="AI116" s="49"/>
      <c r="AJ116" s="49"/>
      <c r="AK116" s="49"/>
      <c r="AL116" s="49"/>
      <c r="AM116" s="49"/>
      <c r="AN116" s="49"/>
      <c r="AO116" s="49"/>
    </row>
    <row r="117" spans="3:41" ht="12.75" customHeight="1">
      <c r="C117" s="49"/>
      <c r="D117" s="49"/>
      <c r="E117" s="49"/>
      <c r="F117" s="49"/>
      <c r="G117" s="49"/>
      <c r="H117" s="49"/>
      <c r="I117" s="49"/>
      <c r="J117" s="49"/>
      <c r="K117" s="49"/>
      <c r="L117" s="49"/>
      <c r="M117" s="49"/>
      <c r="S117" s="49"/>
      <c r="T117" s="49"/>
      <c r="U117" s="49"/>
      <c r="W117" s="49"/>
      <c r="X117" s="49"/>
      <c r="Y117" s="49"/>
      <c r="Z117" s="49"/>
      <c r="AA117" s="49"/>
      <c r="AB117" s="49"/>
      <c r="AC117" s="49"/>
      <c r="AD117" s="49"/>
      <c r="AE117" s="49"/>
      <c r="AF117" s="49"/>
      <c r="AG117" s="49"/>
      <c r="AH117" s="49"/>
      <c r="AI117" s="49"/>
      <c r="AJ117" s="49"/>
      <c r="AK117" s="49"/>
      <c r="AL117" s="49"/>
      <c r="AM117" s="49"/>
      <c r="AN117" s="49"/>
      <c r="AO117" s="49"/>
    </row>
    <row r="118" spans="3:41" ht="12.75" customHeight="1">
      <c r="C118" s="49"/>
      <c r="D118" s="49"/>
      <c r="E118" s="49"/>
      <c r="F118" s="49"/>
      <c r="G118" s="49"/>
      <c r="H118" s="49"/>
      <c r="I118" s="49"/>
      <c r="J118" s="49"/>
      <c r="K118" s="49"/>
      <c r="L118" s="49"/>
      <c r="M118" s="49"/>
      <c r="S118" s="49"/>
      <c r="T118" s="49"/>
      <c r="U118" s="49"/>
      <c r="W118" s="49"/>
      <c r="X118" s="49"/>
      <c r="Y118" s="49"/>
      <c r="Z118" s="49"/>
      <c r="AA118" s="49"/>
      <c r="AB118" s="49"/>
      <c r="AC118" s="49"/>
      <c r="AD118" s="49"/>
      <c r="AE118" s="49"/>
      <c r="AF118" s="49"/>
      <c r="AG118" s="49"/>
      <c r="AH118" s="49"/>
      <c r="AI118" s="49"/>
      <c r="AJ118" s="49"/>
      <c r="AK118" s="49"/>
      <c r="AL118" s="49"/>
      <c r="AM118" s="49"/>
      <c r="AN118" s="49"/>
      <c r="AO118" s="49"/>
    </row>
    <row r="119" spans="3:41" ht="12.75" customHeight="1">
      <c r="C119" s="49"/>
      <c r="D119" s="49"/>
      <c r="E119" s="49"/>
      <c r="F119" s="49"/>
      <c r="G119" s="49"/>
      <c r="H119" s="49"/>
      <c r="I119" s="49"/>
      <c r="J119" s="49"/>
      <c r="K119" s="49"/>
      <c r="L119" s="49"/>
      <c r="M119" s="49"/>
      <c r="S119" s="49"/>
      <c r="T119" s="49"/>
      <c r="U119" s="49"/>
      <c r="W119" s="49"/>
      <c r="X119" s="49"/>
      <c r="Y119" s="49"/>
      <c r="Z119" s="49"/>
      <c r="AA119" s="49"/>
      <c r="AB119" s="49"/>
      <c r="AC119" s="49"/>
      <c r="AD119" s="49"/>
      <c r="AE119" s="49"/>
      <c r="AF119" s="49"/>
      <c r="AG119" s="49"/>
      <c r="AH119" s="49"/>
      <c r="AI119" s="49"/>
      <c r="AJ119" s="49"/>
      <c r="AK119" s="49"/>
      <c r="AL119" s="49"/>
      <c r="AM119" s="49"/>
      <c r="AN119" s="49"/>
      <c r="AO119" s="49"/>
    </row>
    <row r="120" spans="3:41" ht="12.75" customHeight="1">
      <c r="C120" s="49"/>
      <c r="D120" s="49"/>
      <c r="E120" s="49"/>
      <c r="F120" s="49"/>
      <c r="G120" s="49"/>
      <c r="H120" s="49"/>
      <c r="I120" s="49"/>
      <c r="J120" s="49"/>
      <c r="K120" s="49"/>
      <c r="L120" s="49"/>
      <c r="M120" s="49"/>
      <c r="S120" s="49"/>
      <c r="T120" s="49"/>
      <c r="U120" s="49"/>
      <c r="W120" s="49"/>
      <c r="X120" s="49"/>
      <c r="Y120" s="49"/>
      <c r="Z120" s="49"/>
      <c r="AA120" s="49"/>
      <c r="AB120" s="49"/>
      <c r="AC120" s="49"/>
      <c r="AD120" s="49"/>
      <c r="AE120" s="49"/>
      <c r="AF120" s="49"/>
      <c r="AG120" s="49"/>
      <c r="AH120" s="49"/>
      <c r="AI120" s="49"/>
      <c r="AJ120" s="49"/>
      <c r="AK120" s="49"/>
      <c r="AL120" s="49"/>
      <c r="AM120" s="49"/>
      <c r="AN120" s="49"/>
      <c r="AO120" s="49"/>
    </row>
    <row r="121" spans="3:41" ht="12.75" customHeight="1">
      <c r="C121" s="49"/>
      <c r="D121" s="49"/>
      <c r="E121" s="49"/>
      <c r="F121" s="49"/>
      <c r="G121" s="49"/>
      <c r="H121" s="49"/>
      <c r="I121" s="49"/>
      <c r="J121" s="49"/>
      <c r="K121" s="49"/>
      <c r="L121" s="49"/>
      <c r="M121" s="49"/>
      <c r="S121" s="49"/>
      <c r="T121" s="49"/>
      <c r="U121" s="49"/>
      <c r="W121" s="49"/>
      <c r="X121" s="49"/>
      <c r="Y121" s="49"/>
      <c r="Z121" s="49"/>
      <c r="AA121" s="49"/>
      <c r="AB121" s="49"/>
      <c r="AC121" s="49"/>
      <c r="AD121" s="49"/>
      <c r="AE121" s="49"/>
      <c r="AF121" s="49"/>
      <c r="AG121" s="49"/>
      <c r="AH121" s="49"/>
      <c r="AI121" s="49"/>
      <c r="AJ121" s="49"/>
      <c r="AK121" s="49"/>
      <c r="AL121" s="49"/>
      <c r="AM121" s="49"/>
      <c r="AN121" s="49"/>
      <c r="AO121" s="49"/>
    </row>
    <row r="122" spans="3:41" ht="12.75" customHeight="1">
      <c r="C122" s="49"/>
      <c r="D122" s="49"/>
      <c r="E122" s="49"/>
      <c r="F122" s="49"/>
      <c r="G122" s="49"/>
      <c r="H122" s="49"/>
      <c r="I122" s="49"/>
      <c r="J122" s="49"/>
      <c r="K122" s="49"/>
      <c r="L122" s="49"/>
      <c r="M122" s="49"/>
      <c r="S122" s="49"/>
      <c r="T122" s="49"/>
      <c r="U122" s="49"/>
      <c r="W122" s="49"/>
      <c r="X122" s="49"/>
      <c r="Y122" s="49"/>
      <c r="Z122" s="49"/>
      <c r="AA122" s="49"/>
      <c r="AB122" s="49"/>
      <c r="AC122" s="49"/>
      <c r="AD122" s="49"/>
      <c r="AE122" s="49"/>
      <c r="AF122" s="49"/>
      <c r="AG122" s="49"/>
      <c r="AH122" s="49"/>
      <c r="AI122" s="49"/>
      <c r="AJ122" s="49"/>
      <c r="AK122" s="49"/>
      <c r="AL122" s="49"/>
      <c r="AM122" s="49"/>
      <c r="AN122" s="49"/>
      <c r="AO122" s="49"/>
    </row>
    <row r="123" spans="3:41" ht="12.75" customHeight="1">
      <c r="C123" s="49"/>
      <c r="D123" s="49"/>
      <c r="E123" s="49"/>
      <c r="F123" s="49"/>
      <c r="G123" s="49"/>
      <c r="H123" s="49"/>
      <c r="I123" s="49"/>
      <c r="J123" s="49"/>
      <c r="K123" s="49"/>
      <c r="L123" s="49"/>
      <c r="M123" s="49"/>
      <c r="S123" s="49"/>
      <c r="T123" s="49"/>
      <c r="U123" s="49"/>
      <c r="W123" s="49"/>
      <c r="X123" s="49"/>
      <c r="Y123" s="49"/>
      <c r="Z123" s="49"/>
      <c r="AA123" s="49"/>
      <c r="AB123" s="49"/>
      <c r="AC123" s="49"/>
      <c r="AD123" s="49"/>
      <c r="AE123" s="49"/>
      <c r="AF123" s="49"/>
      <c r="AG123" s="49"/>
      <c r="AH123" s="49"/>
      <c r="AI123" s="49"/>
      <c r="AJ123" s="49"/>
      <c r="AK123" s="49"/>
      <c r="AL123" s="49"/>
      <c r="AM123" s="49"/>
      <c r="AN123" s="49"/>
      <c r="AO123" s="49"/>
    </row>
    <row r="124" spans="3:41" ht="12.75" customHeight="1">
      <c r="C124" s="49"/>
      <c r="D124" s="49"/>
      <c r="E124" s="49"/>
      <c r="F124" s="49"/>
      <c r="G124" s="49"/>
      <c r="H124" s="49"/>
      <c r="I124" s="49"/>
      <c r="J124" s="49"/>
      <c r="K124" s="49"/>
      <c r="L124" s="49"/>
      <c r="M124" s="49"/>
      <c r="S124" s="49"/>
      <c r="T124" s="49"/>
      <c r="U124" s="49"/>
      <c r="W124" s="49"/>
      <c r="X124" s="49"/>
      <c r="Y124" s="49"/>
      <c r="Z124" s="49"/>
      <c r="AA124" s="49"/>
      <c r="AB124" s="49"/>
      <c r="AC124" s="49"/>
      <c r="AD124" s="49"/>
      <c r="AE124" s="49"/>
      <c r="AF124" s="49"/>
      <c r="AG124" s="49"/>
      <c r="AH124" s="49"/>
      <c r="AI124" s="49"/>
      <c r="AJ124" s="49"/>
      <c r="AK124" s="49"/>
      <c r="AL124" s="49"/>
      <c r="AM124" s="49"/>
      <c r="AN124" s="49"/>
      <c r="AO124" s="49"/>
    </row>
    <row r="125" spans="3:41" ht="12.75" customHeight="1">
      <c r="C125" s="49"/>
      <c r="D125" s="49"/>
      <c r="E125" s="49"/>
      <c r="F125" s="49"/>
      <c r="G125" s="49"/>
      <c r="H125" s="49"/>
      <c r="I125" s="49"/>
      <c r="J125" s="49"/>
      <c r="K125" s="49"/>
      <c r="L125" s="49"/>
      <c r="M125" s="49"/>
      <c r="S125" s="49"/>
      <c r="T125" s="49"/>
      <c r="U125" s="49"/>
      <c r="W125" s="49"/>
      <c r="X125" s="49"/>
      <c r="Y125" s="49"/>
      <c r="Z125" s="49"/>
      <c r="AA125" s="49"/>
      <c r="AB125" s="49"/>
      <c r="AC125" s="49"/>
      <c r="AD125" s="49"/>
      <c r="AE125" s="49"/>
      <c r="AF125" s="49"/>
      <c r="AG125" s="49"/>
      <c r="AH125" s="49"/>
      <c r="AI125" s="49"/>
      <c r="AJ125" s="49"/>
      <c r="AK125" s="49"/>
      <c r="AL125" s="49"/>
      <c r="AM125" s="49"/>
      <c r="AN125" s="49"/>
      <c r="AO125" s="49"/>
    </row>
    <row r="126" spans="3:41" ht="12.75" customHeight="1">
      <c r="C126" s="49"/>
      <c r="D126" s="49"/>
      <c r="E126" s="49"/>
      <c r="F126" s="49"/>
      <c r="G126" s="49"/>
      <c r="H126" s="49"/>
      <c r="I126" s="49"/>
      <c r="J126" s="49"/>
      <c r="K126" s="49"/>
      <c r="L126" s="49"/>
      <c r="M126" s="49"/>
      <c r="S126" s="49"/>
      <c r="T126" s="49"/>
      <c r="U126" s="49"/>
      <c r="W126" s="49"/>
      <c r="X126" s="49"/>
      <c r="Y126" s="49"/>
      <c r="Z126" s="49"/>
      <c r="AA126" s="49"/>
      <c r="AB126" s="49"/>
      <c r="AC126" s="49"/>
      <c r="AD126" s="49"/>
      <c r="AE126" s="49"/>
      <c r="AF126" s="49"/>
      <c r="AG126" s="49"/>
      <c r="AH126" s="49"/>
      <c r="AI126" s="49"/>
      <c r="AJ126" s="49"/>
      <c r="AK126" s="49"/>
      <c r="AL126" s="49"/>
      <c r="AM126" s="49"/>
      <c r="AN126" s="49"/>
      <c r="AO126" s="49"/>
    </row>
    <row r="127" spans="3:41" ht="12.75" customHeight="1">
      <c r="C127" s="49"/>
      <c r="D127" s="49"/>
      <c r="E127" s="49"/>
      <c r="F127" s="49"/>
      <c r="G127" s="49"/>
      <c r="H127" s="49"/>
      <c r="I127" s="49"/>
      <c r="J127" s="49"/>
      <c r="K127" s="49"/>
      <c r="L127" s="49"/>
      <c r="M127" s="49"/>
      <c r="S127" s="49"/>
      <c r="T127" s="49"/>
      <c r="U127" s="49"/>
      <c r="W127" s="49"/>
      <c r="X127" s="49"/>
      <c r="Y127" s="49"/>
      <c r="Z127" s="49"/>
      <c r="AA127" s="49"/>
      <c r="AB127" s="49"/>
      <c r="AC127" s="49"/>
      <c r="AD127" s="49"/>
      <c r="AE127" s="49"/>
      <c r="AF127" s="49"/>
      <c r="AG127" s="49"/>
      <c r="AH127" s="49"/>
      <c r="AI127" s="49"/>
      <c r="AJ127" s="49"/>
      <c r="AK127" s="49"/>
      <c r="AL127" s="49"/>
      <c r="AM127" s="49"/>
      <c r="AN127" s="49"/>
      <c r="AO127" s="49"/>
    </row>
    <row r="128" spans="3:41" ht="12.75" customHeight="1">
      <c r="C128" s="49"/>
      <c r="D128" s="49"/>
      <c r="E128" s="49"/>
      <c r="F128" s="49"/>
      <c r="G128" s="49"/>
      <c r="H128" s="49"/>
      <c r="I128" s="49"/>
      <c r="J128" s="49"/>
      <c r="K128" s="49"/>
      <c r="L128" s="49"/>
      <c r="M128" s="49"/>
      <c r="S128" s="49"/>
      <c r="T128" s="49"/>
      <c r="U128" s="49"/>
      <c r="W128" s="49"/>
      <c r="X128" s="49"/>
      <c r="Y128" s="49"/>
      <c r="Z128" s="49"/>
      <c r="AA128" s="49"/>
      <c r="AB128" s="49"/>
      <c r="AC128" s="49"/>
      <c r="AD128" s="49"/>
      <c r="AE128" s="49"/>
      <c r="AF128" s="49"/>
      <c r="AG128" s="49"/>
      <c r="AH128" s="49"/>
      <c r="AI128" s="49"/>
      <c r="AJ128" s="49"/>
      <c r="AK128" s="49"/>
      <c r="AL128" s="49"/>
      <c r="AM128" s="49"/>
      <c r="AN128" s="49"/>
      <c r="AO128" s="49"/>
    </row>
    <row r="129" spans="3:41" ht="12.75" customHeight="1">
      <c r="C129" s="49"/>
      <c r="D129" s="49"/>
      <c r="E129" s="49"/>
      <c r="F129" s="49"/>
      <c r="G129" s="49"/>
      <c r="H129" s="49"/>
      <c r="I129" s="49"/>
      <c r="J129" s="49"/>
      <c r="K129" s="49"/>
      <c r="L129" s="49"/>
      <c r="M129" s="49"/>
      <c r="S129" s="49"/>
      <c r="T129" s="49"/>
      <c r="U129" s="49"/>
      <c r="W129" s="49"/>
      <c r="X129" s="49"/>
      <c r="Y129" s="49"/>
      <c r="Z129" s="49"/>
      <c r="AA129" s="49"/>
      <c r="AB129" s="49"/>
      <c r="AC129" s="49"/>
      <c r="AD129" s="49"/>
      <c r="AE129" s="49"/>
      <c r="AF129" s="49"/>
      <c r="AG129" s="49"/>
      <c r="AH129" s="49"/>
      <c r="AI129" s="49"/>
      <c r="AJ129" s="49"/>
      <c r="AK129" s="49"/>
      <c r="AL129" s="49"/>
      <c r="AM129" s="49"/>
      <c r="AN129" s="49"/>
      <c r="AO129" s="49"/>
    </row>
    <row r="130" spans="3:41" ht="12.75" customHeight="1">
      <c r="C130" s="49"/>
      <c r="D130" s="49"/>
      <c r="E130" s="49"/>
      <c r="F130" s="49"/>
      <c r="G130" s="49"/>
      <c r="H130" s="49"/>
      <c r="I130" s="49"/>
      <c r="J130" s="49"/>
      <c r="K130" s="49"/>
      <c r="L130" s="49"/>
      <c r="M130" s="49"/>
      <c r="S130" s="49"/>
      <c r="T130" s="49"/>
      <c r="U130" s="49"/>
      <c r="W130" s="49"/>
      <c r="X130" s="49"/>
      <c r="Y130" s="49"/>
      <c r="Z130" s="49"/>
      <c r="AA130" s="49"/>
      <c r="AB130" s="49"/>
      <c r="AC130" s="49"/>
      <c r="AD130" s="49"/>
      <c r="AE130" s="49"/>
      <c r="AF130" s="49"/>
      <c r="AG130" s="49"/>
      <c r="AH130" s="49"/>
      <c r="AI130" s="49"/>
      <c r="AJ130" s="49"/>
      <c r="AK130" s="49"/>
      <c r="AL130" s="49"/>
      <c r="AM130" s="49"/>
      <c r="AN130" s="49"/>
      <c r="AO130" s="49"/>
    </row>
    <row r="131" spans="3:41" ht="12.75" customHeight="1">
      <c r="C131" s="49"/>
      <c r="D131" s="49"/>
      <c r="E131" s="49"/>
      <c r="F131" s="49"/>
      <c r="G131" s="49"/>
      <c r="H131" s="49"/>
      <c r="I131" s="49"/>
      <c r="J131" s="49"/>
      <c r="K131" s="49"/>
      <c r="L131" s="49"/>
      <c r="M131" s="49"/>
      <c r="S131" s="49"/>
      <c r="T131" s="49"/>
      <c r="U131" s="49"/>
      <c r="W131" s="49"/>
      <c r="X131" s="49"/>
      <c r="Y131" s="49"/>
      <c r="Z131" s="49"/>
      <c r="AA131" s="49"/>
      <c r="AB131" s="49"/>
      <c r="AC131" s="49"/>
      <c r="AD131" s="49"/>
      <c r="AE131" s="49"/>
      <c r="AF131" s="49"/>
      <c r="AG131" s="49"/>
      <c r="AH131" s="49"/>
      <c r="AI131" s="49"/>
      <c r="AJ131" s="49"/>
      <c r="AK131" s="49"/>
      <c r="AL131" s="49"/>
      <c r="AM131" s="49"/>
      <c r="AN131" s="49"/>
      <c r="AO131" s="49"/>
    </row>
    <row r="132" spans="3:41" ht="12.75" customHeight="1">
      <c r="C132" s="49"/>
      <c r="D132" s="49"/>
      <c r="E132" s="49"/>
      <c r="F132" s="49"/>
      <c r="G132" s="49"/>
      <c r="H132" s="49"/>
      <c r="I132" s="49"/>
      <c r="J132" s="49"/>
      <c r="K132" s="49"/>
      <c r="L132" s="49"/>
      <c r="M132" s="49"/>
      <c r="S132" s="49"/>
      <c r="T132" s="49"/>
      <c r="U132" s="49"/>
      <c r="W132" s="49"/>
      <c r="X132" s="49"/>
      <c r="Y132" s="49"/>
      <c r="Z132" s="49"/>
      <c r="AA132" s="49"/>
      <c r="AB132" s="49"/>
      <c r="AC132" s="49"/>
      <c r="AD132" s="49"/>
      <c r="AE132" s="49"/>
      <c r="AF132" s="49"/>
      <c r="AG132" s="49"/>
      <c r="AH132" s="49"/>
      <c r="AI132" s="49"/>
      <c r="AJ132" s="49"/>
      <c r="AK132" s="49"/>
      <c r="AL132" s="49"/>
      <c r="AM132" s="49"/>
      <c r="AN132" s="49"/>
      <c r="AO132" s="49"/>
    </row>
    <row r="133" spans="3:41" ht="12.75" customHeight="1">
      <c r="C133" s="49"/>
      <c r="D133" s="49"/>
      <c r="E133" s="49"/>
      <c r="F133" s="49"/>
      <c r="G133" s="49"/>
      <c r="H133" s="49"/>
      <c r="I133" s="49"/>
      <c r="J133" s="49"/>
      <c r="K133" s="49"/>
      <c r="L133" s="49"/>
      <c r="M133" s="49"/>
      <c r="S133" s="49"/>
      <c r="T133" s="49"/>
      <c r="U133" s="49"/>
      <c r="W133" s="49"/>
      <c r="X133" s="49"/>
      <c r="Y133" s="49"/>
      <c r="Z133" s="49"/>
      <c r="AA133" s="49"/>
      <c r="AB133" s="49"/>
      <c r="AC133" s="49"/>
      <c r="AD133" s="49"/>
      <c r="AE133" s="49"/>
      <c r="AF133" s="49"/>
      <c r="AG133" s="49"/>
      <c r="AH133" s="49"/>
      <c r="AI133" s="49"/>
      <c r="AJ133" s="49"/>
      <c r="AK133" s="49"/>
      <c r="AL133" s="49"/>
      <c r="AM133" s="49"/>
      <c r="AN133" s="49"/>
      <c r="AO133" s="49"/>
    </row>
    <row r="134" spans="3:41" ht="12.75" customHeight="1">
      <c r="C134" s="49"/>
      <c r="D134" s="49"/>
      <c r="E134" s="49"/>
      <c r="F134" s="49"/>
      <c r="G134" s="49"/>
      <c r="H134" s="49"/>
      <c r="I134" s="49"/>
      <c r="J134" s="49"/>
      <c r="K134" s="49"/>
      <c r="L134" s="49"/>
      <c r="M134" s="49"/>
      <c r="S134" s="49"/>
      <c r="T134" s="49"/>
      <c r="U134" s="49"/>
      <c r="W134" s="49"/>
      <c r="X134" s="49"/>
      <c r="Y134" s="49"/>
      <c r="Z134" s="49"/>
      <c r="AA134" s="49"/>
      <c r="AB134" s="49"/>
      <c r="AC134" s="49"/>
      <c r="AD134" s="49"/>
      <c r="AE134" s="49"/>
      <c r="AF134" s="49"/>
      <c r="AG134" s="49"/>
      <c r="AH134" s="49"/>
      <c r="AI134" s="49"/>
      <c r="AJ134" s="49"/>
      <c r="AK134" s="49"/>
      <c r="AL134" s="49"/>
      <c r="AM134" s="49"/>
      <c r="AN134" s="49"/>
      <c r="AO134" s="49"/>
    </row>
    <row r="135" spans="3:41" ht="12.75" customHeight="1">
      <c r="C135" s="49"/>
      <c r="D135" s="49"/>
      <c r="E135" s="49"/>
      <c r="F135" s="49"/>
      <c r="G135" s="49"/>
      <c r="H135" s="49"/>
      <c r="I135" s="49"/>
      <c r="J135" s="49"/>
      <c r="K135" s="49"/>
      <c r="L135" s="49"/>
      <c r="M135" s="49"/>
      <c r="S135" s="49"/>
      <c r="T135" s="49"/>
      <c r="U135" s="49"/>
      <c r="W135" s="49"/>
      <c r="X135" s="49"/>
      <c r="Y135" s="49"/>
      <c r="Z135" s="49"/>
      <c r="AA135" s="49"/>
      <c r="AB135" s="49"/>
      <c r="AC135" s="49"/>
      <c r="AD135" s="49"/>
      <c r="AE135" s="49"/>
      <c r="AF135" s="49"/>
      <c r="AG135" s="49"/>
      <c r="AH135" s="49"/>
      <c r="AI135" s="49"/>
      <c r="AJ135" s="49"/>
      <c r="AK135" s="49"/>
      <c r="AL135" s="49"/>
      <c r="AM135" s="49"/>
      <c r="AN135" s="49"/>
      <c r="AO135" s="49"/>
    </row>
    <row r="136" spans="3:41" ht="12.75" customHeight="1">
      <c r="C136" s="49"/>
      <c r="D136" s="49"/>
      <c r="E136" s="49"/>
      <c r="F136" s="49"/>
      <c r="G136" s="49"/>
      <c r="H136" s="49"/>
      <c r="I136" s="49"/>
      <c r="J136" s="49"/>
      <c r="K136" s="49"/>
      <c r="L136" s="49"/>
      <c r="M136" s="49"/>
      <c r="S136" s="49"/>
      <c r="T136" s="49"/>
      <c r="U136" s="49"/>
      <c r="W136" s="49"/>
      <c r="X136" s="49"/>
      <c r="Y136" s="49"/>
      <c r="Z136" s="49"/>
      <c r="AA136" s="49"/>
      <c r="AB136" s="49"/>
      <c r="AC136" s="49"/>
      <c r="AD136" s="49"/>
      <c r="AE136" s="49"/>
      <c r="AF136" s="49"/>
      <c r="AG136" s="49"/>
      <c r="AH136" s="49"/>
      <c r="AI136" s="49"/>
      <c r="AJ136" s="49"/>
      <c r="AK136" s="49"/>
      <c r="AL136" s="49"/>
      <c r="AM136" s="49"/>
      <c r="AN136" s="49"/>
      <c r="AO136" s="49"/>
    </row>
    <row r="137" spans="3:41" ht="12.75" customHeight="1">
      <c r="C137" s="49"/>
      <c r="D137" s="49"/>
      <c r="E137" s="49"/>
      <c r="F137" s="49"/>
      <c r="G137" s="49"/>
      <c r="H137" s="49"/>
      <c r="I137" s="49"/>
      <c r="J137" s="49"/>
      <c r="K137" s="49"/>
      <c r="L137" s="49"/>
      <c r="M137" s="49"/>
      <c r="S137" s="49"/>
      <c r="T137" s="49"/>
      <c r="U137" s="49"/>
      <c r="W137" s="49"/>
      <c r="X137" s="49"/>
      <c r="Y137" s="49"/>
      <c r="Z137" s="49"/>
      <c r="AA137" s="49"/>
      <c r="AB137" s="49"/>
      <c r="AC137" s="49"/>
      <c r="AD137" s="49"/>
      <c r="AE137" s="49"/>
      <c r="AF137" s="49"/>
      <c r="AG137" s="49"/>
      <c r="AH137" s="49"/>
      <c r="AI137" s="49"/>
      <c r="AJ137" s="49"/>
      <c r="AK137" s="49"/>
      <c r="AL137" s="49"/>
      <c r="AM137" s="49"/>
      <c r="AN137" s="49"/>
      <c r="AO137" s="49"/>
    </row>
    <row r="138" spans="3:41" ht="12.75" customHeight="1">
      <c r="C138" s="49"/>
      <c r="D138" s="49"/>
      <c r="E138" s="49"/>
      <c r="F138" s="49"/>
      <c r="G138" s="49"/>
      <c r="H138" s="49"/>
      <c r="I138" s="49"/>
      <c r="J138" s="49"/>
      <c r="K138" s="49"/>
      <c r="L138" s="49"/>
      <c r="M138" s="49"/>
      <c r="S138" s="49"/>
      <c r="T138" s="49"/>
      <c r="U138" s="49"/>
      <c r="W138" s="49"/>
      <c r="X138" s="49"/>
      <c r="Y138" s="49"/>
      <c r="Z138" s="49"/>
      <c r="AA138" s="49"/>
      <c r="AB138" s="49"/>
      <c r="AC138" s="49"/>
      <c r="AD138" s="49"/>
      <c r="AE138" s="49"/>
      <c r="AF138" s="49"/>
      <c r="AG138" s="49"/>
      <c r="AH138" s="49"/>
      <c r="AI138" s="49"/>
      <c r="AJ138" s="49"/>
      <c r="AK138" s="49"/>
      <c r="AL138" s="49"/>
      <c r="AM138" s="49"/>
      <c r="AN138" s="49"/>
      <c r="AO138" s="49"/>
    </row>
    <row r="139" spans="3:41" ht="12.75" customHeight="1">
      <c r="C139" s="49"/>
      <c r="D139" s="49"/>
      <c r="E139" s="49"/>
      <c r="F139" s="49"/>
      <c r="G139" s="49"/>
      <c r="H139" s="49"/>
      <c r="I139" s="49"/>
      <c r="J139" s="49"/>
      <c r="K139" s="49"/>
      <c r="L139" s="49"/>
      <c r="M139" s="49"/>
      <c r="S139" s="49"/>
      <c r="T139" s="49"/>
      <c r="U139" s="49"/>
      <c r="W139" s="49"/>
      <c r="X139" s="49"/>
      <c r="Y139" s="49"/>
      <c r="Z139" s="49"/>
      <c r="AA139" s="49"/>
      <c r="AB139" s="49"/>
      <c r="AC139" s="49"/>
      <c r="AD139" s="49"/>
      <c r="AE139" s="49"/>
      <c r="AF139" s="49"/>
      <c r="AG139" s="49"/>
      <c r="AH139" s="49"/>
      <c r="AI139" s="49"/>
      <c r="AJ139" s="49"/>
      <c r="AK139" s="49"/>
      <c r="AL139" s="49"/>
      <c r="AM139" s="49"/>
      <c r="AN139" s="49"/>
      <c r="AO139" s="49"/>
    </row>
    <row r="140" spans="3:41" ht="12.75" customHeight="1">
      <c r="C140" s="49"/>
      <c r="D140" s="49"/>
      <c r="E140" s="49"/>
      <c r="F140" s="49"/>
      <c r="G140" s="49"/>
      <c r="H140" s="49"/>
      <c r="I140" s="49"/>
      <c r="J140" s="49"/>
      <c r="K140" s="49"/>
      <c r="L140" s="49"/>
      <c r="M140" s="49"/>
      <c r="S140" s="49"/>
      <c r="T140" s="49"/>
      <c r="U140" s="49"/>
      <c r="W140" s="49"/>
      <c r="X140" s="49"/>
      <c r="Y140" s="49"/>
      <c r="Z140" s="49"/>
      <c r="AA140" s="49"/>
      <c r="AB140" s="49"/>
      <c r="AC140" s="49"/>
      <c r="AD140" s="49"/>
      <c r="AE140" s="49"/>
      <c r="AF140" s="49"/>
      <c r="AG140" s="49"/>
      <c r="AH140" s="49"/>
      <c r="AI140" s="49"/>
      <c r="AJ140" s="49"/>
      <c r="AK140" s="49"/>
      <c r="AL140" s="49"/>
      <c r="AM140" s="49"/>
      <c r="AN140" s="49"/>
      <c r="AO140" s="49"/>
    </row>
    <row r="141" spans="3:41" ht="12.75" customHeight="1">
      <c r="C141" s="49"/>
      <c r="D141" s="49"/>
      <c r="E141" s="49"/>
      <c r="F141" s="49"/>
      <c r="G141" s="49"/>
      <c r="H141" s="49"/>
      <c r="I141" s="49"/>
      <c r="J141" s="49"/>
      <c r="K141" s="49"/>
      <c r="L141" s="49"/>
      <c r="M141" s="49"/>
      <c r="S141" s="49"/>
      <c r="T141" s="49"/>
      <c r="U141" s="49"/>
      <c r="W141" s="49"/>
      <c r="X141" s="49"/>
      <c r="Y141" s="49"/>
      <c r="Z141" s="49"/>
      <c r="AA141" s="49"/>
      <c r="AB141" s="49"/>
      <c r="AC141" s="49"/>
      <c r="AD141" s="49"/>
      <c r="AE141" s="49"/>
      <c r="AF141" s="49"/>
      <c r="AG141" s="49"/>
      <c r="AH141" s="49"/>
      <c r="AI141" s="49"/>
      <c r="AJ141" s="49"/>
      <c r="AK141" s="49"/>
      <c r="AL141" s="49"/>
      <c r="AM141" s="49"/>
      <c r="AN141" s="49"/>
      <c r="AO141" s="49"/>
    </row>
    <row r="142" spans="3:41" ht="12.75" customHeight="1">
      <c r="C142" s="49"/>
      <c r="D142" s="49"/>
      <c r="E142" s="49"/>
      <c r="F142" s="49"/>
      <c r="G142" s="49"/>
      <c r="H142" s="49"/>
      <c r="I142" s="49"/>
      <c r="J142" s="49"/>
      <c r="K142" s="49"/>
      <c r="L142" s="49"/>
      <c r="M142" s="49"/>
      <c r="S142" s="49"/>
      <c r="T142" s="49"/>
      <c r="U142" s="49"/>
      <c r="W142" s="49"/>
      <c r="X142" s="49"/>
      <c r="Y142" s="49"/>
      <c r="Z142" s="49"/>
      <c r="AA142" s="49"/>
      <c r="AB142" s="49"/>
      <c r="AC142" s="49"/>
      <c r="AD142" s="49"/>
      <c r="AE142" s="49"/>
      <c r="AF142" s="49"/>
      <c r="AG142" s="49"/>
      <c r="AH142" s="49"/>
      <c r="AI142" s="49"/>
      <c r="AJ142" s="49"/>
      <c r="AK142" s="49"/>
      <c r="AL142" s="49"/>
      <c r="AM142" s="49"/>
      <c r="AN142" s="49"/>
      <c r="AO142" s="49"/>
    </row>
    <row r="143" spans="3:41" ht="12.75" customHeight="1">
      <c r="C143" s="49"/>
      <c r="D143" s="49"/>
      <c r="E143" s="49"/>
      <c r="F143" s="49"/>
      <c r="G143" s="49"/>
      <c r="H143" s="49"/>
      <c r="I143" s="49"/>
      <c r="J143" s="49"/>
      <c r="K143" s="49"/>
      <c r="L143" s="49"/>
      <c r="M143" s="49"/>
      <c r="S143" s="49"/>
      <c r="T143" s="49"/>
      <c r="U143" s="49"/>
      <c r="W143" s="49"/>
      <c r="X143" s="49"/>
      <c r="Y143" s="49"/>
      <c r="Z143" s="49"/>
      <c r="AA143" s="49"/>
      <c r="AB143" s="49"/>
      <c r="AC143" s="49"/>
      <c r="AD143" s="49"/>
      <c r="AE143" s="49"/>
      <c r="AF143" s="49"/>
      <c r="AG143" s="49"/>
      <c r="AH143" s="49"/>
      <c r="AI143" s="49"/>
      <c r="AJ143" s="49"/>
      <c r="AK143" s="49"/>
      <c r="AL143" s="49"/>
      <c r="AM143" s="49"/>
      <c r="AN143" s="49"/>
      <c r="AO143" s="49"/>
    </row>
    <row r="144" spans="3:41" ht="12.75" customHeight="1">
      <c r="C144" s="49"/>
      <c r="D144" s="49"/>
      <c r="E144" s="49"/>
      <c r="F144" s="49"/>
      <c r="G144" s="49"/>
      <c r="H144" s="49"/>
      <c r="I144" s="49"/>
      <c r="J144" s="49"/>
      <c r="K144" s="49"/>
      <c r="L144" s="49"/>
      <c r="M144" s="49"/>
      <c r="S144" s="49"/>
      <c r="T144" s="49"/>
      <c r="U144" s="49"/>
      <c r="W144" s="49"/>
      <c r="X144" s="49"/>
      <c r="Y144" s="49"/>
      <c r="Z144" s="49"/>
      <c r="AA144" s="49"/>
      <c r="AB144" s="49"/>
      <c r="AC144" s="49"/>
      <c r="AD144" s="49"/>
      <c r="AE144" s="49"/>
      <c r="AF144" s="49"/>
      <c r="AG144" s="49"/>
      <c r="AH144" s="49"/>
      <c r="AI144" s="49"/>
      <c r="AJ144" s="49"/>
      <c r="AK144" s="49"/>
      <c r="AL144" s="49"/>
      <c r="AM144" s="49"/>
      <c r="AN144" s="49"/>
      <c r="AO144" s="49"/>
    </row>
    <row r="145" spans="3:41" ht="12.75" customHeight="1">
      <c r="C145" s="49"/>
      <c r="D145" s="49"/>
      <c r="E145" s="49"/>
      <c r="F145" s="49"/>
      <c r="G145" s="49"/>
      <c r="H145" s="49"/>
      <c r="I145" s="49"/>
      <c r="J145" s="49"/>
      <c r="K145" s="49"/>
      <c r="L145" s="49"/>
      <c r="M145" s="49"/>
      <c r="S145" s="49"/>
      <c r="T145" s="49"/>
      <c r="U145" s="49"/>
      <c r="W145" s="49"/>
      <c r="X145" s="49"/>
      <c r="Y145" s="49"/>
      <c r="Z145" s="49"/>
      <c r="AA145" s="49"/>
      <c r="AB145" s="49"/>
      <c r="AC145" s="49"/>
      <c r="AD145" s="49"/>
      <c r="AE145" s="49"/>
      <c r="AF145" s="49"/>
      <c r="AG145" s="49"/>
      <c r="AH145" s="49"/>
      <c r="AI145" s="49"/>
      <c r="AJ145" s="49"/>
      <c r="AK145" s="49"/>
      <c r="AL145" s="49"/>
      <c r="AM145" s="49"/>
      <c r="AN145" s="49"/>
      <c r="AO145" s="49"/>
    </row>
    <row r="146" spans="3:41" ht="12.75" customHeight="1">
      <c r="C146" s="49"/>
      <c r="D146" s="49"/>
      <c r="E146" s="49"/>
      <c r="F146" s="49"/>
      <c r="G146" s="49"/>
      <c r="H146" s="49"/>
      <c r="I146" s="49"/>
      <c r="J146" s="49"/>
      <c r="K146" s="49"/>
      <c r="L146" s="49"/>
      <c r="M146" s="49"/>
      <c r="S146" s="49"/>
      <c r="T146" s="49"/>
      <c r="U146" s="49"/>
      <c r="W146" s="49"/>
      <c r="X146" s="49"/>
      <c r="Y146" s="49"/>
      <c r="Z146" s="49"/>
      <c r="AA146" s="49"/>
      <c r="AB146" s="49"/>
      <c r="AC146" s="49"/>
      <c r="AD146" s="49"/>
      <c r="AE146" s="49"/>
      <c r="AF146" s="49"/>
      <c r="AG146" s="49"/>
      <c r="AH146" s="49"/>
      <c r="AI146" s="49"/>
      <c r="AJ146" s="49"/>
      <c r="AK146" s="49"/>
      <c r="AL146" s="49"/>
      <c r="AM146" s="49"/>
      <c r="AN146" s="49"/>
      <c r="AO146" s="49"/>
    </row>
    <row r="147" spans="3:41" ht="12.75" customHeight="1">
      <c r="C147" s="49"/>
      <c r="D147" s="49"/>
      <c r="E147" s="49"/>
      <c r="F147" s="49"/>
      <c r="G147" s="49"/>
      <c r="H147" s="49"/>
      <c r="I147" s="49"/>
      <c r="J147" s="49"/>
      <c r="K147" s="49"/>
      <c r="L147" s="49"/>
      <c r="M147" s="49"/>
      <c r="S147" s="49"/>
      <c r="T147" s="49"/>
      <c r="U147" s="49"/>
      <c r="W147" s="49"/>
      <c r="X147" s="49"/>
      <c r="Y147" s="49"/>
      <c r="Z147" s="49"/>
      <c r="AA147" s="49"/>
      <c r="AB147" s="49"/>
      <c r="AC147" s="49"/>
      <c r="AD147" s="49"/>
      <c r="AE147" s="49"/>
      <c r="AF147" s="49"/>
      <c r="AG147" s="49"/>
      <c r="AH147" s="49"/>
      <c r="AI147" s="49"/>
      <c r="AJ147" s="49"/>
      <c r="AK147" s="49"/>
      <c r="AL147" s="49"/>
      <c r="AM147" s="49"/>
      <c r="AN147" s="49"/>
      <c r="AO147" s="49"/>
    </row>
    <row r="148" spans="3:41" ht="12.75" customHeight="1">
      <c r="C148" s="49"/>
      <c r="D148" s="49"/>
      <c r="E148" s="49"/>
      <c r="F148" s="49"/>
      <c r="G148" s="49"/>
      <c r="H148" s="49"/>
      <c r="I148" s="49"/>
      <c r="J148" s="49"/>
      <c r="K148" s="49"/>
      <c r="L148" s="49"/>
      <c r="M148" s="49"/>
      <c r="S148" s="49"/>
      <c r="T148" s="49"/>
      <c r="U148" s="49"/>
      <c r="W148" s="49"/>
      <c r="X148" s="49"/>
      <c r="Y148" s="49"/>
      <c r="Z148" s="49"/>
      <c r="AA148" s="49"/>
      <c r="AB148" s="49"/>
      <c r="AC148" s="49"/>
      <c r="AD148" s="49"/>
      <c r="AE148" s="49"/>
      <c r="AF148" s="49"/>
      <c r="AG148" s="49"/>
      <c r="AH148" s="49"/>
      <c r="AI148" s="49"/>
      <c r="AJ148" s="49"/>
      <c r="AK148" s="49"/>
      <c r="AL148" s="49"/>
      <c r="AM148" s="49"/>
      <c r="AN148" s="49"/>
      <c r="AO148" s="49"/>
    </row>
    <row r="149" spans="3:41" ht="12.75" customHeight="1">
      <c r="C149" s="49"/>
      <c r="D149" s="49"/>
      <c r="E149" s="49"/>
      <c r="F149" s="49"/>
      <c r="G149" s="49"/>
      <c r="H149" s="49"/>
      <c r="I149" s="49"/>
      <c r="J149" s="49"/>
      <c r="K149" s="49"/>
      <c r="L149" s="49"/>
      <c r="M149" s="49"/>
      <c r="S149" s="49"/>
      <c r="T149" s="49"/>
      <c r="U149" s="49"/>
      <c r="W149" s="49"/>
      <c r="X149" s="49"/>
      <c r="Y149" s="49"/>
      <c r="Z149" s="49"/>
      <c r="AA149" s="49"/>
      <c r="AB149" s="49"/>
      <c r="AC149" s="49"/>
      <c r="AD149" s="49"/>
      <c r="AE149" s="49"/>
      <c r="AF149" s="49"/>
      <c r="AG149" s="49"/>
      <c r="AH149" s="49"/>
      <c r="AI149" s="49"/>
      <c r="AJ149" s="49"/>
      <c r="AK149" s="49"/>
      <c r="AL149" s="49"/>
      <c r="AM149" s="49"/>
      <c r="AN149" s="49"/>
      <c r="AO149" s="49"/>
    </row>
    <row r="150" spans="3:41" ht="12.75" customHeight="1">
      <c r="C150" s="49"/>
      <c r="D150" s="49"/>
      <c r="E150" s="49"/>
      <c r="F150" s="49"/>
      <c r="G150" s="49"/>
      <c r="H150" s="49"/>
      <c r="I150" s="49"/>
      <c r="J150" s="49"/>
      <c r="K150" s="49"/>
      <c r="L150" s="49"/>
      <c r="M150" s="49"/>
      <c r="S150" s="49"/>
      <c r="T150" s="49"/>
      <c r="U150" s="49"/>
      <c r="W150" s="49"/>
      <c r="X150" s="49"/>
      <c r="Y150" s="49"/>
      <c r="Z150" s="49"/>
      <c r="AA150" s="49"/>
      <c r="AB150" s="49"/>
      <c r="AC150" s="49"/>
      <c r="AD150" s="49"/>
      <c r="AE150" s="49"/>
      <c r="AF150" s="49"/>
      <c r="AG150" s="49"/>
      <c r="AH150" s="49"/>
      <c r="AI150" s="49"/>
      <c r="AJ150" s="49"/>
      <c r="AK150" s="49"/>
      <c r="AL150" s="49"/>
      <c r="AM150" s="49"/>
      <c r="AN150" s="49"/>
      <c r="AO150" s="49"/>
    </row>
    <row r="151" spans="3:41" ht="12.75" customHeight="1">
      <c r="C151" s="49"/>
      <c r="D151" s="49"/>
      <c r="E151" s="49"/>
      <c r="F151" s="49"/>
      <c r="G151" s="49"/>
      <c r="H151" s="49"/>
      <c r="I151" s="49"/>
      <c r="J151" s="49"/>
      <c r="K151" s="49"/>
      <c r="L151" s="49"/>
      <c r="M151" s="49"/>
      <c r="S151" s="49"/>
      <c r="T151" s="49"/>
      <c r="U151" s="49"/>
      <c r="W151" s="49"/>
      <c r="X151" s="49"/>
      <c r="Y151" s="49"/>
      <c r="Z151" s="49"/>
      <c r="AA151" s="49"/>
      <c r="AB151" s="49"/>
      <c r="AC151" s="49"/>
      <c r="AD151" s="49"/>
      <c r="AE151" s="49"/>
      <c r="AF151" s="49"/>
      <c r="AG151" s="49"/>
      <c r="AH151" s="49"/>
      <c r="AI151" s="49"/>
      <c r="AJ151" s="49"/>
      <c r="AK151" s="49"/>
      <c r="AL151" s="49"/>
      <c r="AM151" s="49"/>
      <c r="AN151" s="49"/>
      <c r="AO151" s="49"/>
    </row>
    <row r="152" spans="3:41" ht="12.75" customHeight="1">
      <c r="C152" s="49"/>
      <c r="D152" s="49"/>
      <c r="E152" s="49"/>
      <c r="F152" s="49"/>
      <c r="G152" s="49"/>
      <c r="H152" s="49"/>
      <c r="I152" s="49"/>
      <c r="J152" s="49"/>
      <c r="K152" s="49"/>
      <c r="L152" s="49"/>
      <c r="M152" s="49"/>
      <c r="S152" s="49"/>
      <c r="T152" s="49"/>
      <c r="U152" s="49"/>
      <c r="W152" s="49"/>
      <c r="X152" s="49"/>
      <c r="Y152" s="49"/>
      <c r="Z152" s="49"/>
      <c r="AA152" s="49"/>
      <c r="AB152" s="49"/>
      <c r="AC152" s="49"/>
      <c r="AD152" s="49"/>
      <c r="AE152" s="49"/>
      <c r="AF152" s="49"/>
      <c r="AG152" s="49"/>
      <c r="AH152" s="49"/>
      <c r="AI152" s="49"/>
      <c r="AJ152" s="49"/>
      <c r="AK152" s="49"/>
      <c r="AL152" s="49"/>
      <c r="AM152" s="49"/>
      <c r="AN152" s="49"/>
      <c r="AO152" s="49"/>
    </row>
    <row r="153" spans="3:41" ht="12.75" customHeight="1">
      <c r="C153" s="49"/>
      <c r="D153" s="49"/>
      <c r="E153" s="49"/>
      <c r="F153" s="49"/>
      <c r="G153" s="49"/>
      <c r="H153" s="49"/>
      <c r="I153" s="49"/>
      <c r="J153" s="49"/>
      <c r="K153" s="49"/>
      <c r="L153" s="49"/>
      <c r="M153" s="49"/>
      <c r="S153" s="49"/>
      <c r="T153" s="49"/>
      <c r="U153" s="49"/>
      <c r="W153" s="49"/>
      <c r="X153" s="49"/>
      <c r="Y153" s="49"/>
      <c r="Z153" s="49"/>
      <c r="AA153" s="49"/>
      <c r="AB153" s="49"/>
      <c r="AC153" s="49"/>
      <c r="AD153" s="49"/>
      <c r="AE153" s="49"/>
      <c r="AF153" s="49"/>
      <c r="AG153" s="49"/>
      <c r="AH153" s="49"/>
      <c r="AI153" s="49"/>
      <c r="AJ153" s="49"/>
      <c r="AK153" s="49"/>
      <c r="AL153" s="49"/>
      <c r="AM153" s="49"/>
      <c r="AN153" s="49"/>
      <c r="AO153" s="49"/>
    </row>
    <row r="154" spans="3:41" ht="12.75" customHeight="1">
      <c r="C154" s="49"/>
      <c r="D154" s="49"/>
      <c r="E154" s="49"/>
      <c r="F154" s="49"/>
      <c r="G154" s="49"/>
      <c r="H154" s="49"/>
      <c r="I154" s="49"/>
      <c r="J154" s="49"/>
      <c r="K154" s="49"/>
      <c r="L154" s="49"/>
      <c r="M154" s="49"/>
      <c r="S154" s="49"/>
      <c r="T154" s="49"/>
      <c r="U154" s="49"/>
      <c r="W154" s="49"/>
      <c r="X154" s="49"/>
      <c r="Y154" s="49"/>
      <c r="Z154" s="49"/>
      <c r="AA154" s="49"/>
      <c r="AB154" s="49"/>
      <c r="AC154" s="49"/>
      <c r="AD154" s="49"/>
      <c r="AE154" s="49"/>
      <c r="AF154" s="49"/>
      <c r="AG154" s="49"/>
      <c r="AH154" s="49"/>
      <c r="AI154" s="49"/>
      <c r="AJ154" s="49"/>
      <c r="AK154" s="49"/>
      <c r="AL154" s="49"/>
      <c r="AM154" s="49"/>
      <c r="AN154" s="49"/>
      <c r="AO154" s="49"/>
    </row>
    <row r="155" spans="3:41" ht="12.75" customHeight="1">
      <c r="C155" s="49"/>
      <c r="D155" s="49"/>
      <c r="E155" s="49"/>
      <c r="F155" s="49"/>
      <c r="G155" s="49"/>
      <c r="H155" s="49"/>
      <c r="I155" s="49"/>
      <c r="J155" s="49"/>
      <c r="K155" s="49"/>
      <c r="L155" s="49"/>
      <c r="M155" s="49"/>
      <c r="S155" s="49"/>
      <c r="T155" s="49"/>
      <c r="U155" s="49"/>
      <c r="W155" s="49"/>
      <c r="X155" s="49"/>
      <c r="Y155" s="49"/>
      <c r="Z155" s="49"/>
      <c r="AA155" s="49"/>
      <c r="AB155" s="49"/>
      <c r="AC155" s="49"/>
      <c r="AD155" s="49"/>
      <c r="AE155" s="49"/>
      <c r="AF155" s="49"/>
      <c r="AG155" s="49"/>
      <c r="AH155" s="49"/>
      <c r="AI155" s="49"/>
      <c r="AJ155" s="49"/>
      <c r="AK155" s="49"/>
      <c r="AL155" s="49"/>
      <c r="AM155" s="49"/>
      <c r="AN155" s="49"/>
      <c r="AO155" s="49"/>
    </row>
    <row r="156" spans="3:41" ht="12.75" customHeight="1">
      <c r="C156" s="49"/>
      <c r="D156" s="49"/>
      <c r="E156" s="49"/>
      <c r="F156" s="49"/>
      <c r="G156" s="49"/>
      <c r="H156" s="49"/>
      <c r="I156" s="49"/>
      <c r="J156" s="49"/>
      <c r="K156" s="49"/>
      <c r="L156" s="49"/>
      <c r="M156" s="49"/>
      <c r="S156" s="49"/>
      <c r="T156" s="49"/>
      <c r="U156" s="49"/>
      <c r="W156" s="49"/>
      <c r="X156" s="49"/>
      <c r="Y156" s="49"/>
      <c r="Z156" s="49"/>
      <c r="AA156" s="49"/>
      <c r="AB156" s="49"/>
      <c r="AC156" s="49"/>
      <c r="AD156" s="49"/>
      <c r="AE156" s="49"/>
      <c r="AF156" s="49"/>
      <c r="AG156" s="49"/>
      <c r="AH156" s="49"/>
      <c r="AI156" s="49"/>
      <c r="AJ156" s="49"/>
      <c r="AK156" s="49"/>
      <c r="AL156" s="49"/>
      <c r="AM156" s="49"/>
      <c r="AN156" s="49"/>
      <c r="AO156" s="49"/>
    </row>
    <row r="157" spans="3:41" ht="12.75" customHeight="1">
      <c r="C157" s="49"/>
      <c r="D157" s="49"/>
      <c r="E157" s="49"/>
      <c r="F157" s="49"/>
      <c r="G157" s="49"/>
      <c r="H157" s="49"/>
      <c r="I157" s="49"/>
      <c r="J157" s="49"/>
      <c r="K157" s="49"/>
      <c r="L157" s="49"/>
      <c r="M157" s="49"/>
      <c r="S157" s="49"/>
      <c r="T157" s="49"/>
      <c r="U157" s="49"/>
      <c r="W157" s="49"/>
      <c r="X157" s="49"/>
      <c r="Y157" s="49"/>
      <c r="Z157" s="49"/>
      <c r="AA157" s="49"/>
      <c r="AB157" s="49"/>
      <c r="AC157" s="49"/>
      <c r="AD157" s="49"/>
      <c r="AE157" s="49"/>
      <c r="AF157" s="49"/>
      <c r="AG157" s="49"/>
      <c r="AH157" s="49"/>
      <c r="AI157" s="49"/>
      <c r="AJ157" s="49"/>
      <c r="AK157" s="49"/>
      <c r="AL157" s="49"/>
      <c r="AM157" s="49"/>
      <c r="AN157" s="49"/>
      <c r="AO157" s="49"/>
    </row>
    <row r="158" spans="3:41" ht="12.75" customHeight="1">
      <c r="C158" s="49"/>
      <c r="D158" s="49"/>
      <c r="E158" s="49"/>
      <c r="F158" s="49"/>
      <c r="G158" s="49"/>
      <c r="H158" s="49"/>
      <c r="I158" s="49"/>
      <c r="J158" s="49"/>
      <c r="K158" s="49"/>
      <c r="L158" s="49"/>
      <c r="M158" s="49"/>
      <c r="S158" s="49"/>
      <c r="T158" s="49"/>
      <c r="U158" s="49"/>
      <c r="W158" s="49"/>
      <c r="X158" s="49"/>
      <c r="Y158" s="49"/>
      <c r="Z158" s="49"/>
      <c r="AA158" s="49"/>
      <c r="AB158" s="49"/>
      <c r="AC158" s="49"/>
      <c r="AD158" s="49"/>
      <c r="AE158" s="49"/>
      <c r="AF158" s="49"/>
      <c r="AG158" s="49"/>
      <c r="AH158" s="49"/>
      <c r="AI158" s="49"/>
      <c r="AJ158" s="49"/>
      <c r="AK158" s="49"/>
      <c r="AL158" s="49"/>
      <c r="AM158" s="49"/>
      <c r="AN158" s="49"/>
      <c r="AO158" s="49"/>
    </row>
    <row r="159" spans="3:41" ht="12.75" customHeight="1">
      <c r="C159" s="49"/>
      <c r="D159" s="49"/>
      <c r="E159" s="49"/>
      <c r="F159" s="49"/>
      <c r="G159" s="49"/>
      <c r="H159" s="49"/>
      <c r="I159" s="49"/>
      <c r="J159" s="49"/>
      <c r="K159" s="49"/>
      <c r="L159" s="49"/>
      <c r="M159" s="49"/>
      <c r="S159" s="49"/>
      <c r="T159" s="49"/>
      <c r="U159" s="49"/>
      <c r="W159" s="49"/>
      <c r="X159" s="49"/>
      <c r="Y159" s="49"/>
      <c r="Z159" s="49"/>
      <c r="AA159" s="49"/>
      <c r="AB159" s="49"/>
      <c r="AC159" s="49"/>
      <c r="AD159" s="49"/>
      <c r="AE159" s="49"/>
      <c r="AF159" s="49"/>
      <c r="AG159" s="49"/>
      <c r="AH159" s="49"/>
      <c r="AI159" s="49"/>
      <c r="AJ159" s="49"/>
      <c r="AK159" s="49"/>
      <c r="AL159" s="49"/>
      <c r="AM159" s="49"/>
      <c r="AN159" s="49"/>
      <c r="AO159" s="49"/>
    </row>
    <row r="160" spans="3:41" ht="12.75" customHeight="1">
      <c r="C160" s="49"/>
      <c r="D160" s="49"/>
      <c r="E160" s="49"/>
      <c r="F160" s="49"/>
      <c r="G160" s="49"/>
      <c r="H160" s="49"/>
      <c r="I160" s="49"/>
      <c r="J160" s="49"/>
      <c r="K160" s="49"/>
      <c r="L160" s="49"/>
      <c r="M160" s="49"/>
      <c r="S160" s="49"/>
      <c r="T160" s="49"/>
      <c r="U160" s="49"/>
      <c r="W160" s="49"/>
      <c r="X160" s="49"/>
      <c r="Y160" s="49"/>
      <c r="Z160" s="49"/>
      <c r="AA160" s="49"/>
      <c r="AB160" s="49"/>
      <c r="AC160" s="49"/>
      <c r="AD160" s="49"/>
      <c r="AE160" s="49"/>
      <c r="AF160" s="49"/>
      <c r="AG160" s="49"/>
      <c r="AH160" s="49"/>
      <c r="AI160" s="49"/>
      <c r="AJ160" s="49"/>
      <c r="AK160" s="49"/>
      <c r="AL160" s="49"/>
      <c r="AM160" s="49"/>
      <c r="AN160" s="49"/>
      <c r="AO160" s="49"/>
    </row>
    <row r="161" spans="3:41" ht="12.75" customHeight="1">
      <c r="C161" s="49"/>
      <c r="D161" s="49"/>
      <c r="E161" s="49"/>
      <c r="F161" s="49"/>
      <c r="G161" s="49"/>
      <c r="H161" s="49"/>
      <c r="I161" s="49"/>
      <c r="J161" s="49"/>
      <c r="K161" s="49"/>
      <c r="L161" s="49"/>
      <c r="M161" s="49"/>
      <c r="S161" s="49"/>
      <c r="T161" s="49"/>
      <c r="U161" s="49"/>
      <c r="W161" s="49"/>
      <c r="X161" s="49"/>
      <c r="Y161" s="49"/>
      <c r="Z161" s="49"/>
      <c r="AA161" s="49"/>
      <c r="AB161" s="49"/>
      <c r="AC161" s="49"/>
      <c r="AD161" s="49"/>
      <c r="AE161" s="49"/>
      <c r="AF161" s="49"/>
      <c r="AG161" s="49"/>
      <c r="AH161" s="49"/>
      <c r="AI161" s="49"/>
      <c r="AJ161" s="49"/>
      <c r="AK161" s="49"/>
      <c r="AL161" s="49"/>
      <c r="AM161" s="49"/>
      <c r="AN161" s="49"/>
      <c r="AO161" s="49"/>
    </row>
    <row r="162" spans="3:41" ht="12.75" customHeight="1">
      <c r="C162" s="49"/>
      <c r="D162" s="49"/>
      <c r="E162" s="49"/>
      <c r="F162" s="49"/>
      <c r="G162" s="49"/>
      <c r="H162" s="49"/>
      <c r="I162" s="49"/>
      <c r="J162" s="49"/>
      <c r="K162" s="49"/>
      <c r="L162" s="49"/>
      <c r="M162" s="49"/>
      <c r="S162" s="49"/>
      <c r="T162" s="49"/>
      <c r="U162" s="49"/>
      <c r="W162" s="49"/>
      <c r="X162" s="49"/>
      <c r="Y162" s="49"/>
      <c r="Z162" s="49"/>
      <c r="AA162" s="49"/>
      <c r="AB162" s="49"/>
      <c r="AC162" s="49"/>
      <c r="AD162" s="49"/>
      <c r="AE162" s="49"/>
      <c r="AF162" s="49"/>
      <c r="AG162" s="49"/>
      <c r="AH162" s="49"/>
      <c r="AI162" s="49"/>
      <c r="AJ162" s="49"/>
      <c r="AK162" s="49"/>
      <c r="AL162" s="49"/>
      <c r="AM162" s="49"/>
      <c r="AN162" s="49"/>
      <c r="AO162" s="49"/>
    </row>
    <row r="163" spans="3:41" ht="12.75" customHeight="1">
      <c r="C163" s="49"/>
      <c r="D163" s="49"/>
      <c r="E163" s="49"/>
      <c r="F163" s="49"/>
      <c r="G163" s="49"/>
      <c r="H163" s="49"/>
      <c r="I163" s="49"/>
      <c r="J163" s="49"/>
      <c r="K163" s="49"/>
      <c r="L163" s="49"/>
      <c r="M163" s="49"/>
      <c r="S163" s="49"/>
      <c r="T163" s="49"/>
      <c r="U163" s="49"/>
      <c r="W163" s="49"/>
      <c r="X163" s="49"/>
      <c r="Y163" s="49"/>
      <c r="Z163" s="49"/>
      <c r="AA163" s="49"/>
      <c r="AB163" s="49"/>
      <c r="AC163" s="49"/>
      <c r="AD163" s="49"/>
      <c r="AE163" s="49"/>
      <c r="AF163" s="49"/>
      <c r="AG163" s="49"/>
      <c r="AH163" s="49"/>
      <c r="AI163" s="49"/>
      <c r="AJ163" s="49"/>
      <c r="AK163" s="49"/>
      <c r="AL163" s="49"/>
      <c r="AM163" s="49"/>
      <c r="AN163" s="49"/>
      <c r="AO163" s="49"/>
    </row>
    <row r="164" spans="3:41" ht="12.75" customHeight="1">
      <c r="C164" s="49"/>
      <c r="D164" s="49"/>
      <c r="E164" s="49"/>
      <c r="F164" s="49"/>
      <c r="G164" s="49"/>
      <c r="H164" s="49"/>
      <c r="I164" s="49"/>
      <c r="J164" s="49"/>
      <c r="K164" s="49"/>
      <c r="L164" s="49"/>
      <c r="M164" s="49"/>
      <c r="S164" s="49"/>
      <c r="T164" s="49"/>
      <c r="U164" s="49"/>
      <c r="W164" s="49"/>
      <c r="X164" s="49"/>
      <c r="Y164" s="49"/>
      <c r="Z164" s="49"/>
      <c r="AA164" s="49"/>
      <c r="AB164" s="49"/>
      <c r="AC164" s="49"/>
      <c r="AD164" s="49"/>
      <c r="AE164" s="49"/>
      <c r="AF164" s="49"/>
      <c r="AG164" s="49"/>
      <c r="AH164" s="49"/>
      <c r="AI164" s="49"/>
      <c r="AJ164" s="49"/>
      <c r="AK164" s="49"/>
      <c r="AL164" s="49"/>
      <c r="AM164" s="49"/>
      <c r="AN164" s="49"/>
      <c r="AO164" s="49"/>
    </row>
    <row r="165" spans="3:41" ht="12.75" customHeight="1">
      <c r="C165" s="49"/>
      <c r="D165" s="49"/>
      <c r="E165" s="49"/>
      <c r="F165" s="49"/>
      <c r="G165" s="49"/>
      <c r="H165" s="49"/>
      <c r="I165" s="49"/>
      <c r="J165" s="49"/>
      <c r="K165" s="49"/>
      <c r="L165" s="49"/>
      <c r="M165" s="49"/>
      <c r="S165" s="49"/>
      <c r="T165" s="49"/>
      <c r="U165" s="49"/>
      <c r="W165" s="49"/>
      <c r="X165" s="49"/>
      <c r="Y165" s="49"/>
      <c r="Z165" s="49"/>
      <c r="AA165" s="49"/>
      <c r="AB165" s="49"/>
      <c r="AC165" s="49"/>
      <c r="AD165" s="49"/>
      <c r="AE165" s="49"/>
      <c r="AF165" s="49"/>
      <c r="AG165" s="49"/>
      <c r="AH165" s="49"/>
      <c r="AI165" s="49"/>
      <c r="AJ165" s="49"/>
      <c r="AK165" s="49"/>
      <c r="AL165" s="49"/>
      <c r="AM165" s="49"/>
      <c r="AN165" s="49"/>
      <c r="AO165" s="49"/>
    </row>
    <row r="166" spans="3:41" ht="12.75" customHeight="1">
      <c r="C166" s="49"/>
      <c r="D166" s="49"/>
      <c r="E166" s="49"/>
      <c r="F166" s="49"/>
      <c r="G166" s="49"/>
      <c r="H166" s="49"/>
      <c r="I166" s="49"/>
      <c r="J166" s="49"/>
      <c r="K166" s="49"/>
      <c r="L166" s="49"/>
      <c r="M166" s="49"/>
      <c r="S166" s="49"/>
      <c r="T166" s="49"/>
      <c r="U166" s="49"/>
      <c r="W166" s="49"/>
      <c r="X166" s="49"/>
      <c r="Y166" s="49"/>
      <c r="Z166" s="49"/>
      <c r="AA166" s="49"/>
      <c r="AB166" s="49"/>
      <c r="AC166" s="49"/>
      <c r="AD166" s="49"/>
      <c r="AE166" s="49"/>
      <c r="AF166" s="49"/>
      <c r="AG166" s="49"/>
      <c r="AH166" s="49"/>
      <c r="AI166" s="49"/>
      <c r="AJ166" s="49"/>
      <c r="AK166" s="49"/>
      <c r="AL166" s="49"/>
      <c r="AM166" s="49"/>
      <c r="AN166" s="49"/>
      <c r="AO166" s="49"/>
    </row>
    <row r="167" spans="3:41" ht="12.75" customHeight="1">
      <c r="C167" s="49"/>
      <c r="D167" s="49"/>
      <c r="E167" s="49"/>
      <c r="F167" s="49"/>
      <c r="G167" s="49"/>
      <c r="H167" s="49"/>
      <c r="I167" s="49"/>
      <c r="J167" s="49"/>
      <c r="K167" s="49"/>
      <c r="L167" s="49"/>
      <c r="M167" s="49"/>
      <c r="S167" s="49"/>
      <c r="T167" s="49"/>
      <c r="U167" s="49"/>
      <c r="W167" s="49"/>
      <c r="X167" s="49"/>
      <c r="Y167" s="49"/>
      <c r="Z167" s="49"/>
      <c r="AA167" s="49"/>
      <c r="AB167" s="49"/>
      <c r="AC167" s="49"/>
      <c r="AD167" s="49"/>
      <c r="AE167" s="49"/>
      <c r="AF167" s="49"/>
      <c r="AG167" s="49"/>
      <c r="AH167" s="49"/>
      <c r="AI167" s="49"/>
      <c r="AJ167" s="49"/>
      <c r="AK167" s="49"/>
      <c r="AL167" s="49"/>
      <c r="AM167" s="49"/>
      <c r="AN167" s="49"/>
      <c r="AO167" s="49"/>
    </row>
    <row r="168" spans="3:41" ht="12.75" customHeight="1">
      <c r="C168" s="49"/>
      <c r="D168" s="49"/>
      <c r="E168" s="49"/>
      <c r="F168" s="49"/>
      <c r="G168" s="49"/>
      <c r="H168" s="49"/>
      <c r="I168" s="49"/>
      <c r="J168" s="49"/>
      <c r="K168" s="49"/>
      <c r="L168" s="49"/>
      <c r="M168" s="49"/>
      <c r="S168" s="49"/>
      <c r="T168" s="49"/>
      <c r="U168" s="49"/>
      <c r="W168" s="49"/>
      <c r="X168" s="49"/>
      <c r="Y168" s="49"/>
      <c r="Z168" s="49"/>
      <c r="AA168" s="49"/>
      <c r="AB168" s="49"/>
      <c r="AC168" s="49"/>
      <c r="AD168" s="49"/>
      <c r="AE168" s="49"/>
      <c r="AF168" s="49"/>
      <c r="AG168" s="49"/>
      <c r="AH168" s="49"/>
      <c r="AI168" s="49"/>
      <c r="AJ168" s="49"/>
      <c r="AK168" s="49"/>
      <c r="AL168" s="49"/>
      <c r="AM168" s="49"/>
      <c r="AN168" s="49"/>
      <c r="AO168" s="49"/>
    </row>
    <row r="169" spans="3:41" ht="12.75" customHeight="1">
      <c r="C169" s="49"/>
      <c r="D169" s="49"/>
      <c r="E169" s="49"/>
      <c r="F169" s="49"/>
      <c r="G169" s="49"/>
      <c r="H169" s="49"/>
      <c r="I169" s="49"/>
      <c r="J169" s="49"/>
      <c r="K169" s="49"/>
      <c r="L169" s="49"/>
      <c r="M169" s="49"/>
      <c r="S169" s="49"/>
      <c r="T169" s="49"/>
      <c r="U169" s="49"/>
      <c r="W169" s="49"/>
      <c r="X169" s="49"/>
      <c r="Y169" s="49"/>
      <c r="Z169" s="49"/>
      <c r="AA169" s="49"/>
      <c r="AB169" s="49"/>
      <c r="AC169" s="49"/>
      <c r="AD169" s="49"/>
      <c r="AE169" s="49"/>
      <c r="AF169" s="49"/>
      <c r="AG169" s="49"/>
      <c r="AH169" s="49"/>
      <c r="AI169" s="49"/>
      <c r="AJ169" s="49"/>
      <c r="AK169" s="49"/>
      <c r="AL169" s="49"/>
      <c r="AM169" s="49"/>
      <c r="AN169" s="49"/>
      <c r="AO169" s="49"/>
    </row>
    <row r="170" spans="3:41" ht="12.75" customHeight="1">
      <c r="C170" s="49"/>
      <c r="D170" s="49"/>
      <c r="E170" s="49"/>
      <c r="F170" s="49"/>
      <c r="G170" s="49"/>
      <c r="H170" s="49"/>
      <c r="I170" s="49"/>
      <c r="J170" s="49"/>
      <c r="K170" s="49"/>
      <c r="L170" s="49"/>
      <c r="M170" s="49"/>
      <c r="S170" s="49"/>
      <c r="T170" s="49"/>
      <c r="U170" s="49"/>
      <c r="W170" s="49"/>
      <c r="X170" s="49"/>
      <c r="Y170" s="49"/>
      <c r="Z170" s="49"/>
      <c r="AA170" s="49"/>
      <c r="AB170" s="49"/>
      <c r="AC170" s="49"/>
      <c r="AD170" s="49"/>
      <c r="AE170" s="49"/>
      <c r="AF170" s="49"/>
      <c r="AG170" s="49"/>
      <c r="AH170" s="49"/>
      <c r="AI170" s="49"/>
      <c r="AJ170" s="49"/>
      <c r="AK170" s="49"/>
      <c r="AL170" s="49"/>
      <c r="AM170" s="49"/>
      <c r="AN170" s="49"/>
      <c r="AO170" s="49"/>
    </row>
    <row r="171" spans="3:41" ht="12.75" customHeight="1">
      <c r="C171" s="49"/>
      <c r="D171" s="49"/>
      <c r="E171" s="49"/>
      <c r="F171" s="49"/>
      <c r="G171" s="49"/>
      <c r="H171" s="49"/>
      <c r="I171" s="49"/>
      <c r="J171" s="49"/>
      <c r="K171" s="49"/>
      <c r="L171" s="49"/>
      <c r="M171" s="49"/>
      <c r="S171" s="49"/>
      <c r="T171" s="49"/>
      <c r="U171" s="49"/>
      <c r="W171" s="49"/>
      <c r="X171" s="49"/>
      <c r="Y171" s="49"/>
      <c r="Z171" s="49"/>
      <c r="AA171" s="49"/>
      <c r="AB171" s="49"/>
      <c r="AC171" s="49"/>
      <c r="AD171" s="49"/>
      <c r="AE171" s="49"/>
      <c r="AF171" s="49"/>
      <c r="AG171" s="49"/>
      <c r="AH171" s="49"/>
      <c r="AI171" s="49"/>
      <c r="AJ171" s="49"/>
      <c r="AK171" s="49"/>
      <c r="AL171" s="49"/>
      <c r="AM171" s="49"/>
      <c r="AN171" s="49"/>
      <c r="AO171" s="49"/>
    </row>
    <row r="172" spans="3:41" ht="12.75" customHeight="1">
      <c r="C172" s="49"/>
      <c r="D172" s="49"/>
      <c r="E172" s="49"/>
      <c r="F172" s="49"/>
      <c r="G172" s="49"/>
      <c r="H172" s="49"/>
      <c r="I172" s="49"/>
      <c r="J172" s="49"/>
      <c r="K172" s="49"/>
      <c r="L172" s="49"/>
      <c r="M172" s="49"/>
      <c r="S172" s="49"/>
      <c r="T172" s="49"/>
      <c r="U172" s="49"/>
      <c r="W172" s="49"/>
      <c r="X172" s="49"/>
      <c r="Y172" s="49"/>
      <c r="Z172" s="49"/>
      <c r="AA172" s="49"/>
      <c r="AB172" s="49"/>
      <c r="AC172" s="49"/>
      <c r="AD172" s="49"/>
      <c r="AE172" s="49"/>
      <c r="AF172" s="49"/>
      <c r="AG172" s="49"/>
      <c r="AH172" s="49"/>
      <c r="AI172" s="49"/>
      <c r="AJ172" s="49"/>
      <c r="AK172" s="49"/>
      <c r="AL172" s="49"/>
      <c r="AM172" s="49"/>
      <c r="AN172" s="49"/>
      <c r="AO172" s="49"/>
    </row>
    <row r="173" spans="3:41" ht="12.75" customHeight="1">
      <c r="C173" s="49"/>
      <c r="D173" s="49"/>
      <c r="E173" s="49"/>
      <c r="F173" s="49"/>
      <c r="G173" s="49"/>
      <c r="H173" s="49"/>
      <c r="I173" s="49"/>
      <c r="J173" s="49"/>
      <c r="K173" s="49"/>
      <c r="L173" s="49"/>
      <c r="M173" s="49"/>
      <c r="S173" s="49"/>
      <c r="T173" s="49"/>
      <c r="U173" s="49"/>
      <c r="W173" s="49"/>
      <c r="X173" s="49"/>
      <c r="Y173" s="49"/>
      <c r="Z173" s="49"/>
      <c r="AA173" s="49"/>
      <c r="AB173" s="49"/>
      <c r="AC173" s="49"/>
      <c r="AD173" s="49"/>
      <c r="AE173" s="49"/>
      <c r="AF173" s="49"/>
      <c r="AG173" s="49"/>
      <c r="AH173" s="49"/>
      <c r="AI173" s="49"/>
      <c r="AJ173" s="49"/>
      <c r="AK173" s="49"/>
      <c r="AL173" s="49"/>
      <c r="AM173" s="49"/>
      <c r="AN173" s="49"/>
      <c r="AO173" s="49"/>
    </row>
    <row r="174" spans="3:41" ht="12.75" customHeight="1">
      <c r="C174" s="49"/>
      <c r="D174" s="49"/>
      <c r="E174" s="49"/>
      <c r="F174" s="49"/>
      <c r="G174" s="49"/>
      <c r="H174" s="49"/>
      <c r="I174" s="49"/>
      <c r="J174" s="49"/>
      <c r="K174" s="49"/>
      <c r="L174" s="49"/>
      <c r="M174" s="49"/>
      <c r="S174" s="49"/>
      <c r="T174" s="49"/>
      <c r="U174" s="49"/>
      <c r="W174" s="49"/>
      <c r="X174" s="49"/>
      <c r="Y174" s="49"/>
      <c r="Z174" s="49"/>
      <c r="AA174" s="49"/>
      <c r="AB174" s="49"/>
      <c r="AC174" s="49"/>
      <c r="AD174" s="49"/>
      <c r="AE174" s="49"/>
      <c r="AF174" s="49"/>
      <c r="AG174" s="49"/>
      <c r="AH174" s="49"/>
      <c r="AI174" s="49"/>
      <c r="AJ174" s="49"/>
      <c r="AK174" s="49"/>
      <c r="AL174" s="49"/>
      <c r="AM174" s="49"/>
      <c r="AN174" s="49"/>
      <c r="AO174" s="49"/>
    </row>
    <row r="175" spans="3:41" ht="12.75" customHeight="1">
      <c r="C175" s="49"/>
      <c r="D175" s="49"/>
      <c r="E175" s="49"/>
      <c r="F175" s="49"/>
      <c r="G175" s="49"/>
      <c r="H175" s="49"/>
      <c r="I175" s="49"/>
      <c r="J175" s="49"/>
      <c r="K175" s="49"/>
      <c r="L175" s="49"/>
      <c r="M175" s="49"/>
      <c r="S175" s="49"/>
      <c r="T175" s="49"/>
      <c r="U175" s="49"/>
      <c r="W175" s="49"/>
      <c r="X175" s="49"/>
      <c r="Y175" s="49"/>
      <c r="Z175" s="49"/>
      <c r="AA175" s="49"/>
      <c r="AB175" s="49"/>
      <c r="AC175" s="49"/>
      <c r="AD175" s="49"/>
      <c r="AE175" s="49"/>
      <c r="AF175" s="49"/>
      <c r="AG175" s="49"/>
      <c r="AH175" s="49"/>
      <c r="AI175" s="49"/>
      <c r="AJ175" s="49"/>
      <c r="AK175" s="49"/>
      <c r="AL175" s="49"/>
      <c r="AM175" s="49"/>
      <c r="AN175" s="49"/>
      <c r="AO175" s="49"/>
    </row>
    <row r="176" spans="3:41" ht="12.75" customHeight="1">
      <c r="C176" s="49"/>
      <c r="D176" s="49"/>
      <c r="E176" s="49"/>
      <c r="F176" s="49"/>
      <c r="G176" s="49"/>
      <c r="H176" s="49"/>
      <c r="I176" s="49"/>
      <c r="J176" s="49"/>
      <c r="K176" s="49"/>
      <c r="L176" s="49"/>
      <c r="M176" s="49"/>
      <c r="S176" s="49"/>
      <c r="T176" s="49"/>
      <c r="U176" s="49"/>
      <c r="W176" s="49"/>
      <c r="X176" s="49"/>
      <c r="Y176" s="49"/>
      <c r="Z176" s="49"/>
      <c r="AA176" s="49"/>
      <c r="AB176" s="49"/>
      <c r="AC176" s="49"/>
      <c r="AD176" s="49"/>
      <c r="AE176" s="49"/>
      <c r="AF176" s="49"/>
      <c r="AG176" s="49"/>
      <c r="AH176" s="49"/>
      <c r="AI176" s="49"/>
      <c r="AJ176" s="49"/>
      <c r="AK176" s="49"/>
      <c r="AL176" s="49"/>
      <c r="AM176" s="49"/>
      <c r="AN176" s="49"/>
      <c r="AO176" s="49"/>
    </row>
    <row r="177" spans="3:41" ht="12.75" customHeight="1">
      <c r="C177" s="49"/>
      <c r="D177" s="49"/>
      <c r="E177" s="49"/>
      <c r="F177" s="49"/>
      <c r="G177" s="49"/>
      <c r="H177" s="49"/>
      <c r="I177" s="49"/>
      <c r="J177" s="49"/>
      <c r="K177" s="49"/>
      <c r="L177" s="49"/>
      <c r="M177" s="49"/>
      <c r="S177" s="49"/>
      <c r="T177" s="49"/>
      <c r="U177" s="49"/>
      <c r="W177" s="49"/>
      <c r="X177" s="49"/>
      <c r="Y177" s="49"/>
      <c r="Z177" s="49"/>
      <c r="AA177" s="49"/>
      <c r="AB177" s="49"/>
      <c r="AC177" s="49"/>
      <c r="AD177" s="49"/>
      <c r="AE177" s="49"/>
      <c r="AF177" s="49"/>
      <c r="AG177" s="49"/>
      <c r="AH177" s="49"/>
      <c r="AI177" s="49"/>
      <c r="AJ177" s="49"/>
      <c r="AK177" s="49"/>
      <c r="AL177" s="49"/>
      <c r="AM177" s="49"/>
      <c r="AN177" s="49"/>
      <c r="AO177" s="49"/>
    </row>
    <row r="178" spans="3:41" ht="12.75" customHeight="1">
      <c r="C178" s="49"/>
      <c r="D178" s="49"/>
      <c r="E178" s="49"/>
      <c r="F178" s="49"/>
      <c r="G178" s="49"/>
      <c r="H178" s="49"/>
      <c r="I178" s="49"/>
      <c r="J178" s="49"/>
      <c r="K178" s="49"/>
      <c r="L178" s="49"/>
      <c r="M178" s="49"/>
      <c r="S178" s="49"/>
      <c r="T178" s="49"/>
      <c r="U178" s="49"/>
      <c r="W178" s="49"/>
      <c r="X178" s="49"/>
      <c r="Y178" s="49"/>
      <c r="Z178" s="49"/>
      <c r="AA178" s="49"/>
      <c r="AB178" s="49"/>
      <c r="AC178" s="49"/>
      <c r="AD178" s="49"/>
      <c r="AE178" s="49"/>
      <c r="AF178" s="49"/>
      <c r="AG178" s="49"/>
      <c r="AH178" s="49"/>
      <c r="AI178" s="49"/>
      <c r="AJ178" s="49"/>
      <c r="AK178" s="49"/>
      <c r="AL178" s="49"/>
      <c r="AM178" s="49"/>
      <c r="AN178" s="49"/>
      <c r="AO178" s="49"/>
    </row>
    <row r="179" spans="3:41" ht="12.75" customHeight="1">
      <c r="C179" s="49"/>
      <c r="D179" s="49"/>
      <c r="E179" s="49"/>
      <c r="F179" s="49"/>
      <c r="G179" s="49"/>
      <c r="H179" s="49"/>
      <c r="I179" s="49"/>
      <c r="J179" s="49"/>
      <c r="K179" s="49"/>
      <c r="L179" s="49"/>
      <c r="M179" s="49"/>
      <c r="S179" s="49"/>
      <c r="T179" s="49"/>
      <c r="U179" s="49"/>
      <c r="W179" s="49"/>
      <c r="X179" s="49"/>
      <c r="Y179" s="49"/>
      <c r="Z179" s="49"/>
      <c r="AA179" s="49"/>
      <c r="AB179" s="49"/>
      <c r="AC179" s="49"/>
      <c r="AD179" s="49"/>
      <c r="AE179" s="49"/>
      <c r="AF179" s="49"/>
      <c r="AG179" s="49"/>
      <c r="AH179" s="49"/>
      <c r="AI179" s="49"/>
      <c r="AJ179" s="49"/>
      <c r="AK179" s="49"/>
      <c r="AL179" s="49"/>
      <c r="AM179" s="49"/>
      <c r="AN179" s="49"/>
      <c r="AO179" s="49"/>
    </row>
    <row r="180" spans="3:41" ht="12.75" customHeight="1">
      <c r="C180" s="49"/>
      <c r="D180" s="49"/>
      <c r="E180" s="49"/>
      <c r="F180" s="49"/>
      <c r="G180" s="49"/>
      <c r="H180" s="49"/>
      <c r="I180" s="49"/>
      <c r="J180" s="49"/>
      <c r="K180" s="49"/>
      <c r="L180" s="49"/>
      <c r="M180" s="49"/>
      <c r="S180" s="49"/>
      <c r="T180" s="49"/>
      <c r="U180" s="49"/>
      <c r="W180" s="49"/>
      <c r="X180" s="49"/>
      <c r="Y180" s="49"/>
      <c r="Z180" s="49"/>
      <c r="AA180" s="49"/>
      <c r="AB180" s="49"/>
      <c r="AC180" s="49"/>
      <c r="AD180" s="49"/>
      <c r="AE180" s="49"/>
      <c r="AF180" s="49"/>
      <c r="AG180" s="49"/>
      <c r="AH180" s="49"/>
      <c r="AI180" s="49"/>
      <c r="AJ180" s="49"/>
      <c r="AK180" s="49"/>
      <c r="AL180" s="49"/>
      <c r="AM180" s="49"/>
      <c r="AN180" s="49"/>
      <c r="AO180" s="49"/>
    </row>
    <row r="181" spans="3:41" ht="12.75" customHeight="1">
      <c r="C181" s="49"/>
      <c r="D181" s="49"/>
      <c r="E181" s="49"/>
      <c r="F181" s="49"/>
      <c r="G181" s="49"/>
      <c r="H181" s="49"/>
      <c r="I181" s="49"/>
      <c r="J181" s="49"/>
      <c r="K181" s="49"/>
      <c r="L181" s="49"/>
      <c r="M181" s="49"/>
      <c r="S181" s="49"/>
      <c r="T181" s="49"/>
      <c r="U181" s="49"/>
      <c r="W181" s="49"/>
      <c r="X181" s="49"/>
      <c r="Y181" s="49"/>
      <c r="Z181" s="49"/>
      <c r="AA181" s="49"/>
      <c r="AB181" s="49"/>
      <c r="AC181" s="49"/>
      <c r="AD181" s="49"/>
      <c r="AE181" s="49"/>
      <c r="AF181" s="49"/>
      <c r="AG181" s="49"/>
      <c r="AH181" s="49"/>
      <c r="AI181" s="49"/>
      <c r="AJ181" s="49"/>
      <c r="AK181" s="49"/>
      <c r="AL181" s="49"/>
      <c r="AM181" s="49"/>
      <c r="AN181" s="49"/>
      <c r="AO181" s="49"/>
    </row>
    <row r="182" spans="3:41" ht="12.75" customHeight="1">
      <c r="C182" s="49"/>
      <c r="D182" s="49"/>
      <c r="E182" s="49"/>
      <c r="F182" s="49"/>
      <c r="G182" s="49"/>
      <c r="H182" s="49"/>
      <c r="I182" s="49"/>
      <c r="J182" s="49"/>
      <c r="K182" s="49"/>
      <c r="L182" s="49"/>
      <c r="M182" s="49"/>
      <c r="S182" s="49"/>
      <c r="T182" s="49"/>
      <c r="U182" s="49"/>
      <c r="W182" s="49"/>
      <c r="X182" s="49"/>
      <c r="Y182" s="49"/>
      <c r="Z182" s="49"/>
      <c r="AA182" s="49"/>
      <c r="AB182" s="49"/>
      <c r="AC182" s="49"/>
      <c r="AD182" s="49"/>
      <c r="AE182" s="49"/>
      <c r="AF182" s="49"/>
      <c r="AG182" s="49"/>
      <c r="AH182" s="49"/>
      <c r="AI182" s="49"/>
      <c r="AJ182" s="49"/>
      <c r="AK182" s="49"/>
      <c r="AL182" s="49"/>
      <c r="AM182" s="49"/>
      <c r="AN182" s="49"/>
      <c r="AO182" s="49"/>
    </row>
    <row r="183" spans="3:41" ht="12.75" customHeight="1">
      <c r="C183" s="49"/>
      <c r="D183" s="49"/>
      <c r="E183" s="49"/>
      <c r="F183" s="49"/>
      <c r="G183" s="49"/>
      <c r="H183" s="49"/>
      <c r="I183" s="49"/>
      <c r="J183" s="49"/>
      <c r="K183" s="49"/>
      <c r="L183" s="49"/>
      <c r="M183" s="49"/>
      <c r="S183" s="49"/>
      <c r="T183" s="49"/>
      <c r="U183" s="49"/>
      <c r="W183" s="49"/>
      <c r="X183" s="49"/>
      <c r="Y183" s="49"/>
      <c r="Z183" s="49"/>
      <c r="AA183" s="49"/>
      <c r="AB183" s="49"/>
      <c r="AC183" s="49"/>
      <c r="AD183" s="49"/>
      <c r="AE183" s="49"/>
      <c r="AF183" s="49"/>
      <c r="AG183" s="49"/>
      <c r="AH183" s="49"/>
      <c r="AI183" s="49"/>
      <c r="AJ183" s="49"/>
      <c r="AK183" s="49"/>
      <c r="AL183" s="49"/>
      <c r="AM183" s="49"/>
      <c r="AN183" s="49"/>
      <c r="AO183" s="49"/>
    </row>
    <row r="184" spans="3:41" ht="12.75" customHeight="1">
      <c r="C184" s="49"/>
      <c r="D184" s="49"/>
      <c r="E184" s="49"/>
      <c r="F184" s="49"/>
      <c r="G184" s="49"/>
      <c r="H184" s="49"/>
      <c r="I184" s="49"/>
      <c r="J184" s="49"/>
      <c r="K184" s="49"/>
      <c r="L184" s="49"/>
      <c r="M184" s="49"/>
      <c r="S184" s="49"/>
      <c r="T184" s="49"/>
      <c r="U184" s="49"/>
      <c r="W184" s="49"/>
      <c r="X184" s="49"/>
      <c r="Y184" s="49"/>
      <c r="Z184" s="49"/>
      <c r="AA184" s="49"/>
      <c r="AB184" s="49"/>
      <c r="AC184" s="49"/>
      <c r="AD184" s="49"/>
      <c r="AE184" s="49"/>
      <c r="AF184" s="49"/>
      <c r="AG184" s="49"/>
      <c r="AH184" s="49"/>
      <c r="AI184" s="49"/>
      <c r="AJ184" s="49"/>
      <c r="AK184" s="49"/>
      <c r="AL184" s="49"/>
      <c r="AM184" s="49"/>
      <c r="AN184" s="49"/>
      <c r="AO184" s="49"/>
    </row>
    <row r="185" spans="3:41" ht="12.75" customHeight="1">
      <c r="C185" s="49"/>
      <c r="D185" s="49"/>
      <c r="E185" s="49"/>
      <c r="F185" s="49"/>
      <c r="G185" s="49"/>
      <c r="H185" s="49"/>
      <c r="I185" s="49"/>
      <c r="J185" s="49"/>
      <c r="K185" s="49"/>
      <c r="L185" s="49"/>
      <c r="M185" s="49"/>
      <c r="S185" s="49"/>
      <c r="T185" s="49"/>
      <c r="U185" s="49"/>
      <c r="W185" s="49"/>
      <c r="X185" s="49"/>
      <c r="Y185" s="49"/>
      <c r="Z185" s="49"/>
      <c r="AA185" s="49"/>
      <c r="AB185" s="49"/>
      <c r="AC185" s="49"/>
      <c r="AD185" s="49"/>
      <c r="AE185" s="49"/>
      <c r="AF185" s="49"/>
      <c r="AG185" s="49"/>
      <c r="AH185" s="49"/>
      <c r="AI185" s="49"/>
      <c r="AJ185" s="49"/>
      <c r="AK185" s="49"/>
      <c r="AL185" s="49"/>
      <c r="AM185" s="49"/>
      <c r="AN185" s="49"/>
      <c r="AO185" s="49"/>
    </row>
    <row r="186" spans="3:41" ht="12.75" customHeight="1">
      <c r="C186" s="49"/>
      <c r="D186" s="49"/>
      <c r="E186" s="49"/>
      <c r="F186" s="49"/>
      <c r="G186" s="49"/>
      <c r="H186" s="49"/>
      <c r="I186" s="49"/>
      <c r="J186" s="49"/>
      <c r="K186" s="49"/>
      <c r="L186" s="49"/>
      <c r="M186" s="49"/>
      <c r="S186" s="49"/>
      <c r="T186" s="49"/>
      <c r="U186" s="49"/>
      <c r="W186" s="49"/>
      <c r="X186" s="49"/>
      <c r="Y186" s="49"/>
      <c r="Z186" s="49"/>
      <c r="AA186" s="49"/>
      <c r="AB186" s="49"/>
      <c r="AC186" s="49"/>
      <c r="AD186" s="49"/>
      <c r="AE186" s="49"/>
      <c r="AF186" s="49"/>
      <c r="AG186" s="49"/>
      <c r="AH186" s="49"/>
      <c r="AI186" s="49"/>
      <c r="AJ186" s="49"/>
      <c r="AK186" s="49"/>
      <c r="AL186" s="49"/>
      <c r="AM186" s="49"/>
      <c r="AN186" s="49"/>
      <c r="AO186" s="49"/>
    </row>
    <row r="187" spans="3:41" ht="12.75" customHeight="1">
      <c r="C187" s="49"/>
      <c r="D187" s="49"/>
      <c r="E187" s="49"/>
      <c r="F187" s="49"/>
      <c r="G187" s="49"/>
      <c r="H187" s="49"/>
      <c r="I187" s="49"/>
      <c r="J187" s="49"/>
      <c r="K187" s="49"/>
      <c r="L187" s="49"/>
      <c r="M187" s="49"/>
      <c r="S187" s="49"/>
      <c r="T187" s="49"/>
      <c r="U187" s="49"/>
      <c r="W187" s="49"/>
      <c r="X187" s="49"/>
      <c r="Y187" s="49"/>
      <c r="Z187" s="49"/>
      <c r="AA187" s="49"/>
      <c r="AB187" s="49"/>
      <c r="AC187" s="49"/>
      <c r="AD187" s="49"/>
      <c r="AE187" s="49"/>
      <c r="AF187" s="49"/>
      <c r="AG187" s="49"/>
      <c r="AH187" s="49"/>
      <c r="AI187" s="49"/>
      <c r="AJ187" s="49"/>
      <c r="AK187" s="49"/>
      <c r="AL187" s="49"/>
      <c r="AM187" s="49"/>
      <c r="AN187" s="49"/>
      <c r="AO187" s="49"/>
    </row>
    <row r="188" spans="3:41" ht="12.75" customHeight="1">
      <c r="C188" s="49"/>
      <c r="D188" s="49"/>
      <c r="E188" s="49"/>
      <c r="F188" s="49"/>
      <c r="G188" s="49"/>
      <c r="H188" s="49"/>
      <c r="I188" s="49"/>
      <c r="J188" s="49"/>
      <c r="K188" s="49"/>
      <c r="L188" s="49"/>
      <c r="M188" s="49"/>
      <c r="S188" s="49"/>
      <c r="T188" s="49"/>
      <c r="U188" s="49"/>
      <c r="W188" s="49"/>
      <c r="X188" s="49"/>
      <c r="Y188" s="49"/>
      <c r="Z188" s="49"/>
      <c r="AA188" s="49"/>
      <c r="AB188" s="49"/>
      <c r="AC188" s="49"/>
      <c r="AD188" s="49"/>
      <c r="AE188" s="49"/>
      <c r="AF188" s="49"/>
      <c r="AG188" s="49"/>
      <c r="AH188" s="49"/>
      <c r="AI188" s="49"/>
      <c r="AJ188" s="49"/>
      <c r="AK188" s="49"/>
      <c r="AL188" s="49"/>
      <c r="AM188" s="49"/>
      <c r="AN188" s="49"/>
      <c r="AO188" s="49"/>
    </row>
    <row r="189" spans="3:41" ht="12.75" customHeight="1">
      <c r="C189" s="49"/>
      <c r="D189" s="49"/>
      <c r="E189" s="49"/>
      <c r="F189" s="49"/>
      <c r="G189" s="49"/>
      <c r="H189" s="49"/>
      <c r="I189" s="49"/>
      <c r="J189" s="49"/>
      <c r="K189" s="49"/>
      <c r="L189" s="49"/>
      <c r="M189" s="49"/>
      <c r="S189" s="49"/>
      <c r="T189" s="49"/>
      <c r="U189" s="49"/>
      <c r="W189" s="49"/>
      <c r="X189" s="49"/>
      <c r="Y189" s="49"/>
      <c r="Z189" s="49"/>
      <c r="AA189" s="49"/>
      <c r="AB189" s="49"/>
      <c r="AC189" s="49"/>
      <c r="AD189" s="49"/>
      <c r="AE189" s="49"/>
      <c r="AF189" s="49"/>
      <c r="AG189" s="49"/>
      <c r="AH189" s="49"/>
      <c r="AI189" s="49"/>
      <c r="AJ189" s="49"/>
      <c r="AK189" s="49"/>
      <c r="AL189" s="49"/>
      <c r="AM189" s="49"/>
      <c r="AN189" s="49"/>
      <c r="AO189" s="49"/>
    </row>
    <row r="190" spans="3:41" ht="12.75" customHeight="1">
      <c r="C190" s="49"/>
      <c r="D190" s="49"/>
      <c r="E190" s="49"/>
      <c r="F190" s="49"/>
      <c r="G190" s="49"/>
      <c r="H190" s="49"/>
      <c r="I190" s="49"/>
      <c r="J190" s="49"/>
      <c r="K190" s="49"/>
      <c r="L190" s="49"/>
      <c r="M190" s="49"/>
      <c r="S190" s="49"/>
      <c r="T190" s="49"/>
      <c r="U190" s="49"/>
      <c r="W190" s="49"/>
      <c r="X190" s="49"/>
      <c r="Y190" s="49"/>
      <c r="Z190" s="49"/>
      <c r="AA190" s="49"/>
      <c r="AB190" s="49"/>
      <c r="AC190" s="49"/>
      <c r="AD190" s="49"/>
      <c r="AE190" s="49"/>
      <c r="AF190" s="49"/>
      <c r="AG190" s="49"/>
      <c r="AH190" s="49"/>
      <c r="AI190" s="49"/>
      <c r="AJ190" s="49"/>
      <c r="AK190" s="49"/>
      <c r="AL190" s="49"/>
      <c r="AM190" s="49"/>
      <c r="AN190" s="49"/>
      <c r="AO190" s="49"/>
    </row>
    <row r="191" spans="3:41" ht="12.75" customHeight="1">
      <c r="C191" s="49"/>
      <c r="D191" s="49"/>
      <c r="E191" s="49"/>
      <c r="F191" s="49"/>
      <c r="G191" s="49"/>
      <c r="H191" s="49"/>
      <c r="I191" s="49"/>
      <c r="J191" s="49"/>
      <c r="K191" s="49"/>
      <c r="L191" s="49"/>
      <c r="M191" s="49"/>
      <c r="S191" s="49"/>
      <c r="T191" s="49"/>
      <c r="U191" s="49"/>
      <c r="W191" s="49"/>
      <c r="X191" s="49"/>
      <c r="Y191" s="49"/>
      <c r="Z191" s="49"/>
      <c r="AA191" s="49"/>
      <c r="AB191" s="49"/>
      <c r="AC191" s="49"/>
      <c r="AD191" s="49"/>
      <c r="AE191" s="49"/>
      <c r="AF191" s="49"/>
      <c r="AG191" s="49"/>
      <c r="AH191" s="49"/>
      <c r="AI191" s="49"/>
      <c r="AJ191" s="49"/>
      <c r="AK191" s="49"/>
      <c r="AL191" s="49"/>
      <c r="AM191" s="49"/>
      <c r="AN191" s="49"/>
      <c r="AO191" s="49"/>
    </row>
    <row r="192" spans="3:41" ht="12.75" customHeight="1">
      <c r="C192" s="49"/>
      <c r="D192" s="49"/>
      <c r="E192" s="49"/>
      <c r="F192" s="49"/>
      <c r="G192" s="49"/>
      <c r="H192" s="49"/>
      <c r="I192" s="49"/>
      <c r="J192" s="49"/>
      <c r="K192" s="49"/>
      <c r="L192" s="49"/>
      <c r="M192" s="49"/>
      <c r="S192" s="49"/>
      <c r="T192" s="49"/>
      <c r="U192" s="49"/>
      <c r="W192" s="49"/>
      <c r="X192" s="49"/>
      <c r="Y192" s="49"/>
      <c r="Z192" s="49"/>
      <c r="AA192" s="49"/>
      <c r="AB192" s="49"/>
      <c r="AC192" s="49"/>
      <c r="AD192" s="49"/>
      <c r="AE192" s="49"/>
      <c r="AF192" s="49"/>
      <c r="AG192" s="49"/>
      <c r="AH192" s="49"/>
      <c r="AI192" s="49"/>
      <c r="AJ192" s="49"/>
      <c r="AK192" s="49"/>
      <c r="AL192" s="49"/>
      <c r="AM192" s="49"/>
      <c r="AN192" s="49"/>
      <c r="AO192" s="49"/>
    </row>
    <row r="193" spans="3:41" ht="12.75" customHeight="1">
      <c r="C193" s="49"/>
      <c r="D193" s="49"/>
      <c r="E193" s="49"/>
      <c r="F193" s="49"/>
      <c r="G193" s="49"/>
      <c r="H193" s="49"/>
      <c r="I193" s="49"/>
      <c r="J193" s="49"/>
      <c r="K193" s="49"/>
      <c r="L193" s="49"/>
      <c r="M193" s="49"/>
      <c r="S193" s="49"/>
      <c r="T193" s="49"/>
      <c r="U193" s="49"/>
      <c r="W193" s="49"/>
      <c r="X193" s="49"/>
      <c r="Y193" s="49"/>
      <c r="Z193" s="49"/>
      <c r="AA193" s="49"/>
      <c r="AB193" s="49"/>
      <c r="AC193" s="49"/>
      <c r="AD193" s="49"/>
      <c r="AE193" s="49"/>
      <c r="AF193" s="49"/>
      <c r="AG193" s="49"/>
      <c r="AH193" s="49"/>
      <c r="AI193" s="49"/>
      <c r="AJ193" s="49"/>
      <c r="AK193" s="49"/>
      <c r="AL193" s="49"/>
      <c r="AM193" s="49"/>
      <c r="AN193" s="49"/>
      <c r="AO193" s="49"/>
    </row>
    <row r="194" spans="3:41" ht="12.75" customHeight="1">
      <c r="C194" s="49"/>
      <c r="D194" s="49"/>
      <c r="E194" s="49"/>
      <c r="F194" s="49"/>
      <c r="G194" s="49"/>
      <c r="H194" s="49"/>
      <c r="I194" s="49"/>
      <c r="J194" s="49"/>
      <c r="K194" s="49"/>
      <c r="L194" s="49"/>
      <c r="M194" s="49"/>
      <c r="S194" s="49"/>
      <c r="T194" s="49"/>
      <c r="U194" s="49"/>
      <c r="W194" s="49"/>
      <c r="X194" s="49"/>
      <c r="Y194" s="49"/>
      <c r="Z194" s="49"/>
      <c r="AA194" s="49"/>
      <c r="AB194" s="49"/>
      <c r="AC194" s="49"/>
      <c r="AD194" s="49"/>
      <c r="AE194" s="49"/>
      <c r="AF194" s="49"/>
      <c r="AG194" s="49"/>
      <c r="AH194" s="49"/>
      <c r="AI194" s="49"/>
      <c r="AJ194" s="49"/>
      <c r="AK194" s="49"/>
      <c r="AL194" s="49"/>
      <c r="AM194" s="49"/>
      <c r="AN194" s="49"/>
      <c r="AO194" s="49"/>
    </row>
    <row r="195" spans="3:41" ht="12.75" customHeight="1">
      <c r="C195" s="49"/>
      <c r="D195" s="49"/>
      <c r="E195" s="49"/>
      <c r="F195" s="49"/>
      <c r="G195" s="49"/>
      <c r="H195" s="49"/>
      <c r="I195" s="49"/>
      <c r="J195" s="49"/>
      <c r="K195" s="49"/>
      <c r="L195" s="49"/>
      <c r="M195" s="49"/>
      <c r="S195" s="49"/>
      <c r="T195" s="49"/>
      <c r="U195" s="49"/>
      <c r="W195" s="49"/>
      <c r="X195" s="49"/>
      <c r="Y195" s="49"/>
      <c r="Z195" s="49"/>
      <c r="AA195" s="49"/>
      <c r="AB195" s="49"/>
      <c r="AC195" s="49"/>
      <c r="AD195" s="49"/>
      <c r="AE195" s="49"/>
      <c r="AF195" s="49"/>
      <c r="AG195" s="49"/>
      <c r="AH195" s="49"/>
      <c r="AI195" s="49"/>
      <c r="AJ195" s="49"/>
      <c r="AK195" s="49"/>
      <c r="AL195" s="49"/>
      <c r="AM195" s="49"/>
      <c r="AN195" s="49"/>
      <c r="AO195" s="49"/>
    </row>
    <row r="196" spans="3:41" ht="12.75" customHeight="1">
      <c r="C196" s="49"/>
      <c r="D196" s="49"/>
      <c r="E196" s="49"/>
      <c r="F196" s="49"/>
      <c r="G196" s="49"/>
      <c r="H196" s="49"/>
      <c r="I196" s="49"/>
      <c r="J196" s="49"/>
      <c r="K196" s="49"/>
      <c r="L196" s="49"/>
      <c r="M196" s="49"/>
      <c r="S196" s="49"/>
      <c r="T196" s="49"/>
      <c r="U196" s="49"/>
      <c r="W196" s="49"/>
      <c r="X196" s="49"/>
      <c r="Y196" s="49"/>
      <c r="Z196" s="49"/>
      <c r="AA196" s="49"/>
      <c r="AB196" s="49"/>
      <c r="AC196" s="49"/>
      <c r="AD196" s="49"/>
      <c r="AE196" s="49"/>
      <c r="AF196" s="49"/>
      <c r="AG196" s="49"/>
      <c r="AH196" s="49"/>
      <c r="AI196" s="49"/>
      <c r="AJ196" s="49"/>
      <c r="AK196" s="49"/>
      <c r="AL196" s="49"/>
      <c r="AM196" s="49"/>
      <c r="AN196" s="49"/>
      <c r="AO196" s="49"/>
    </row>
    <row r="197" spans="3:41" ht="12.75" customHeight="1">
      <c r="C197" s="49"/>
      <c r="D197" s="49"/>
      <c r="E197" s="49"/>
      <c r="F197" s="49"/>
      <c r="G197" s="49"/>
      <c r="H197" s="49"/>
      <c r="I197" s="49"/>
      <c r="J197" s="49"/>
      <c r="K197" s="49"/>
      <c r="L197" s="49"/>
      <c r="M197" s="49"/>
      <c r="S197" s="49"/>
      <c r="T197" s="49"/>
      <c r="U197" s="49"/>
      <c r="W197" s="49"/>
      <c r="X197" s="49"/>
      <c r="Y197" s="49"/>
      <c r="Z197" s="49"/>
      <c r="AA197" s="49"/>
      <c r="AB197" s="49"/>
      <c r="AC197" s="49"/>
      <c r="AD197" s="49"/>
      <c r="AE197" s="49"/>
      <c r="AF197" s="49"/>
      <c r="AG197" s="49"/>
      <c r="AH197" s="49"/>
      <c r="AI197" s="49"/>
      <c r="AJ197" s="49"/>
      <c r="AK197" s="49"/>
      <c r="AL197" s="49"/>
      <c r="AM197" s="49"/>
      <c r="AN197" s="49"/>
      <c r="AO197" s="49"/>
    </row>
    <row r="198" spans="3:41" ht="12.75" customHeight="1">
      <c r="C198" s="49"/>
      <c r="D198" s="49"/>
      <c r="E198" s="49"/>
      <c r="F198" s="49"/>
      <c r="G198" s="49"/>
      <c r="H198" s="49"/>
      <c r="I198" s="49"/>
      <c r="J198" s="49"/>
      <c r="K198" s="49"/>
      <c r="L198" s="49"/>
      <c r="M198" s="49"/>
      <c r="S198" s="49"/>
      <c r="T198" s="49"/>
      <c r="U198" s="49"/>
      <c r="W198" s="49"/>
      <c r="X198" s="49"/>
      <c r="Y198" s="49"/>
      <c r="Z198" s="49"/>
      <c r="AA198" s="49"/>
      <c r="AB198" s="49"/>
      <c r="AC198" s="49"/>
      <c r="AD198" s="49"/>
      <c r="AE198" s="49"/>
      <c r="AF198" s="49"/>
      <c r="AG198" s="49"/>
      <c r="AH198" s="49"/>
      <c r="AI198" s="49"/>
      <c r="AJ198" s="49"/>
      <c r="AK198" s="49"/>
      <c r="AL198" s="49"/>
      <c r="AM198" s="49"/>
      <c r="AN198" s="49"/>
      <c r="AO198" s="49"/>
    </row>
    <row r="199" spans="3:41" ht="12.75" customHeight="1">
      <c r="C199" s="49"/>
      <c r="D199" s="49"/>
      <c r="E199" s="49"/>
      <c r="F199" s="49"/>
      <c r="G199" s="49"/>
      <c r="H199" s="49"/>
      <c r="I199" s="49"/>
      <c r="J199" s="49"/>
      <c r="K199" s="49"/>
      <c r="L199" s="49"/>
      <c r="M199" s="49"/>
      <c r="S199" s="49"/>
      <c r="T199" s="49"/>
      <c r="U199" s="49"/>
      <c r="W199" s="49"/>
      <c r="X199" s="49"/>
      <c r="Y199" s="49"/>
      <c r="Z199" s="49"/>
      <c r="AA199" s="49"/>
      <c r="AB199" s="49"/>
      <c r="AC199" s="49"/>
      <c r="AD199" s="49"/>
      <c r="AE199" s="49"/>
      <c r="AF199" s="49"/>
      <c r="AG199" s="49"/>
      <c r="AH199" s="49"/>
      <c r="AI199" s="49"/>
      <c r="AJ199" s="49"/>
      <c r="AK199" s="49"/>
      <c r="AL199" s="49"/>
      <c r="AM199" s="49"/>
      <c r="AN199" s="49"/>
      <c r="AO199" s="49"/>
    </row>
    <row r="200" spans="3:41" ht="12.75" customHeight="1">
      <c r="C200" s="49"/>
      <c r="D200" s="49"/>
      <c r="E200" s="49"/>
      <c r="F200" s="49"/>
      <c r="G200" s="49"/>
      <c r="H200" s="49"/>
      <c r="I200" s="49"/>
      <c r="J200" s="49"/>
      <c r="K200" s="49"/>
      <c r="L200" s="49"/>
      <c r="M200" s="49"/>
      <c r="S200" s="49"/>
      <c r="T200" s="49"/>
      <c r="U200" s="49"/>
      <c r="W200" s="49"/>
      <c r="X200" s="49"/>
      <c r="Y200" s="49"/>
      <c r="Z200" s="49"/>
      <c r="AA200" s="49"/>
      <c r="AB200" s="49"/>
      <c r="AC200" s="49"/>
      <c r="AD200" s="49"/>
      <c r="AE200" s="49"/>
      <c r="AF200" s="49"/>
      <c r="AG200" s="49"/>
      <c r="AH200" s="49"/>
      <c r="AI200" s="49"/>
      <c r="AJ200" s="49"/>
      <c r="AK200" s="49"/>
      <c r="AL200" s="49"/>
      <c r="AM200" s="49"/>
      <c r="AN200" s="49"/>
      <c r="AO200" s="49"/>
    </row>
    <row r="201" spans="3:41" ht="12.75" customHeight="1">
      <c r="C201" s="49"/>
      <c r="D201" s="49"/>
      <c r="E201" s="49"/>
      <c r="F201" s="49"/>
      <c r="G201" s="49"/>
      <c r="H201" s="49"/>
      <c r="I201" s="49"/>
      <c r="J201" s="49"/>
      <c r="K201" s="49"/>
      <c r="L201" s="49"/>
      <c r="M201" s="49"/>
      <c r="S201" s="49"/>
      <c r="T201" s="49"/>
      <c r="U201" s="49"/>
      <c r="W201" s="49"/>
      <c r="X201" s="49"/>
      <c r="Y201" s="49"/>
      <c r="Z201" s="49"/>
      <c r="AA201" s="49"/>
      <c r="AB201" s="49"/>
      <c r="AC201" s="49"/>
      <c r="AD201" s="49"/>
      <c r="AE201" s="49"/>
      <c r="AF201" s="49"/>
      <c r="AG201" s="49"/>
      <c r="AH201" s="49"/>
      <c r="AI201" s="49"/>
      <c r="AJ201" s="49"/>
      <c r="AK201" s="49"/>
      <c r="AL201" s="49"/>
      <c r="AM201" s="49"/>
      <c r="AN201" s="49"/>
      <c r="AO201" s="49"/>
    </row>
    <row r="202" spans="3:41" ht="12.75" customHeight="1">
      <c r="C202" s="49"/>
      <c r="D202" s="49"/>
      <c r="E202" s="49"/>
      <c r="F202" s="49"/>
      <c r="G202" s="49"/>
      <c r="H202" s="49"/>
      <c r="I202" s="49"/>
      <c r="J202" s="49"/>
      <c r="K202" s="49"/>
      <c r="L202" s="49"/>
      <c r="M202" s="49"/>
      <c r="S202" s="49"/>
      <c r="T202" s="49"/>
      <c r="U202" s="49"/>
      <c r="W202" s="49"/>
      <c r="X202" s="49"/>
      <c r="Y202" s="49"/>
      <c r="Z202" s="49"/>
      <c r="AA202" s="49"/>
      <c r="AB202" s="49"/>
      <c r="AC202" s="49"/>
      <c r="AD202" s="49"/>
      <c r="AE202" s="49"/>
      <c r="AF202" s="49"/>
      <c r="AG202" s="49"/>
      <c r="AH202" s="49"/>
      <c r="AI202" s="49"/>
      <c r="AJ202" s="49"/>
      <c r="AK202" s="49"/>
      <c r="AL202" s="49"/>
      <c r="AM202" s="49"/>
      <c r="AN202" s="49"/>
      <c r="AO202" s="49"/>
    </row>
    <row r="203" spans="3:41" ht="12.75" customHeight="1">
      <c r="C203" s="49"/>
      <c r="D203" s="49"/>
      <c r="E203" s="49"/>
      <c r="F203" s="49"/>
      <c r="G203" s="49"/>
      <c r="H203" s="49"/>
      <c r="I203" s="49"/>
      <c r="J203" s="49"/>
      <c r="K203" s="49"/>
      <c r="L203" s="49"/>
      <c r="M203" s="49"/>
      <c r="S203" s="49"/>
      <c r="T203" s="49"/>
      <c r="U203" s="49"/>
      <c r="W203" s="49"/>
      <c r="X203" s="49"/>
      <c r="Y203" s="49"/>
      <c r="Z203" s="49"/>
      <c r="AA203" s="49"/>
      <c r="AB203" s="49"/>
      <c r="AC203" s="49"/>
      <c r="AD203" s="49"/>
      <c r="AE203" s="49"/>
      <c r="AF203" s="49"/>
      <c r="AG203" s="49"/>
      <c r="AH203" s="49"/>
      <c r="AI203" s="49"/>
      <c r="AJ203" s="49"/>
      <c r="AK203" s="49"/>
      <c r="AL203" s="49"/>
      <c r="AM203" s="49"/>
      <c r="AN203" s="49"/>
      <c r="AO203" s="49"/>
    </row>
    <row r="204" spans="3:41" ht="12.75" customHeight="1">
      <c r="C204" s="49"/>
      <c r="D204" s="49"/>
      <c r="E204" s="49"/>
      <c r="F204" s="49"/>
      <c r="G204" s="49"/>
      <c r="H204" s="49"/>
      <c r="I204" s="49"/>
      <c r="J204" s="49"/>
      <c r="K204" s="49"/>
      <c r="L204" s="49"/>
      <c r="M204" s="49"/>
      <c r="S204" s="49"/>
      <c r="T204" s="49"/>
      <c r="U204" s="49"/>
      <c r="W204" s="49"/>
      <c r="X204" s="49"/>
      <c r="Y204" s="49"/>
      <c r="Z204" s="49"/>
      <c r="AA204" s="49"/>
      <c r="AB204" s="49"/>
      <c r="AC204" s="49"/>
      <c r="AD204" s="49"/>
      <c r="AE204" s="49"/>
      <c r="AF204" s="49"/>
      <c r="AG204" s="49"/>
      <c r="AH204" s="49"/>
      <c r="AI204" s="49"/>
      <c r="AJ204" s="49"/>
      <c r="AK204" s="49"/>
      <c r="AL204" s="49"/>
      <c r="AM204" s="49"/>
      <c r="AN204" s="49"/>
      <c r="AO204" s="49"/>
    </row>
    <row r="205" spans="3:41" ht="12.75" customHeight="1">
      <c r="C205" s="49"/>
      <c r="D205" s="49"/>
      <c r="E205" s="49"/>
      <c r="F205" s="49"/>
      <c r="G205" s="49"/>
      <c r="H205" s="49"/>
      <c r="I205" s="49"/>
      <c r="J205" s="49"/>
      <c r="K205" s="49"/>
      <c r="L205" s="49"/>
      <c r="M205" s="49"/>
      <c r="S205" s="49"/>
      <c r="T205" s="49"/>
      <c r="U205" s="49"/>
      <c r="W205" s="49"/>
      <c r="X205" s="49"/>
      <c r="Y205" s="49"/>
      <c r="Z205" s="49"/>
      <c r="AA205" s="49"/>
      <c r="AB205" s="49"/>
      <c r="AC205" s="49"/>
      <c r="AD205" s="49"/>
      <c r="AE205" s="49"/>
      <c r="AF205" s="49"/>
      <c r="AG205" s="49"/>
      <c r="AH205" s="49"/>
      <c r="AI205" s="49"/>
      <c r="AJ205" s="49"/>
      <c r="AK205" s="49"/>
      <c r="AL205" s="49"/>
      <c r="AM205" s="49"/>
      <c r="AN205" s="49"/>
      <c r="AO205" s="49"/>
    </row>
    <row r="206" spans="3:41" ht="12.75" customHeight="1">
      <c r="C206" s="49"/>
      <c r="D206" s="49"/>
      <c r="E206" s="49"/>
      <c r="F206" s="49"/>
      <c r="G206" s="49"/>
      <c r="H206" s="49"/>
      <c r="I206" s="49"/>
      <c r="J206" s="49"/>
      <c r="K206" s="49"/>
      <c r="L206" s="49"/>
      <c r="M206" s="49"/>
      <c r="S206" s="49"/>
      <c r="T206" s="49"/>
      <c r="U206" s="49"/>
      <c r="W206" s="49"/>
      <c r="X206" s="49"/>
      <c r="Y206" s="49"/>
      <c r="Z206" s="49"/>
      <c r="AA206" s="49"/>
      <c r="AB206" s="49"/>
      <c r="AC206" s="49"/>
      <c r="AD206" s="49"/>
      <c r="AE206" s="49"/>
      <c r="AF206" s="49"/>
      <c r="AG206" s="49"/>
      <c r="AH206" s="49"/>
      <c r="AI206" s="49"/>
      <c r="AJ206" s="49"/>
      <c r="AK206" s="49"/>
      <c r="AL206" s="49"/>
      <c r="AM206" s="49"/>
      <c r="AN206" s="49"/>
      <c r="AO206" s="49"/>
    </row>
    <row r="207" spans="3:41" ht="12.75" customHeight="1">
      <c r="C207" s="49"/>
      <c r="D207" s="49"/>
      <c r="E207" s="49"/>
      <c r="F207" s="49"/>
      <c r="G207" s="49"/>
      <c r="H207" s="49"/>
      <c r="I207" s="49"/>
      <c r="J207" s="49"/>
      <c r="K207" s="49"/>
      <c r="L207" s="49"/>
      <c r="M207" s="49"/>
      <c r="S207" s="49"/>
      <c r="T207" s="49"/>
      <c r="U207" s="49"/>
      <c r="W207" s="49"/>
      <c r="X207" s="49"/>
      <c r="Y207" s="49"/>
      <c r="Z207" s="49"/>
      <c r="AA207" s="49"/>
      <c r="AB207" s="49"/>
      <c r="AC207" s="49"/>
      <c r="AD207" s="49"/>
      <c r="AE207" s="49"/>
      <c r="AF207" s="49"/>
      <c r="AG207" s="49"/>
      <c r="AH207" s="49"/>
      <c r="AI207" s="49"/>
      <c r="AJ207" s="49"/>
      <c r="AK207" s="49"/>
      <c r="AL207" s="49"/>
      <c r="AM207" s="49"/>
      <c r="AN207" s="49"/>
      <c r="AO207" s="49"/>
    </row>
    <row r="208" spans="3:41" ht="12.75" customHeight="1">
      <c r="C208" s="49"/>
      <c r="D208" s="49"/>
      <c r="E208" s="49"/>
      <c r="F208" s="49"/>
      <c r="G208" s="49"/>
      <c r="H208" s="49"/>
      <c r="I208" s="49"/>
      <c r="J208" s="49"/>
      <c r="K208" s="49"/>
      <c r="L208" s="49"/>
      <c r="M208" s="49"/>
      <c r="S208" s="49"/>
      <c r="T208" s="49"/>
      <c r="U208" s="49"/>
      <c r="W208" s="49"/>
      <c r="X208" s="49"/>
      <c r="Y208" s="49"/>
      <c r="Z208" s="49"/>
      <c r="AA208" s="49"/>
      <c r="AB208" s="49"/>
      <c r="AC208" s="49"/>
      <c r="AD208" s="49"/>
      <c r="AE208" s="49"/>
      <c r="AF208" s="49"/>
      <c r="AG208" s="49"/>
      <c r="AH208" s="49"/>
      <c r="AI208" s="49"/>
      <c r="AJ208" s="49"/>
      <c r="AK208" s="49"/>
      <c r="AL208" s="49"/>
      <c r="AM208" s="49"/>
      <c r="AN208" s="49"/>
      <c r="AO208" s="49"/>
    </row>
    <row r="209" spans="3:41" ht="12.75" customHeight="1">
      <c r="C209" s="49"/>
      <c r="D209" s="49"/>
      <c r="E209" s="49"/>
      <c r="F209" s="49"/>
      <c r="G209" s="49"/>
      <c r="H209" s="49"/>
      <c r="I209" s="49"/>
      <c r="J209" s="49"/>
      <c r="K209" s="49"/>
      <c r="L209" s="49"/>
      <c r="M209" s="49"/>
      <c r="S209" s="49"/>
      <c r="T209" s="49"/>
      <c r="U209" s="49"/>
      <c r="W209" s="49"/>
      <c r="X209" s="49"/>
      <c r="Y209" s="49"/>
      <c r="Z209" s="49"/>
      <c r="AA209" s="49"/>
      <c r="AB209" s="49"/>
      <c r="AC209" s="49"/>
      <c r="AD209" s="49"/>
      <c r="AE209" s="49"/>
      <c r="AF209" s="49"/>
      <c r="AG209" s="49"/>
      <c r="AH209" s="49"/>
      <c r="AI209" s="49"/>
      <c r="AJ209" s="49"/>
      <c r="AK209" s="49"/>
      <c r="AL209" s="49"/>
      <c r="AM209" s="49"/>
      <c r="AN209" s="49"/>
      <c r="AO209" s="49"/>
    </row>
    <row r="210" spans="3:41" ht="12.75" customHeight="1">
      <c r="C210" s="49"/>
      <c r="D210" s="49"/>
      <c r="E210" s="49"/>
      <c r="F210" s="49"/>
      <c r="G210" s="49"/>
      <c r="H210" s="49"/>
      <c r="I210" s="49"/>
      <c r="J210" s="49"/>
      <c r="K210" s="49"/>
      <c r="L210" s="49"/>
      <c r="M210" s="49"/>
      <c r="S210" s="49"/>
      <c r="T210" s="49"/>
      <c r="U210" s="49"/>
      <c r="W210" s="49"/>
      <c r="X210" s="49"/>
      <c r="Y210" s="49"/>
      <c r="Z210" s="49"/>
      <c r="AA210" s="49"/>
      <c r="AB210" s="49"/>
      <c r="AC210" s="49"/>
      <c r="AD210" s="49"/>
      <c r="AE210" s="49"/>
      <c r="AF210" s="49"/>
      <c r="AG210" s="49"/>
      <c r="AH210" s="49"/>
      <c r="AI210" s="49"/>
      <c r="AJ210" s="49"/>
      <c r="AK210" s="49"/>
      <c r="AL210" s="49"/>
      <c r="AM210" s="49"/>
      <c r="AN210" s="49"/>
      <c r="AO210" s="49"/>
    </row>
    <row r="211" spans="3:41" ht="12.75" customHeight="1">
      <c r="C211" s="49"/>
      <c r="D211" s="49"/>
      <c r="E211" s="49"/>
      <c r="F211" s="49"/>
      <c r="G211" s="49"/>
      <c r="H211" s="49"/>
      <c r="I211" s="49"/>
      <c r="J211" s="49"/>
      <c r="K211" s="49"/>
      <c r="L211" s="49"/>
      <c r="M211" s="49"/>
      <c r="S211" s="49"/>
      <c r="T211" s="49"/>
      <c r="U211" s="49"/>
      <c r="W211" s="49"/>
      <c r="X211" s="49"/>
      <c r="Y211" s="49"/>
      <c r="Z211" s="49"/>
      <c r="AA211" s="49"/>
      <c r="AB211" s="49"/>
      <c r="AC211" s="49"/>
      <c r="AD211" s="49"/>
      <c r="AE211" s="49"/>
      <c r="AF211" s="49"/>
      <c r="AG211" s="49"/>
      <c r="AH211" s="49"/>
      <c r="AI211" s="49"/>
      <c r="AJ211" s="49"/>
      <c r="AK211" s="49"/>
      <c r="AL211" s="49"/>
      <c r="AM211" s="49"/>
      <c r="AN211" s="49"/>
      <c r="AO211" s="49"/>
    </row>
    <row r="212" spans="3:41" ht="12.75" customHeight="1">
      <c r="C212" s="49"/>
      <c r="D212" s="49"/>
      <c r="E212" s="49"/>
      <c r="F212" s="49"/>
      <c r="G212" s="49"/>
      <c r="H212" s="49"/>
      <c r="I212" s="49"/>
      <c r="J212" s="49"/>
      <c r="K212" s="49"/>
      <c r="L212" s="49"/>
      <c r="M212" s="49"/>
      <c r="S212" s="49"/>
      <c r="T212" s="49"/>
      <c r="U212" s="49"/>
      <c r="W212" s="49"/>
      <c r="X212" s="49"/>
      <c r="Y212" s="49"/>
      <c r="Z212" s="49"/>
      <c r="AA212" s="49"/>
      <c r="AB212" s="49"/>
      <c r="AC212" s="49"/>
      <c r="AD212" s="49"/>
      <c r="AE212" s="49"/>
      <c r="AF212" s="49"/>
      <c r="AG212" s="49"/>
      <c r="AH212" s="49"/>
      <c r="AI212" s="49"/>
      <c r="AJ212" s="49"/>
      <c r="AK212" s="49"/>
      <c r="AL212" s="49"/>
      <c r="AM212" s="49"/>
      <c r="AN212" s="49"/>
      <c r="AO212" s="49"/>
    </row>
    <row r="213" spans="3:41" ht="12.75" customHeight="1">
      <c r="C213" s="49"/>
      <c r="D213" s="49"/>
      <c r="E213" s="49"/>
      <c r="F213" s="49"/>
      <c r="G213" s="49"/>
      <c r="H213" s="49"/>
      <c r="I213" s="49"/>
      <c r="J213" s="49"/>
      <c r="K213" s="49"/>
      <c r="L213" s="49"/>
      <c r="M213" s="49"/>
      <c r="S213" s="49"/>
      <c r="T213" s="49"/>
      <c r="U213" s="49"/>
      <c r="W213" s="49"/>
      <c r="X213" s="49"/>
      <c r="Y213" s="49"/>
      <c r="Z213" s="49"/>
      <c r="AA213" s="49"/>
      <c r="AB213" s="49"/>
      <c r="AC213" s="49"/>
      <c r="AD213" s="49"/>
      <c r="AE213" s="49"/>
      <c r="AF213" s="49"/>
      <c r="AG213" s="49"/>
      <c r="AH213" s="49"/>
      <c r="AI213" s="49"/>
      <c r="AJ213" s="49"/>
      <c r="AK213" s="49"/>
      <c r="AL213" s="49"/>
      <c r="AM213" s="49"/>
      <c r="AN213" s="49"/>
      <c r="AO213" s="49"/>
    </row>
    <row r="214" spans="3:41" ht="12.75" customHeight="1">
      <c r="C214" s="49"/>
      <c r="D214" s="49"/>
      <c r="E214" s="49"/>
      <c r="F214" s="49"/>
      <c r="G214" s="49"/>
      <c r="H214" s="49"/>
      <c r="I214" s="49"/>
      <c r="J214" s="49"/>
      <c r="K214" s="49"/>
      <c r="L214" s="49"/>
      <c r="M214" s="49"/>
      <c r="S214" s="49"/>
      <c r="T214" s="49"/>
      <c r="U214" s="49"/>
      <c r="W214" s="49"/>
      <c r="X214" s="49"/>
      <c r="Y214" s="49"/>
      <c r="Z214" s="49"/>
      <c r="AA214" s="49"/>
      <c r="AB214" s="49"/>
      <c r="AC214" s="49"/>
      <c r="AD214" s="49"/>
      <c r="AE214" s="49"/>
      <c r="AF214" s="49"/>
      <c r="AG214" s="49"/>
      <c r="AH214" s="49"/>
      <c r="AI214" s="49"/>
      <c r="AJ214" s="49"/>
      <c r="AK214" s="49"/>
      <c r="AL214" s="49"/>
      <c r="AM214" s="49"/>
      <c r="AN214" s="49"/>
      <c r="AO214" s="49"/>
    </row>
    <row r="215" spans="3:41" ht="12.75" customHeight="1">
      <c r="C215" s="49"/>
      <c r="D215" s="49"/>
      <c r="E215" s="49"/>
      <c r="F215" s="49"/>
      <c r="G215" s="49"/>
      <c r="H215" s="49"/>
      <c r="I215" s="49"/>
      <c r="J215" s="49"/>
      <c r="K215" s="49"/>
      <c r="L215" s="49"/>
      <c r="M215" s="49"/>
      <c r="S215" s="49"/>
      <c r="T215" s="49"/>
      <c r="U215" s="49"/>
      <c r="W215" s="49"/>
      <c r="X215" s="49"/>
      <c r="Y215" s="49"/>
      <c r="Z215" s="49"/>
      <c r="AA215" s="49"/>
      <c r="AB215" s="49"/>
      <c r="AC215" s="49"/>
      <c r="AD215" s="49"/>
      <c r="AE215" s="49"/>
      <c r="AF215" s="49"/>
      <c r="AG215" s="49"/>
      <c r="AH215" s="49"/>
      <c r="AI215" s="49"/>
      <c r="AJ215" s="49"/>
      <c r="AK215" s="49"/>
      <c r="AL215" s="49"/>
      <c r="AM215" s="49"/>
      <c r="AN215" s="49"/>
      <c r="AO215" s="49"/>
    </row>
    <row r="216" spans="3:41" ht="12.75" customHeight="1">
      <c r="C216" s="49"/>
      <c r="D216" s="49"/>
      <c r="E216" s="49"/>
      <c r="F216" s="49"/>
      <c r="G216" s="49"/>
      <c r="H216" s="49"/>
      <c r="I216" s="49"/>
      <c r="J216" s="49"/>
      <c r="K216" s="49"/>
      <c r="L216" s="49"/>
      <c r="M216" s="49"/>
      <c r="S216" s="49"/>
      <c r="T216" s="49"/>
      <c r="U216" s="49"/>
      <c r="W216" s="49"/>
      <c r="X216" s="49"/>
      <c r="Y216" s="49"/>
      <c r="Z216" s="49"/>
      <c r="AA216" s="49"/>
      <c r="AB216" s="49"/>
      <c r="AC216" s="49"/>
      <c r="AD216" s="49"/>
      <c r="AE216" s="49"/>
      <c r="AF216" s="49"/>
      <c r="AG216" s="49"/>
      <c r="AH216" s="49"/>
      <c r="AI216" s="49"/>
      <c r="AJ216" s="49"/>
      <c r="AK216" s="49"/>
      <c r="AL216" s="49"/>
      <c r="AM216" s="49"/>
      <c r="AN216" s="49"/>
      <c r="AO216" s="49"/>
    </row>
    <row r="217" spans="3:41" ht="12.75" customHeight="1">
      <c r="C217" s="49"/>
      <c r="D217" s="49"/>
      <c r="E217" s="49"/>
      <c r="F217" s="49"/>
      <c r="G217" s="49"/>
      <c r="H217" s="49"/>
      <c r="I217" s="49"/>
      <c r="J217" s="49"/>
      <c r="K217" s="49"/>
      <c r="L217" s="49"/>
      <c r="M217" s="49"/>
      <c r="S217" s="49"/>
      <c r="T217" s="49"/>
      <c r="U217" s="49"/>
      <c r="W217" s="49"/>
      <c r="X217" s="49"/>
      <c r="Y217" s="49"/>
      <c r="Z217" s="49"/>
      <c r="AA217" s="49"/>
      <c r="AB217" s="49"/>
      <c r="AC217" s="49"/>
      <c r="AD217" s="49"/>
      <c r="AE217" s="49"/>
      <c r="AF217" s="49"/>
      <c r="AG217" s="49"/>
      <c r="AH217" s="49"/>
      <c r="AI217" s="49"/>
      <c r="AJ217" s="49"/>
      <c r="AK217" s="49"/>
      <c r="AL217" s="49"/>
      <c r="AM217" s="49"/>
      <c r="AN217" s="49"/>
      <c r="AO217" s="49"/>
    </row>
    <row r="218" spans="3:41" ht="12.75" customHeight="1">
      <c r="C218" s="49"/>
      <c r="D218" s="49"/>
      <c r="E218" s="49"/>
      <c r="F218" s="49"/>
      <c r="G218" s="49"/>
      <c r="H218" s="49"/>
      <c r="I218" s="49"/>
      <c r="J218" s="49"/>
      <c r="K218" s="49"/>
      <c r="L218" s="49"/>
      <c r="M218" s="49"/>
      <c r="S218" s="49"/>
      <c r="T218" s="49"/>
      <c r="U218" s="49"/>
      <c r="W218" s="49"/>
      <c r="X218" s="49"/>
      <c r="Y218" s="49"/>
      <c r="Z218" s="49"/>
      <c r="AA218" s="49"/>
      <c r="AB218" s="49"/>
      <c r="AC218" s="49"/>
      <c r="AD218" s="49"/>
      <c r="AE218" s="49"/>
      <c r="AF218" s="49"/>
      <c r="AG218" s="49"/>
      <c r="AH218" s="49"/>
      <c r="AI218" s="49"/>
      <c r="AJ218" s="49"/>
      <c r="AK218" s="49"/>
      <c r="AL218" s="49"/>
      <c r="AM218" s="49"/>
      <c r="AN218" s="49"/>
      <c r="AO218" s="49"/>
    </row>
    <row r="219" spans="3:41" ht="12.75" customHeight="1">
      <c r="C219" s="49"/>
      <c r="D219" s="49"/>
      <c r="E219" s="49"/>
      <c r="F219" s="49"/>
      <c r="G219" s="49"/>
      <c r="H219" s="49"/>
      <c r="I219" s="49"/>
      <c r="J219" s="49"/>
      <c r="K219" s="49"/>
      <c r="L219" s="49"/>
      <c r="M219" s="49"/>
      <c r="S219" s="49"/>
      <c r="T219" s="49"/>
      <c r="U219" s="49"/>
      <c r="W219" s="49"/>
      <c r="X219" s="49"/>
      <c r="Y219" s="49"/>
      <c r="Z219" s="49"/>
      <c r="AA219" s="49"/>
      <c r="AB219" s="49"/>
      <c r="AC219" s="49"/>
      <c r="AD219" s="49"/>
      <c r="AE219" s="49"/>
      <c r="AF219" s="49"/>
      <c r="AG219" s="49"/>
      <c r="AH219" s="49"/>
      <c r="AI219" s="49"/>
      <c r="AJ219" s="49"/>
      <c r="AK219" s="49"/>
      <c r="AL219" s="49"/>
      <c r="AM219" s="49"/>
      <c r="AN219" s="49"/>
      <c r="AO219" s="49"/>
    </row>
    <row r="220" spans="3:41" ht="12.75" customHeight="1">
      <c r="C220" s="49"/>
      <c r="D220" s="49"/>
      <c r="E220" s="49"/>
      <c r="F220" s="49"/>
      <c r="G220" s="49"/>
      <c r="H220" s="49"/>
      <c r="I220" s="49"/>
      <c r="J220" s="49"/>
      <c r="K220" s="49"/>
      <c r="L220" s="49"/>
      <c r="M220" s="49"/>
      <c r="S220" s="49"/>
      <c r="T220" s="49"/>
      <c r="U220" s="49"/>
      <c r="W220" s="49"/>
      <c r="X220" s="49"/>
      <c r="Y220" s="49"/>
      <c r="Z220" s="49"/>
      <c r="AA220" s="49"/>
      <c r="AB220" s="49"/>
      <c r="AC220" s="49"/>
      <c r="AD220" s="49"/>
      <c r="AE220" s="49"/>
      <c r="AF220" s="49"/>
      <c r="AG220" s="49"/>
      <c r="AH220" s="49"/>
      <c r="AI220" s="49"/>
      <c r="AJ220" s="49"/>
      <c r="AK220" s="49"/>
      <c r="AL220" s="49"/>
      <c r="AM220" s="49"/>
      <c r="AN220" s="49"/>
      <c r="AO220" s="49"/>
    </row>
    <row r="221" spans="3:41" ht="12.75" customHeight="1">
      <c r="C221" s="49"/>
      <c r="D221" s="49"/>
      <c r="E221" s="49"/>
      <c r="F221" s="49"/>
      <c r="G221" s="49"/>
      <c r="H221" s="49"/>
      <c r="I221" s="49"/>
      <c r="J221" s="49"/>
      <c r="K221" s="49"/>
      <c r="L221" s="49"/>
      <c r="M221" s="49"/>
      <c r="S221" s="49"/>
      <c r="T221" s="49"/>
      <c r="U221" s="49"/>
      <c r="W221" s="49"/>
      <c r="X221" s="49"/>
      <c r="Y221" s="49"/>
      <c r="Z221" s="49"/>
      <c r="AA221" s="49"/>
      <c r="AB221" s="49"/>
      <c r="AC221" s="49"/>
      <c r="AD221" s="49"/>
      <c r="AE221" s="49"/>
      <c r="AF221" s="49"/>
      <c r="AG221" s="49"/>
      <c r="AH221" s="49"/>
      <c r="AI221" s="49"/>
      <c r="AJ221" s="49"/>
      <c r="AK221" s="49"/>
      <c r="AL221" s="49"/>
      <c r="AM221" s="49"/>
      <c r="AN221" s="49"/>
      <c r="AO221" s="49"/>
    </row>
    <row r="222" spans="3:41" ht="12.75" customHeight="1">
      <c r="C222" s="49"/>
      <c r="D222" s="49"/>
      <c r="E222" s="49"/>
      <c r="F222" s="49"/>
      <c r="G222" s="49"/>
      <c r="H222" s="49"/>
      <c r="I222" s="49"/>
      <c r="J222" s="49"/>
      <c r="K222" s="49"/>
      <c r="L222" s="49"/>
      <c r="M222" s="49"/>
      <c r="S222" s="49"/>
      <c r="T222" s="49"/>
      <c r="U222" s="49"/>
      <c r="W222" s="49"/>
      <c r="X222" s="49"/>
      <c r="Y222" s="49"/>
      <c r="Z222" s="49"/>
      <c r="AA222" s="49"/>
      <c r="AB222" s="49"/>
      <c r="AC222" s="49"/>
      <c r="AD222" s="49"/>
      <c r="AE222" s="49"/>
      <c r="AF222" s="49"/>
      <c r="AG222" s="49"/>
      <c r="AH222" s="49"/>
      <c r="AI222" s="49"/>
      <c r="AJ222" s="49"/>
      <c r="AK222" s="49"/>
      <c r="AL222" s="49"/>
      <c r="AM222" s="49"/>
      <c r="AN222" s="49"/>
      <c r="AO222" s="49"/>
    </row>
    <row r="223" spans="3:41" ht="12.75" customHeight="1">
      <c r="C223" s="49"/>
      <c r="D223" s="49"/>
      <c r="E223" s="49"/>
      <c r="F223" s="49"/>
      <c r="G223" s="49"/>
      <c r="H223" s="49"/>
      <c r="I223" s="49"/>
      <c r="J223" s="49"/>
      <c r="K223" s="49"/>
      <c r="L223" s="49"/>
      <c r="M223" s="49"/>
      <c r="S223" s="49"/>
      <c r="T223" s="49"/>
      <c r="U223" s="49"/>
      <c r="W223" s="49"/>
      <c r="X223" s="49"/>
      <c r="Y223" s="49"/>
      <c r="Z223" s="49"/>
      <c r="AA223" s="49"/>
      <c r="AB223" s="49"/>
      <c r="AC223" s="49"/>
      <c r="AD223" s="49"/>
      <c r="AE223" s="49"/>
      <c r="AF223" s="49"/>
      <c r="AG223" s="49"/>
      <c r="AH223" s="49"/>
      <c r="AI223" s="49"/>
      <c r="AJ223" s="49"/>
      <c r="AK223" s="49"/>
      <c r="AL223" s="49"/>
      <c r="AM223" s="49"/>
      <c r="AN223" s="49"/>
      <c r="AO223" s="49"/>
    </row>
    <row r="224" spans="3:41" ht="12.75" customHeight="1">
      <c r="C224" s="49"/>
      <c r="D224" s="49"/>
      <c r="E224" s="49"/>
      <c r="F224" s="49"/>
      <c r="G224" s="49"/>
      <c r="H224" s="49"/>
      <c r="I224" s="49"/>
      <c r="J224" s="49"/>
      <c r="K224" s="49"/>
      <c r="L224" s="49"/>
      <c r="M224" s="49"/>
      <c r="S224" s="49"/>
      <c r="T224" s="49"/>
      <c r="U224" s="49"/>
      <c r="W224" s="49"/>
      <c r="X224" s="49"/>
      <c r="Y224" s="49"/>
      <c r="Z224" s="49"/>
      <c r="AA224" s="49"/>
      <c r="AB224" s="49"/>
      <c r="AC224" s="49"/>
      <c r="AD224" s="49"/>
      <c r="AE224" s="49"/>
      <c r="AF224" s="49"/>
      <c r="AG224" s="49"/>
      <c r="AH224" s="49"/>
      <c r="AI224" s="49"/>
      <c r="AJ224" s="49"/>
      <c r="AK224" s="49"/>
      <c r="AL224" s="49"/>
      <c r="AM224" s="49"/>
      <c r="AN224" s="49"/>
      <c r="AO224" s="49"/>
    </row>
    <row r="225" spans="3:41" ht="12.75" customHeight="1">
      <c r="C225" s="49"/>
      <c r="D225" s="49"/>
      <c r="E225" s="49"/>
      <c r="F225" s="49"/>
      <c r="G225" s="49"/>
      <c r="H225" s="49"/>
      <c r="I225" s="49"/>
      <c r="J225" s="49"/>
      <c r="K225" s="49"/>
      <c r="L225" s="49"/>
      <c r="M225" s="49"/>
      <c r="S225" s="49"/>
      <c r="T225" s="49"/>
      <c r="U225" s="49"/>
      <c r="W225" s="49"/>
      <c r="X225" s="49"/>
      <c r="Y225" s="49"/>
      <c r="Z225" s="49"/>
      <c r="AA225" s="49"/>
      <c r="AB225" s="49"/>
      <c r="AC225" s="49"/>
      <c r="AD225" s="49"/>
      <c r="AE225" s="49"/>
      <c r="AF225" s="49"/>
      <c r="AG225" s="49"/>
      <c r="AH225" s="49"/>
      <c r="AI225" s="49"/>
      <c r="AJ225" s="49"/>
      <c r="AK225" s="49"/>
      <c r="AL225" s="49"/>
      <c r="AM225" s="49"/>
      <c r="AN225" s="49"/>
      <c r="AO225" s="49"/>
    </row>
    <row r="226" spans="3:41" ht="12.75" customHeight="1">
      <c r="C226" s="49"/>
      <c r="D226" s="49"/>
      <c r="E226" s="49"/>
      <c r="F226" s="49"/>
      <c r="G226" s="49"/>
      <c r="H226" s="49"/>
      <c r="I226" s="49"/>
      <c r="J226" s="49"/>
      <c r="K226" s="49"/>
      <c r="L226" s="49"/>
      <c r="M226" s="49"/>
      <c r="S226" s="49"/>
      <c r="T226" s="49"/>
      <c r="U226" s="49"/>
      <c r="W226" s="49"/>
      <c r="X226" s="49"/>
      <c r="Y226" s="49"/>
      <c r="Z226" s="49"/>
      <c r="AA226" s="49"/>
      <c r="AB226" s="49"/>
      <c r="AC226" s="49"/>
      <c r="AD226" s="49"/>
      <c r="AE226" s="49"/>
      <c r="AF226" s="49"/>
      <c r="AG226" s="49"/>
      <c r="AH226" s="49"/>
      <c r="AI226" s="49"/>
      <c r="AJ226" s="49"/>
      <c r="AK226" s="49"/>
      <c r="AL226" s="49"/>
      <c r="AM226" s="49"/>
      <c r="AN226" s="49"/>
      <c r="AO226" s="49"/>
    </row>
    <row r="227" spans="3:41" ht="12.75" customHeight="1">
      <c r="C227" s="49"/>
      <c r="D227" s="49"/>
      <c r="E227" s="49"/>
      <c r="F227" s="49"/>
      <c r="G227" s="49"/>
      <c r="H227" s="49"/>
      <c r="I227" s="49"/>
      <c r="J227" s="49"/>
      <c r="K227" s="49"/>
      <c r="L227" s="49"/>
      <c r="M227" s="49"/>
      <c r="S227" s="49"/>
      <c r="T227" s="49"/>
      <c r="U227" s="49"/>
      <c r="W227" s="49"/>
      <c r="X227" s="49"/>
      <c r="Y227" s="49"/>
      <c r="Z227" s="49"/>
      <c r="AA227" s="49"/>
      <c r="AB227" s="49"/>
      <c r="AC227" s="49"/>
      <c r="AD227" s="49"/>
      <c r="AE227" s="49"/>
      <c r="AF227" s="49"/>
      <c r="AG227" s="49"/>
      <c r="AH227" s="49"/>
      <c r="AI227" s="49"/>
      <c r="AJ227" s="49"/>
      <c r="AK227" s="49"/>
      <c r="AL227" s="49"/>
      <c r="AM227" s="49"/>
      <c r="AN227" s="49"/>
      <c r="AO227" s="49"/>
    </row>
    <row r="228" spans="3:41" ht="12.75" customHeight="1">
      <c r="C228" s="49"/>
      <c r="D228" s="49"/>
      <c r="E228" s="49"/>
      <c r="F228" s="49"/>
      <c r="G228" s="49"/>
      <c r="H228" s="49"/>
      <c r="I228" s="49"/>
      <c r="J228" s="49"/>
      <c r="K228" s="49"/>
      <c r="L228" s="49"/>
      <c r="M228" s="49"/>
      <c r="S228" s="49"/>
      <c r="T228" s="49"/>
      <c r="U228" s="49"/>
      <c r="W228" s="49"/>
      <c r="X228" s="49"/>
      <c r="Y228" s="49"/>
      <c r="Z228" s="49"/>
      <c r="AA228" s="49"/>
      <c r="AB228" s="49"/>
      <c r="AC228" s="49"/>
      <c r="AD228" s="49"/>
      <c r="AE228" s="49"/>
      <c r="AF228" s="49"/>
      <c r="AG228" s="49"/>
      <c r="AH228" s="49"/>
      <c r="AI228" s="49"/>
      <c r="AJ228" s="49"/>
      <c r="AK228" s="49"/>
      <c r="AL228" s="49"/>
      <c r="AM228" s="49"/>
      <c r="AN228" s="49"/>
      <c r="AO228" s="49"/>
    </row>
    <row r="229" spans="3:41" ht="12.75" customHeight="1">
      <c r="C229" s="49"/>
      <c r="D229" s="49"/>
      <c r="E229" s="49"/>
      <c r="F229" s="49"/>
      <c r="G229" s="49"/>
      <c r="H229" s="49"/>
      <c r="I229" s="49"/>
      <c r="J229" s="49"/>
      <c r="K229" s="49"/>
      <c r="L229" s="49"/>
      <c r="M229" s="49"/>
      <c r="S229" s="49"/>
      <c r="T229" s="49"/>
      <c r="U229" s="49"/>
      <c r="W229" s="49"/>
      <c r="X229" s="49"/>
      <c r="Y229" s="49"/>
      <c r="Z229" s="49"/>
      <c r="AA229" s="49"/>
      <c r="AB229" s="49"/>
      <c r="AC229" s="49"/>
      <c r="AD229" s="49"/>
      <c r="AE229" s="49"/>
      <c r="AF229" s="49"/>
      <c r="AG229" s="49"/>
      <c r="AH229" s="49"/>
      <c r="AI229" s="49"/>
      <c r="AJ229" s="49"/>
      <c r="AK229" s="49"/>
      <c r="AL229" s="49"/>
      <c r="AM229" s="49"/>
      <c r="AN229" s="49"/>
      <c r="AO229" s="49"/>
    </row>
    <row r="230" spans="3:41" ht="12.75" customHeight="1">
      <c r="C230" s="49"/>
      <c r="D230" s="49"/>
      <c r="E230" s="49"/>
      <c r="F230" s="49"/>
      <c r="G230" s="49"/>
      <c r="H230" s="49"/>
      <c r="I230" s="49"/>
      <c r="J230" s="49"/>
      <c r="K230" s="49"/>
      <c r="L230" s="49"/>
      <c r="M230" s="49"/>
      <c r="S230" s="49"/>
      <c r="T230" s="49"/>
      <c r="U230" s="49"/>
      <c r="W230" s="49"/>
      <c r="X230" s="49"/>
      <c r="Y230" s="49"/>
      <c r="Z230" s="49"/>
      <c r="AA230" s="49"/>
      <c r="AB230" s="49"/>
      <c r="AC230" s="49"/>
      <c r="AD230" s="49"/>
      <c r="AE230" s="49"/>
      <c r="AF230" s="49"/>
      <c r="AG230" s="49"/>
      <c r="AH230" s="49"/>
      <c r="AI230" s="49"/>
      <c r="AJ230" s="49"/>
      <c r="AK230" s="49"/>
      <c r="AL230" s="49"/>
      <c r="AM230" s="49"/>
      <c r="AN230" s="49"/>
      <c r="AO230" s="49"/>
    </row>
    <row r="231" spans="3:41" ht="12.75" customHeight="1">
      <c r="C231" s="49"/>
      <c r="D231" s="49"/>
      <c r="E231" s="49"/>
      <c r="F231" s="49"/>
      <c r="G231" s="49"/>
      <c r="H231" s="49"/>
      <c r="I231" s="49"/>
      <c r="J231" s="49"/>
      <c r="K231" s="49"/>
      <c r="L231" s="49"/>
      <c r="M231" s="49"/>
      <c r="S231" s="49"/>
      <c r="T231" s="49"/>
      <c r="U231" s="49"/>
      <c r="W231" s="49"/>
      <c r="X231" s="49"/>
      <c r="Y231" s="49"/>
      <c r="Z231" s="49"/>
      <c r="AA231" s="49"/>
      <c r="AB231" s="49"/>
      <c r="AC231" s="49"/>
      <c r="AD231" s="49"/>
      <c r="AE231" s="49"/>
      <c r="AF231" s="49"/>
      <c r="AG231" s="49"/>
      <c r="AH231" s="49"/>
      <c r="AI231" s="49"/>
      <c r="AJ231" s="49"/>
      <c r="AK231" s="49"/>
      <c r="AL231" s="49"/>
      <c r="AM231" s="49"/>
      <c r="AN231" s="49"/>
      <c r="AO231" s="49"/>
    </row>
    <row r="232" spans="3:41" ht="12.75" customHeight="1">
      <c r="C232" s="49"/>
      <c r="D232" s="49"/>
      <c r="E232" s="49"/>
      <c r="F232" s="49"/>
      <c r="G232" s="49"/>
      <c r="H232" s="49"/>
      <c r="I232" s="49"/>
      <c r="J232" s="49"/>
      <c r="K232" s="49"/>
      <c r="L232" s="49"/>
      <c r="M232" s="49"/>
      <c r="S232" s="49"/>
      <c r="T232" s="49"/>
      <c r="U232" s="49"/>
      <c r="W232" s="49"/>
      <c r="X232" s="49"/>
      <c r="Y232" s="49"/>
      <c r="Z232" s="49"/>
      <c r="AA232" s="49"/>
      <c r="AB232" s="49"/>
      <c r="AC232" s="49"/>
      <c r="AD232" s="49"/>
      <c r="AE232" s="49"/>
      <c r="AF232" s="49"/>
      <c r="AG232" s="49"/>
      <c r="AH232" s="49"/>
      <c r="AI232" s="49"/>
      <c r="AJ232" s="49"/>
      <c r="AK232" s="49"/>
      <c r="AL232" s="49"/>
      <c r="AM232" s="49"/>
      <c r="AN232" s="49"/>
      <c r="AO232" s="49"/>
    </row>
    <row r="233" spans="3:41" ht="12.75" customHeight="1">
      <c r="C233" s="49"/>
      <c r="D233" s="49"/>
      <c r="E233" s="49"/>
      <c r="F233" s="49"/>
      <c r="G233" s="49"/>
      <c r="H233" s="49"/>
      <c r="I233" s="49"/>
      <c r="J233" s="49"/>
      <c r="K233" s="49"/>
      <c r="L233" s="49"/>
      <c r="M233" s="49"/>
      <c r="S233" s="49"/>
      <c r="T233" s="49"/>
      <c r="U233" s="49"/>
      <c r="W233" s="49"/>
      <c r="X233" s="49"/>
      <c r="Y233" s="49"/>
      <c r="Z233" s="49"/>
      <c r="AA233" s="49"/>
      <c r="AB233" s="49"/>
      <c r="AC233" s="49"/>
      <c r="AD233" s="49"/>
      <c r="AE233" s="49"/>
      <c r="AF233" s="49"/>
      <c r="AG233" s="49"/>
      <c r="AH233" s="49"/>
      <c r="AI233" s="49"/>
      <c r="AJ233" s="49"/>
      <c r="AK233" s="49"/>
      <c r="AL233" s="49"/>
      <c r="AM233" s="49"/>
      <c r="AN233" s="49"/>
      <c r="AO233" s="49"/>
    </row>
    <row r="234" spans="3:41" ht="12.75" customHeight="1">
      <c r="C234" s="49"/>
      <c r="D234" s="49"/>
      <c r="E234" s="49"/>
      <c r="F234" s="49"/>
      <c r="G234" s="49"/>
      <c r="H234" s="49"/>
      <c r="I234" s="49"/>
      <c r="J234" s="49"/>
      <c r="K234" s="49"/>
      <c r="L234" s="49"/>
      <c r="M234" s="49"/>
      <c r="S234" s="49"/>
      <c r="T234" s="49"/>
      <c r="U234" s="49"/>
      <c r="W234" s="49"/>
      <c r="X234" s="49"/>
      <c r="Y234" s="49"/>
      <c r="Z234" s="49"/>
      <c r="AA234" s="49"/>
      <c r="AB234" s="49"/>
      <c r="AC234" s="49"/>
      <c r="AD234" s="49"/>
      <c r="AE234" s="49"/>
      <c r="AF234" s="49"/>
      <c r="AG234" s="49"/>
      <c r="AH234" s="49"/>
      <c r="AI234" s="49"/>
      <c r="AJ234" s="49"/>
      <c r="AK234" s="49"/>
      <c r="AL234" s="49"/>
      <c r="AM234" s="49"/>
      <c r="AN234" s="49"/>
      <c r="AO234" s="49"/>
    </row>
    <row r="235" spans="3:41" ht="12.75" customHeight="1">
      <c r="C235" s="49"/>
      <c r="D235" s="49"/>
      <c r="E235" s="49"/>
      <c r="F235" s="49"/>
      <c r="G235" s="49"/>
      <c r="H235" s="49"/>
      <c r="I235" s="49"/>
      <c r="J235" s="49"/>
      <c r="K235" s="49"/>
      <c r="L235" s="49"/>
      <c r="M235" s="49"/>
      <c r="S235" s="49"/>
      <c r="T235" s="49"/>
      <c r="U235" s="49"/>
      <c r="W235" s="49"/>
      <c r="X235" s="49"/>
      <c r="Y235" s="49"/>
      <c r="Z235" s="49"/>
      <c r="AA235" s="49"/>
      <c r="AB235" s="49"/>
      <c r="AC235" s="49"/>
      <c r="AD235" s="49"/>
      <c r="AE235" s="49"/>
      <c r="AF235" s="49"/>
      <c r="AG235" s="49"/>
      <c r="AH235" s="49"/>
      <c r="AI235" s="49"/>
      <c r="AJ235" s="49"/>
      <c r="AK235" s="49"/>
      <c r="AL235" s="49"/>
      <c r="AM235" s="49"/>
      <c r="AN235" s="49"/>
      <c r="AO235" s="49"/>
    </row>
    <row r="236" spans="3:41" ht="12.75" customHeight="1">
      <c r="C236" s="49"/>
      <c r="D236" s="49"/>
      <c r="E236" s="49"/>
      <c r="F236" s="49"/>
      <c r="G236" s="49"/>
      <c r="H236" s="49"/>
      <c r="I236" s="49"/>
      <c r="J236" s="49"/>
      <c r="K236" s="49"/>
      <c r="L236" s="49"/>
      <c r="M236" s="49"/>
      <c r="S236" s="49"/>
      <c r="T236" s="49"/>
      <c r="U236" s="49"/>
      <c r="W236" s="49"/>
      <c r="X236" s="49"/>
      <c r="Y236" s="49"/>
      <c r="Z236" s="49"/>
      <c r="AA236" s="49"/>
      <c r="AB236" s="49"/>
      <c r="AC236" s="49"/>
      <c r="AD236" s="49"/>
      <c r="AE236" s="49"/>
      <c r="AF236" s="49"/>
      <c r="AG236" s="49"/>
      <c r="AH236" s="49"/>
      <c r="AI236" s="49"/>
      <c r="AJ236" s="49"/>
      <c r="AK236" s="49"/>
      <c r="AL236" s="49"/>
      <c r="AM236" s="49"/>
      <c r="AN236" s="49"/>
      <c r="AO236" s="49"/>
    </row>
    <row r="237" spans="3:41" ht="12.75" customHeight="1">
      <c r="C237" s="49"/>
      <c r="D237" s="49"/>
      <c r="E237" s="49"/>
      <c r="F237" s="49"/>
      <c r="G237" s="49"/>
      <c r="H237" s="49"/>
      <c r="I237" s="49"/>
      <c r="J237" s="49"/>
      <c r="K237" s="49"/>
      <c r="L237" s="49"/>
      <c r="M237" s="49"/>
      <c r="S237" s="49"/>
      <c r="T237" s="49"/>
      <c r="U237" s="49"/>
      <c r="W237" s="49"/>
      <c r="X237" s="49"/>
      <c r="Y237" s="49"/>
      <c r="Z237" s="49"/>
      <c r="AA237" s="49"/>
      <c r="AB237" s="49"/>
      <c r="AC237" s="49"/>
      <c r="AD237" s="49"/>
      <c r="AE237" s="49"/>
      <c r="AF237" s="49"/>
      <c r="AG237" s="49"/>
      <c r="AH237" s="49"/>
      <c r="AI237" s="49"/>
      <c r="AJ237" s="49"/>
      <c r="AK237" s="49"/>
      <c r="AL237" s="49"/>
      <c r="AM237" s="49"/>
      <c r="AN237" s="49"/>
      <c r="AO237" s="49"/>
    </row>
    <row r="238" spans="3:41" ht="12.75" customHeight="1">
      <c r="C238" s="49"/>
      <c r="D238" s="49"/>
      <c r="E238" s="49"/>
      <c r="F238" s="49"/>
      <c r="G238" s="49"/>
      <c r="H238" s="49"/>
      <c r="I238" s="49"/>
      <c r="J238" s="49"/>
      <c r="K238" s="49"/>
      <c r="L238" s="49"/>
      <c r="M238" s="49"/>
      <c r="S238" s="49"/>
      <c r="T238" s="49"/>
      <c r="U238" s="49"/>
      <c r="W238" s="49"/>
      <c r="X238" s="49"/>
      <c r="Y238" s="49"/>
      <c r="Z238" s="49"/>
      <c r="AA238" s="49"/>
      <c r="AB238" s="49"/>
      <c r="AC238" s="49"/>
      <c r="AD238" s="49"/>
      <c r="AE238" s="49"/>
      <c r="AF238" s="49"/>
      <c r="AG238" s="49"/>
      <c r="AH238" s="49"/>
      <c r="AI238" s="49"/>
      <c r="AJ238" s="49"/>
      <c r="AK238" s="49"/>
      <c r="AL238" s="49"/>
      <c r="AM238" s="49"/>
      <c r="AN238" s="49"/>
      <c r="AO238" s="49"/>
    </row>
    <row r="239" spans="3:41" ht="12.75" customHeight="1">
      <c r="C239" s="49"/>
      <c r="D239" s="49"/>
      <c r="E239" s="49"/>
      <c r="F239" s="49"/>
      <c r="G239" s="49"/>
      <c r="H239" s="49"/>
      <c r="I239" s="49"/>
      <c r="J239" s="49"/>
      <c r="K239" s="49"/>
      <c r="L239" s="49"/>
      <c r="M239" s="49"/>
      <c r="S239" s="49"/>
      <c r="T239" s="49"/>
      <c r="U239" s="49"/>
      <c r="W239" s="49"/>
      <c r="X239" s="49"/>
      <c r="Y239" s="49"/>
      <c r="Z239" s="49"/>
      <c r="AA239" s="49"/>
      <c r="AB239" s="49"/>
      <c r="AC239" s="49"/>
      <c r="AD239" s="49"/>
      <c r="AE239" s="49"/>
      <c r="AF239" s="49"/>
      <c r="AG239" s="49"/>
      <c r="AH239" s="49"/>
      <c r="AI239" s="49"/>
      <c r="AJ239" s="49"/>
      <c r="AK239" s="49"/>
      <c r="AL239" s="49"/>
      <c r="AM239" s="49"/>
      <c r="AN239" s="49"/>
      <c r="AO239" s="49"/>
    </row>
    <row r="240" spans="3:41" ht="12.75" customHeight="1">
      <c r="C240" s="49"/>
      <c r="D240" s="49"/>
      <c r="E240" s="49"/>
      <c r="F240" s="49"/>
      <c r="G240" s="49"/>
      <c r="H240" s="49"/>
      <c r="I240" s="49"/>
      <c r="J240" s="49"/>
      <c r="K240" s="49"/>
      <c r="L240" s="49"/>
      <c r="M240" s="49"/>
      <c r="S240" s="49"/>
      <c r="T240" s="49"/>
      <c r="U240" s="49"/>
      <c r="W240" s="49"/>
      <c r="X240" s="49"/>
      <c r="Y240" s="49"/>
      <c r="Z240" s="49"/>
      <c r="AA240" s="49"/>
      <c r="AB240" s="49"/>
      <c r="AC240" s="49"/>
      <c r="AD240" s="49"/>
      <c r="AE240" s="49"/>
      <c r="AF240" s="49"/>
      <c r="AG240" s="49"/>
      <c r="AH240" s="49"/>
      <c r="AI240" s="49"/>
      <c r="AJ240" s="49"/>
      <c r="AK240" s="49"/>
      <c r="AL240" s="49"/>
      <c r="AM240" s="49"/>
      <c r="AN240" s="49"/>
      <c r="AO240" s="49"/>
    </row>
    <row r="241" spans="3:41" ht="12.75" customHeight="1">
      <c r="C241" s="49"/>
      <c r="D241" s="49"/>
      <c r="E241" s="49"/>
      <c r="F241" s="49"/>
      <c r="G241" s="49"/>
      <c r="H241" s="49"/>
      <c r="I241" s="49"/>
      <c r="J241" s="49"/>
      <c r="K241" s="49"/>
      <c r="L241" s="49"/>
      <c r="M241" s="49"/>
      <c r="S241" s="49"/>
      <c r="T241" s="49"/>
      <c r="U241" s="49"/>
      <c r="W241" s="49"/>
      <c r="X241" s="49"/>
      <c r="Y241" s="49"/>
      <c r="Z241" s="49"/>
      <c r="AA241" s="49"/>
      <c r="AB241" s="49"/>
      <c r="AC241" s="49"/>
      <c r="AD241" s="49"/>
      <c r="AE241" s="49"/>
      <c r="AF241" s="49"/>
      <c r="AG241" s="49"/>
      <c r="AH241" s="49"/>
      <c r="AI241" s="49"/>
      <c r="AJ241" s="49"/>
      <c r="AK241" s="49"/>
      <c r="AL241" s="49"/>
      <c r="AM241" s="49"/>
      <c r="AN241" s="49"/>
      <c r="AO241" s="49"/>
    </row>
    <row r="242" spans="3:41" ht="12.75" customHeight="1">
      <c r="C242" s="49"/>
      <c r="D242" s="49"/>
      <c r="E242" s="49"/>
      <c r="F242" s="49"/>
      <c r="G242" s="49"/>
      <c r="H242" s="49"/>
      <c r="I242" s="49"/>
      <c r="J242" s="49"/>
      <c r="K242" s="49"/>
      <c r="L242" s="49"/>
      <c r="M242" s="49"/>
      <c r="S242" s="49"/>
      <c r="T242" s="49"/>
      <c r="U242" s="49"/>
      <c r="W242" s="49"/>
      <c r="X242" s="49"/>
      <c r="Y242" s="49"/>
      <c r="Z242" s="49"/>
      <c r="AA242" s="49"/>
      <c r="AB242" s="49"/>
      <c r="AC242" s="49"/>
      <c r="AD242" s="49"/>
      <c r="AE242" s="49"/>
      <c r="AF242" s="49"/>
      <c r="AG242" s="49"/>
      <c r="AH242" s="49"/>
      <c r="AI242" s="49"/>
      <c r="AJ242" s="49"/>
      <c r="AK242" s="49"/>
      <c r="AL242" s="49"/>
      <c r="AM242" s="49"/>
      <c r="AN242" s="49"/>
      <c r="AO242" s="49"/>
    </row>
    <row r="243" spans="3:41" ht="12.75" customHeight="1">
      <c r="C243" s="49"/>
      <c r="D243" s="49"/>
      <c r="E243" s="49"/>
      <c r="F243" s="49"/>
      <c r="G243" s="49"/>
      <c r="H243" s="49"/>
      <c r="I243" s="49"/>
      <c r="J243" s="49"/>
      <c r="K243" s="49"/>
      <c r="L243" s="49"/>
      <c r="M243" s="49"/>
      <c r="S243" s="49"/>
      <c r="T243" s="49"/>
      <c r="U243" s="49"/>
      <c r="W243" s="49"/>
      <c r="X243" s="49"/>
      <c r="Y243" s="49"/>
      <c r="Z243" s="49"/>
      <c r="AA243" s="49"/>
      <c r="AB243" s="49"/>
      <c r="AC243" s="49"/>
      <c r="AD243" s="49"/>
      <c r="AE243" s="49"/>
      <c r="AF243" s="49"/>
      <c r="AG243" s="49"/>
      <c r="AH243" s="49"/>
      <c r="AI243" s="49"/>
      <c r="AJ243" s="49"/>
      <c r="AK243" s="49"/>
      <c r="AL243" s="49"/>
      <c r="AM243" s="49"/>
      <c r="AN243" s="49"/>
      <c r="AO243" s="49"/>
    </row>
    <row r="244" spans="3:41" ht="12.75" customHeight="1">
      <c r="C244" s="49"/>
      <c r="D244" s="49"/>
      <c r="E244" s="49"/>
      <c r="F244" s="49"/>
      <c r="G244" s="49"/>
      <c r="H244" s="49"/>
      <c r="I244" s="49"/>
      <c r="J244" s="49"/>
      <c r="K244" s="49"/>
      <c r="L244" s="49"/>
      <c r="M244" s="49"/>
      <c r="S244" s="49"/>
      <c r="T244" s="49"/>
      <c r="U244" s="49"/>
      <c r="W244" s="49"/>
      <c r="X244" s="49"/>
      <c r="Y244" s="49"/>
      <c r="Z244" s="49"/>
      <c r="AA244" s="49"/>
      <c r="AB244" s="49"/>
      <c r="AC244" s="49"/>
      <c r="AD244" s="49"/>
      <c r="AE244" s="49"/>
      <c r="AF244" s="49"/>
      <c r="AG244" s="49"/>
      <c r="AH244" s="49"/>
      <c r="AI244" s="49"/>
      <c r="AJ244" s="49"/>
      <c r="AK244" s="49"/>
      <c r="AL244" s="49"/>
      <c r="AM244" s="49"/>
      <c r="AN244" s="49"/>
      <c r="AO244" s="49"/>
    </row>
    <row r="245" spans="3:41" ht="12.75" customHeight="1">
      <c r="C245" s="49"/>
      <c r="D245" s="49"/>
      <c r="E245" s="49"/>
      <c r="F245" s="49"/>
      <c r="G245" s="49"/>
      <c r="H245" s="49"/>
      <c r="I245" s="49"/>
      <c r="J245" s="49"/>
      <c r="K245" s="49"/>
      <c r="L245" s="49"/>
      <c r="M245" s="49"/>
      <c r="S245" s="49"/>
      <c r="T245" s="49"/>
      <c r="U245" s="49"/>
      <c r="W245" s="49"/>
      <c r="X245" s="49"/>
      <c r="Y245" s="49"/>
      <c r="Z245" s="49"/>
      <c r="AA245" s="49"/>
      <c r="AB245" s="49"/>
      <c r="AC245" s="49"/>
      <c r="AD245" s="49"/>
      <c r="AE245" s="49"/>
      <c r="AF245" s="49"/>
      <c r="AG245" s="49"/>
      <c r="AH245" s="49"/>
      <c r="AI245" s="49"/>
      <c r="AJ245" s="49"/>
      <c r="AK245" s="49"/>
      <c r="AL245" s="49"/>
      <c r="AM245" s="49"/>
      <c r="AN245" s="49"/>
      <c r="AO245" s="49"/>
    </row>
    <row r="246" spans="3:41" ht="12.75" customHeight="1">
      <c r="C246" s="49"/>
      <c r="D246" s="49"/>
      <c r="E246" s="49"/>
      <c r="F246" s="49"/>
      <c r="G246" s="49"/>
      <c r="H246" s="49"/>
      <c r="I246" s="49"/>
      <c r="J246" s="49"/>
      <c r="K246" s="49"/>
      <c r="L246" s="49"/>
      <c r="M246" s="49"/>
      <c r="S246" s="49"/>
      <c r="T246" s="49"/>
      <c r="U246" s="49"/>
      <c r="W246" s="49"/>
      <c r="X246" s="49"/>
      <c r="Y246" s="49"/>
      <c r="Z246" s="49"/>
      <c r="AA246" s="49"/>
      <c r="AB246" s="49"/>
      <c r="AC246" s="49"/>
      <c r="AD246" s="49"/>
      <c r="AE246" s="49"/>
      <c r="AF246" s="49"/>
      <c r="AG246" s="49"/>
      <c r="AH246" s="49"/>
      <c r="AI246" s="49"/>
      <c r="AJ246" s="49"/>
      <c r="AK246" s="49"/>
      <c r="AL246" s="49"/>
      <c r="AM246" s="49"/>
      <c r="AN246" s="49"/>
      <c r="AO246" s="49"/>
    </row>
    <row r="247" spans="3:41" ht="12.75" customHeight="1">
      <c r="C247" s="49"/>
      <c r="D247" s="49"/>
      <c r="E247" s="49"/>
      <c r="F247" s="49"/>
      <c r="G247" s="49"/>
      <c r="H247" s="49"/>
      <c r="I247" s="49"/>
      <c r="J247" s="49"/>
      <c r="K247" s="49"/>
      <c r="L247" s="49"/>
      <c r="M247" s="49"/>
      <c r="S247" s="49"/>
      <c r="T247" s="49"/>
      <c r="U247" s="49"/>
      <c r="W247" s="49"/>
      <c r="X247" s="49"/>
      <c r="Y247" s="49"/>
      <c r="Z247" s="49"/>
      <c r="AA247" s="49"/>
      <c r="AB247" s="49"/>
      <c r="AC247" s="49"/>
      <c r="AD247" s="49"/>
      <c r="AE247" s="49"/>
      <c r="AF247" s="49"/>
      <c r="AG247" s="49"/>
      <c r="AH247" s="49"/>
      <c r="AI247" s="49"/>
      <c r="AJ247" s="49"/>
      <c r="AK247" s="49"/>
      <c r="AL247" s="49"/>
      <c r="AM247" s="49"/>
      <c r="AN247" s="49"/>
      <c r="AO247" s="49"/>
    </row>
    <row r="248" spans="3:41" ht="12.75" customHeight="1">
      <c r="C248" s="49"/>
      <c r="D248" s="49"/>
      <c r="E248" s="49"/>
      <c r="F248" s="49"/>
      <c r="G248" s="49"/>
      <c r="H248" s="49"/>
      <c r="I248" s="49"/>
      <c r="J248" s="49"/>
      <c r="K248" s="49"/>
      <c r="L248" s="49"/>
      <c r="M248" s="49"/>
      <c r="S248" s="49"/>
      <c r="T248" s="49"/>
      <c r="U248" s="49"/>
      <c r="W248" s="49"/>
      <c r="X248" s="49"/>
      <c r="Y248" s="49"/>
      <c r="Z248" s="49"/>
      <c r="AA248" s="49"/>
      <c r="AB248" s="49"/>
      <c r="AC248" s="49"/>
      <c r="AD248" s="49"/>
      <c r="AE248" s="49"/>
      <c r="AF248" s="49"/>
      <c r="AG248" s="49"/>
      <c r="AH248" s="49"/>
      <c r="AI248" s="49"/>
      <c r="AJ248" s="49"/>
      <c r="AK248" s="49"/>
      <c r="AL248" s="49"/>
      <c r="AM248" s="49"/>
      <c r="AN248" s="49"/>
      <c r="AO248" s="49"/>
    </row>
    <row r="249" spans="3:41" ht="12.75" customHeight="1">
      <c r="C249" s="49"/>
      <c r="D249" s="49"/>
      <c r="E249" s="49"/>
      <c r="F249" s="49"/>
      <c r="G249" s="49"/>
      <c r="H249" s="49"/>
      <c r="I249" s="49"/>
      <c r="J249" s="49"/>
      <c r="K249" s="49"/>
      <c r="L249" s="49"/>
      <c r="M249" s="49"/>
      <c r="S249" s="49"/>
      <c r="T249" s="49"/>
      <c r="U249" s="49"/>
      <c r="W249" s="49"/>
      <c r="X249" s="49"/>
      <c r="Y249" s="49"/>
      <c r="Z249" s="49"/>
      <c r="AA249" s="49"/>
      <c r="AB249" s="49"/>
      <c r="AC249" s="49"/>
      <c r="AD249" s="49"/>
      <c r="AE249" s="49"/>
      <c r="AF249" s="49"/>
      <c r="AG249" s="49"/>
      <c r="AH249" s="49"/>
      <c r="AI249" s="49"/>
      <c r="AJ249" s="49"/>
      <c r="AK249" s="49"/>
      <c r="AL249" s="49"/>
      <c r="AM249" s="49"/>
      <c r="AN249" s="49"/>
      <c r="AO249" s="49"/>
    </row>
    <row r="250" spans="3:41" ht="12.75" customHeight="1">
      <c r="C250" s="49"/>
      <c r="D250" s="49"/>
      <c r="E250" s="49"/>
      <c r="F250" s="49"/>
      <c r="G250" s="49"/>
      <c r="H250" s="49"/>
      <c r="I250" s="49"/>
      <c r="J250" s="49"/>
      <c r="K250" s="49"/>
      <c r="L250" s="49"/>
      <c r="M250" s="49"/>
      <c r="S250" s="49"/>
      <c r="T250" s="49"/>
      <c r="U250" s="49"/>
      <c r="W250" s="49"/>
      <c r="X250" s="49"/>
      <c r="Y250" s="49"/>
      <c r="Z250" s="49"/>
      <c r="AA250" s="49"/>
      <c r="AB250" s="49"/>
      <c r="AC250" s="49"/>
      <c r="AD250" s="49"/>
      <c r="AE250" s="49"/>
      <c r="AF250" s="49"/>
      <c r="AG250" s="49"/>
      <c r="AH250" s="49"/>
      <c r="AI250" s="49"/>
      <c r="AJ250" s="49"/>
      <c r="AK250" s="49"/>
      <c r="AL250" s="49"/>
      <c r="AM250" s="49"/>
      <c r="AN250" s="49"/>
      <c r="AO250" s="49"/>
    </row>
    <row r="251" spans="3:41" ht="12.75" customHeight="1">
      <c r="C251" s="49"/>
      <c r="D251" s="49"/>
      <c r="E251" s="49"/>
      <c r="F251" s="49"/>
      <c r="G251" s="49"/>
      <c r="H251" s="49"/>
      <c r="I251" s="49"/>
      <c r="J251" s="49"/>
      <c r="K251" s="49"/>
      <c r="L251" s="49"/>
      <c r="M251" s="49"/>
      <c r="S251" s="49"/>
      <c r="T251" s="49"/>
      <c r="U251" s="49"/>
      <c r="W251" s="49"/>
      <c r="X251" s="49"/>
      <c r="Y251" s="49"/>
      <c r="Z251" s="49"/>
      <c r="AA251" s="49"/>
      <c r="AB251" s="49"/>
      <c r="AC251" s="49"/>
      <c r="AD251" s="49"/>
      <c r="AE251" s="49"/>
      <c r="AF251" s="49"/>
      <c r="AG251" s="49"/>
      <c r="AH251" s="49"/>
      <c r="AI251" s="49"/>
      <c r="AJ251" s="49"/>
      <c r="AK251" s="49"/>
      <c r="AL251" s="49"/>
      <c r="AM251" s="49"/>
      <c r="AN251" s="49"/>
      <c r="AO251" s="49"/>
    </row>
    <row r="252" spans="3:41" ht="12.75" customHeight="1">
      <c r="C252" s="49"/>
      <c r="D252" s="49"/>
      <c r="E252" s="49"/>
      <c r="F252" s="49"/>
      <c r="G252" s="49"/>
      <c r="H252" s="49"/>
      <c r="I252" s="49"/>
      <c r="J252" s="49"/>
      <c r="K252" s="49"/>
      <c r="L252" s="49"/>
      <c r="M252" s="49"/>
      <c r="S252" s="49"/>
      <c r="T252" s="49"/>
      <c r="U252" s="49"/>
      <c r="W252" s="49"/>
      <c r="X252" s="49"/>
      <c r="Y252" s="49"/>
      <c r="Z252" s="49"/>
      <c r="AA252" s="49"/>
      <c r="AB252" s="49"/>
      <c r="AC252" s="49"/>
      <c r="AD252" s="49"/>
      <c r="AE252" s="49"/>
      <c r="AF252" s="49"/>
      <c r="AG252" s="49"/>
      <c r="AH252" s="49"/>
      <c r="AI252" s="49"/>
      <c r="AJ252" s="49"/>
      <c r="AK252" s="49"/>
      <c r="AL252" s="49"/>
      <c r="AM252" s="49"/>
      <c r="AN252" s="49"/>
      <c r="AO252" s="49"/>
    </row>
    <row r="253" spans="3:41" ht="12.75" customHeight="1">
      <c r="C253" s="49"/>
      <c r="D253" s="49"/>
      <c r="E253" s="49"/>
      <c r="F253" s="49"/>
      <c r="G253" s="49"/>
      <c r="H253" s="49"/>
      <c r="I253" s="49"/>
      <c r="J253" s="49"/>
      <c r="K253" s="49"/>
      <c r="L253" s="49"/>
      <c r="M253" s="49"/>
      <c r="S253" s="49"/>
      <c r="T253" s="49"/>
      <c r="U253" s="49"/>
      <c r="W253" s="49"/>
      <c r="X253" s="49"/>
      <c r="Y253" s="49"/>
      <c r="Z253" s="49"/>
      <c r="AA253" s="49"/>
      <c r="AB253" s="49"/>
      <c r="AC253" s="49"/>
      <c r="AD253" s="49"/>
      <c r="AE253" s="49"/>
      <c r="AF253" s="49"/>
      <c r="AG253" s="49"/>
      <c r="AH253" s="49"/>
      <c r="AI253" s="49"/>
      <c r="AJ253" s="49"/>
      <c r="AK253" s="49"/>
      <c r="AL253" s="49"/>
      <c r="AM253" s="49"/>
      <c r="AN253" s="49"/>
      <c r="AO253" s="49"/>
    </row>
    <row r="254" spans="3:41" ht="12.75" customHeight="1">
      <c r="C254" s="49"/>
      <c r="D254" s="49"/>
      <c r="E254" s="49"/>
      <c r="F254" s="49"/>
      <c r="G254" s="49"/>
      <c r="H254" s="49"/>
      <c r="I254" s="49"/>
      <c r="J254" s="49"/>
      <c r="K254" s="49"/>
      <c r="L254" s="49"/>
      <c r="M254" s="49"/>
      <c r="S254" s="49"/>
      <c r="T254" s="49"/>
      <c r="U254" s="49"/>
      <c r="W254" s="49"/>
      <c r="X254" s="49"/>
      <c r="Y254" s="49"/>
      <c r="Z254" s="49"/>
      <c r="AA254" s="49"/>
      <c r="AB254" s="49"/>
      <c r="AC254" s="49"/>
      <c r="AD254" s="49"/>
      <c r="AE254" s="49"/>
      <c r="AF254" s="49"/>
      <c r="AG254" s="49"/>
      <c r="AH254" s="49"/>
      <c r="AI254" s="49"/>
      <c r="AJ254" s="49"/>
      <c r="AK254" s="49"/>
      <c r="AL254" s="49"/>
      <c r="AM254" s="49"/>
      <c r="AN254" s="49"/>
      <c r="AO254" s="49"/>
    </row>
    <row r="255" spans="3:41" ht="12.75" customHeight="1">
      <c r="C255" s="49"/>
      <c r="D255" s="49"/>
      <c r="E255" s="49"/>
      <c r="F255" s="49"/>
      <c r="G255" s="49"/>
      <c r="H255" s="49"/>
      <c r="I255" s="49"/>
      <c r="J255" s="49"/>
      <c r="K255" s="49"/>
      <c r="L255" s="49"/>
      <c r="M255" s="49"/>
      <c r="S255" s="49"/>
      <c r="T255" s="49"/>
      <c r="U255" s="49"/>
      <c r="W255" s="49"/>
      <c r="X255" s="49"/>
      <c r="Y255" s="49"/>
      <c r="Z255" s="49"/>
      <c r="AA255" s="49"/>
      <c r="AB255" s="49"/>
      <c r="AC255" s="49"/>
      <c r="AD255" s="49"/>
      <c r="AE255" s="49"/>
      <c r="AF255" s="49"/>
      <c r="AG255" s="49"/>
      <c r="AH255" s="49"/>
      <c r="AI255" s="49"/>
      <c r="AJ255" s="49"/>
      <c r="AK255" s="49"/>
      <c r="AL255" s="49"/>
      <c r="AM255" s="49"/>
      <c r="AN255" s="49"/>
      <c r="AO255" s="49"/>
    </row>
    <row r="256" spans="3:41" ht="12.75" customHeight="1">
      <c r="C256" s="49"/>
      <c r="D256" s="49"/>
      <c r="E256" s="49"/>
      <c r="F256" s="49"/>
      <c r="G256" s="49"/>
      <c r="H256" s="49"/>
      <c r="I256" s="49"/>
      <c r="J256" s="49"/>
      <c r="K256" s="49"/>
      <c r="L256" s="49"/>
      <c r="M256" s="49"/>
      <c r="S256" s="49"/>
      <c r="T256" s="49"/>
      <c r="U256" s="49"/>
      <c r="W256" s="49"/>
      <c r="X256" s="49"/>
      <c r="Y256" s="49"/>
      <c r="Z256" s="49"/>
      <c r="AA256" s="49"/>
      <c r="AB256" s="49"/>
      <c r="AC256" s="49"/>
      <c r="AD256" s="49"/>
      <c r="AE256" s="49"/>
      <c r="AF256" s="49"/>
      <c r="AG256" s="49"/>
      <c r="AH256" s="49"/>
      <c r="AI256" s="49"/>
      <c r="AJ256" s="49"/>
      <c r="AK256" s="49"/>
      <c r="AL256" s="49"/>
      <c r="AM256" s="49"/>
      <c r="AN256" s="49"/>
      <c r="AO256" s="49"/>
    </row>
    <row r="257" spans="3:41" ht="12.75" customHeight="1">
      <c r="C257" s="49"/>
      <c r="D257" s="49"/>
      <c r="E257" s="49"/>
      <c r="F257" s="49"/>
      <c r="G257" s="49"/>
      <c r="H257" s="49"/>
      <c r="I257" s="49"/>
      <c r="J257" s="49"/>
      <c r="K257" s="49"/>
      <c r="L257" s="49"/>
      <c r="M257" s="49"/>
      <c r="S257" s="49"/>
      <c r="T257" s="49"/>
      <c r="U257" s="49"/>
      <c r="W257" s="49"/>
      <c r="X257" s="49"/>
      <c r="Y257" s="49"/>
      <c r="Z257" s="49"/>
      <c r="AA257" s="49"/>
      <c r="AB257" s="49"/>
      <c r="AC257" s="49"/>
      <c r="AD257" s="49"/>
      <c r="AE257" s="49"/>
      <c r="AF257" s="49"/>
      <c r="AG257" s="49"/>
      <c r="AH257" s="49"/>
      <c r="AI257" s="49"/>
      <c r="AJ257" s="49"/>
      <c r="AK257" s="49"/>
      <c r="AL257" s="49"/>
      <c r="AM257" s="49"/>
      <c r="AN257" s="49"/>
      <c r="AO257" s="49"/>
    </row>
    <row r="258" spans="3:41" ht="12.75" customHeight="1">
      <c r="C258" s="49"/>
      <c r="D258" s="49"/>
      <c r="E258" s="49"/>
      <c r="F258" s="49"/>
      <c r="G258" s="49"/>
      <c r="H258" s="49"/>
      <c r="I258" s="49"/>
      <c r="J258" s="49"/>
      <c r="K258" s="49"/>
      <c r="L258" s="49"/>
      <c r="M258" s="49"/>
      <c r="S258" s="49"/>
      <c r="T258" s="49"/>
      <c r="U258" s="49"/>
      <c r="W258" s="49"/>
      <c r="X258" s="49"/>
      <c r="Y258" s="49"/>
      <c r="Z258" s="49"/>
      <c r="AA258" s="49"/>
      <c r="AB258" s="49"/>
      <c r="AC258" s="49"/>
      <c r="AD258" s="49"/>
      <c r="AE258" s="49"/>
      <c r="AF258" s="49"/>
      <c r="AG258" s="49"/>
      <c r="AH258" s="49"/>
      <c r="AI258" s="49"/>
      <c r="AJ258" s="49"/>
      <c r="AK258" s="49"/>
      <c r="AL258" s="49"/>
      <c r="AM258" s="49"/>
      <c r="AN258" s="49"/>
      <c r="AO258" s="49"/>
    </row>
    <row r="259" spans="3:41" ht="12.75" customHeight="1">
      <c r="C259" s="49"/>
      <c r="D259" s="49"/>
      <c r="E259" s="49"/>
      <c r="F259" s="49"/>
      <c r="G259" s="49"/>
      <c r="H259" s="49"/>
      <c r="I259" s="49"/>
      <c r="J259" s="49"/>
      <c r="K259" s="49"/>
      <c r="L259" s="49"/>
      <c r="M259" s="49"/>
      <c r="S259" s="49"/>
      <c r="T259" s="49"/>
      <c r="U259" s="49"/>
      <c r="W259" s="49"/>
      <c r="X259" s="49"/>
      <c r="Y259" s="49"/>
      <c r="Z259" s="49"/>
      <c r="AA259" s="49"/>
      <c r="AB259" s="49"/>
      <c r="AC259" s="49"/>
      <c r="AD259" s="49"/>
      <c r="AE259" s="49"/>
      <c r="AF259" s="49"/>
      <c r="AG259" s="49"/>
      <c r="AH259" s="49"/>
      <c r="AI259" s="49"/>
      <c r="AJ259" s="49"/>
      <c r="AK259" s="49"/>
      <c r="AL259" s="49"/>
      <c r="AM259" s="49"/>
      <c r="AN259" s="49"/>
      <c r="AO259" s="49"/>
    </row>
    <row r="260" spans="3:41" ht="12.75" customHeight="1">
      <c r="C260" s="49"/>
      <c r="D260" s="49"/>
      <c r="E260" s="49"/>
      <c r="F260" s="49"/>
      <c r="G260" s="49"/>
      <c r="H260" s="49"/>
      <c r="I260" s="49"/>
      <c r="J260" s="49"/>
      <c r="K260" s="49"/>
      <c r="L260" s="49"/>
      <c r="M260" s="49"/>
      <c r="S260" s="49"/>
      <c r="T260" s="49"/>
      <c r="U260" s="49"/>
      <c r="W260" s="49"/>
      <c r="X260" s="49"/>
      <c r="Y260" s="49"/>
      <c r="Z260" s="49"/>
      <c r="AA260" s="49"/>
      <c r="AB260" s="49"/>
      <c r="AC260" s="49"/>
      <c r="AD260" s="49"/>
      <c r="AE260" s="49"/>
      <c r="AF260" s="49"/>
      <c r="AG260" s="49"/>
      <c r="AH260" s="49"/>
      <c r="AI260" s="49"/>
      <c r="AJ260" s="49"/>
      <c r="AK260" s="49"/>
      <c r="AL260" s="49"/>
      <c r="AM260" s="49"/>
      <c r="AN260" s="49"/>
      <c r="AO260" s="49"/>
    </row>
    <row r="261" spans="3:41" ht="12.75" customHeight="1">
      <c r="C261" s="49"/>
      <c r="D261" s="49"/>
      <c r="E261" s="49"/>
      <c r="F261" s="49"/>
      <c r="G261" s="49"/>
      <c r="H261" s="49"/>
      <c r="I261" s="49"/>
      <c r="J261" s="49"/>
      <c r="K261" s="49"/>
      <c r="L261" s="49"/>
      <c r="M261" s="49"/>
      <c r="S261" s="49"/>
      <c r="T261" s="49"/>
      <c r="U261" s="49"/>
      <c r="W261" s="49"/>
      <c r="X261" s="49"/>
      <c r="Y261" s="49"/>
      <c r="Z261" s="49"/>
      <c r="AA261" s="49"/>
      <c r="AB261" s="49"/>
      <c r="AC261" s="49"/>
      <c r="AD261" s="49"/>
      <c r="AE261" s="49"/>
      <c r="AF261" s="49"/>
      <c r="AG261" s="49"/>
      <c r="AH261" s="49"/>
      <c r="AI261" s="49"/>
      <c r="AJ261" s="49"/>
      <c r="AK261" s="49"/>
      <c r="AL261" s="49"/>
      <c r="AM261" s="49"/>
      <c r="AN261" s="49"/>
      <c r="AO261" s="49"/>
    </row>
    <row r="262" spans="3:41" ht="12.75" customHeight="1">
      <c r="C262" s="49"/>
      <c r="D262" s="49"/>
      <c r="E262" s="49"/>
      <c r="F262" s="49"/>
      <c r="G262" s="49"/>
      <c r="H262" s="49"/>
      <c r="I262" s="49"/>
      <c r="J262" s="49"/>
      <c r="K262" s="49"/>
      <c r="L262" s="49"/>
      <c r="M262" s="49"/>
      <c r="S262" s="49"/>
      <c r="T262" s="49"/>
      <c r="U262" s="49"/>
      <c r="W262" s="49"/>
      <c r="X262" s="49"/>
      <c r="Y262" s="49"/>
      <c r="Z262" s="49"/>
      <c r="AA262" s="49"/>
      <c r="AB262" s="49"/>
      <c r="AC262" s="49"/>
      <c r="AD262" s="49"/>
      <c r="AE262" s="49"/>
      <c r="AF262" s="49"/>
      <c r="AG262" s="49"/>
      <c r="AH262" s="49"/>
      <c r="AI262" s="49"/>
      <c r="AJ262" s="49"/>
      <c r="AK262" s="49"/>
      <c r="AL262" s="49"/>
      <c r="AM262" s="49"/>
      <c r="AN262" s="49"/>
      <c r="AO262" s="49"/>
    </row>
    <row r="263" spans="3:41" ht="12.75" customHeight="1">
      <c r="C263" s="49"/>
      <c r="D263" s="49"/>
      <c r="E263" s="49"/>
      <c r="F263" s="49"/>
      <c r="G263" s="49"/>
      <c r="H263" s="49"/>
      <c r="I263" s="49"/>
      <c r="J263" s="49"/>
      <c r="K263" s="49"/>
      <c r="L263" s="49"/>
      <c r="M263" s="49"/>
      <c r="S263" s="49"/>
      <c r="T263" s="49"/>
      <c r="U263" s="49"/>
      <c r="W263" s="49"/>
      <c r="X263" s="49"/>
      <c r="Y263" s="49"/>
      <c r="Z263" s="49"/>
      <c r="AA263" s="49"/>
      <c r="AB263" s="49"/>
      <c r="AC263" s="49"/>
      <c r="AD263" s="49"/>
      <c r="AE263" s="49"/>
      <c r="AF263" s="49"/>
      <c r="AG263" s="49"/>
      <c r="AH263" s="49"/>
      <c r="AI263" s="49"/>
      <c r="AJ263" s="49"/>
      <c r="AK263" s="49"/>
      <c r="AL263" s="49"/>
      <c r="AM263" s="49"/>
      <c r="AN263" s="49"/>
      <c r="AO263" s="49"/>
    </row>
    <row r="264" spans="3:41" ht="12.75" customHeight="1">
      <c r="C264" s="49"/>
      <c r="D264" s="49"/>
      <c r="E264" s="49"/>
      <c r="F264" s="49"/>
      <c r="G264" s="49"/>
      <c r="H264" s="49"/>
      <c r="I264" s="49"/>
      <c r="J264" s="49"/>
      <c r="K264" s="49"/>
      <c r="L264" s="49"/>
      <c r="M264" s="49"/>
      <c r="S264" s="49"/>
      <c r="T264" s="49"/>
      <c r="U264" s="49"/>
      <c r="W264" s="49"/>
      <c r="X264" s="49"/>
      <c r="Y264" s="49"/>
      <c r="Z264" s="49"/>
      <c r="AA264" s="49"/>
      <c r="AB264" s="49"/>
      <c r="AC264" s="49"/>
      <c r="AD264" s="49"/>
      <c r="AE264" s="49"/>
      <c r="AF264" s="49"/>
      <c r="AG264" s="49"/>
      <c r="AH264" s="49"/>
      <c r="AI264" s="49"/>
      <c r="AJ264" s="49"/>
      <c r="AK264" s="49"/>
      <c r="AL264" s="49"/>
      <c r="AM264" s="49"/>
      <c r="AN264" s="49"/>
      <c r="AO264" s="49"/>
    </row>
    <row r="265" spans="3:41" ht="12.75" customHeight="1">
      <c r="C265" s="49"/>
      <c r="D265" s="49"/>
      <c r="E265" s="49"/>
      <c r="F265" s="49"/>
      <c r="G265" s="49"/>
      <c r="H265" s="49"/>
      <c r="I265" s="49"/>
      <c r="J265" s="49"/>
      <c r="K265" s="49"/>
      <c r="L265" s="49"/>
      <c r="M265" s="49"/>
      <c r="S265" s="49"/>
      <c r="T265" s="49"/>
      <c r="U265" s="49"/>
      <c r="W265" s="49"/>
      <c r="X265" s="49"/>
      <c r="Y265" s="49"/>
      <c r="Z265" s="49"/>
      <c r="AA265" s="49"/>
      <c r="AB265" s="49"/>
      <c r="AC265" s="49"/>
      <c r="AD265" s="49"/>
      <c r="AE265" s="49"/>
      <c r="AF265" s="49"/>
      <c r="AG265" s="49"/>
      <c r="AH265" s="49"/>
      <c r="AI265" s="49"/>
      <c r="AJ265" s="49"/>
      <c r="AK265" s="49"/>
      <c r="AL265" s="49"/>
      <c r="AM265" s="49"/>
      <c r="AN265" s="49"/>
      <c r="AO265" s="49"/>
    </row>
    <row r="266" spans="3:41" ht="12.75" customHeight="1">
      <c r="C266" s="49"/>
      <c r="D266" s="49"/>
      <c r="E266" s="49"/>
      <c r="F266" s="49"/>
      <c r="G266" s="49"/>
      <c r="H266" s="49"/>
      <c r="I266" s="49"/>
      <c r="J266" s="49"/>
      <c r="K266" s="49"/>
      <c r="L266" s="49"/>
      <c r="M266" s="49"/>
      <c r="S266" s="49"/>
      <c r="T266" s="49"/>
      <c r="U266" s="49"/>
      <c r="W266" s="49"/>
      <c r="X266" s="49"/>
      <c r="Y266" s="49"/>
      <c r="Z266" s="49"/>
      <c r="AA266" s="49"/>
      <c r="AB266" s="49"/>
      <c r="AC266" s="49"/>
      <c r="AD266" s="49"/>
      <c r="AE266" s="49"/>
      <c r="AF266" s="49"/>
      <c r="AG266" s="49"/>
      <c r="AH266" s="49"/>
      <c r="AI266" s="49"/>
      <c r="AJ266" s="49"/>
      <c r="AK266" s="49"/>
      <c r="AL266" s="49"/>
      <c r="AM266" s="49"/>
      <c r="AN266" s="49"/>
      <c r="AO266" s="49"/>
    </row>
    <row r="267" spans="3:41" ht="12.75" customHeight="1">
      <c r="C267" s="49"/>
      <c r="D267" s="49"/>
      <c r="E267" s="49"/>
      <c r="F267" s="49"/>
      <c r="G267" s="49"/>
      <c r="H267" s="49"/>
      <c r="I267" s="49"/>
      <c r="J267" s="49"/>
      <c r="K267" s="49"/>
      <c r="L267" s="49"/>
      <c r="M267" s="49"/>
      <c r="S267" s="49"/>
      <c r="T267" s="49"/>
      <c r="U267" s="49"/>
      <c r="W267" s="49"/>
      <c r="X267" s="49"/>
      <c r="Y267" s="49"/>
      <c r="Z267" s="49"/>
      <c r="AA267" s="49"/>
      <c r="AB267" s="49"/>
      <c r="AC267" s="49"/>
      <c r="AD267" s="49"/>
      <c r="AE267" s="49"/>
      <c r="AF267" s="49"/>
      <c r="AG267" s="49"/>
      <c r="AH267" s="49"/>
      <c r="AI267" s="49"/>
      <c r="AJ267" s="49"/>
      <c r="AK267" s="49"/>
      <c r="AL267" s="49"/>
      <c r="AM267" s="49"/>
      <c r="AN267" s="49"/>
      <c r="AO267" s="49"/>
    </row>
    <row r="268" spans="3:41" ht="12.75" customHeight="1">
      <c r="C268" s="49"/>
      <c r="D268" s="49"/>
      <c r="E268" s="49"/>
      <c r="F268" s="49"/>
      <c r="G268" s="49"/>
      <c r="H268" s="49"/>
      <c r="I268" s="49"/>
      <c r="J268" s="49"/>
      <c r="K268" s="49"/>
      <c r="L268" s="49"/>
      <c r="M268" s="49"/>
      <c r="S268" s="49"/>
      <c r="T268" s="49"/>
      <c r="U268" s="49"/>
      <c r="W268" s="49"/>
      <c r="X268" s="49"/>
      <c r="Y268" s="49"/>
      <c r="Z268" s="49"/>
      <c r="AA268" s="49"/>
      <c r="AB268" s="49"/>
      <c r="AC268" s="49"/>
      <c r="AD268" s="49"/>
      <c r="AE268" s="49"/>
      <c r="AF268" s="49"/>
      <c r="AG268" s="49"/>
      <c r="AH268" s="49"/>
      <c r="AI268" s="49"/>
      <c r="AJ268" s="49"/>
      <c r="AK268" s="49"/>
      <c r="AL268" s="49"/>
      <c r="AM268" s="49"/>
      <c r="AN268" s="49"/>
      <c r="AO268" s="49"/>
    </row>
    <row r="269" spans="3:41" ht="12.75" customHeight="1">
      <c r="C269" s="49"/>
      <c r="D269" s="49"/>
      <c r="E269" s="49"/>
      <c r="F269" s="49"/>
      <c r="G269" s="49"/>
      <c r="H269" s="49"/>
      <c r="I269" s="49"/>
      <c r="J269" s="49"/>
      <c r="K269" s="49"/>
      <c r="L269" s="49"/>
      <c r="M269" s="49"/>
      <c r="S269" s="49"/>
      <c r="T269" s="49"/>
      <c r="U269" s="49"/>
      <c r="W269" s="49"/>
      <c r="X269" s="49"/>
      <c r="Y269" s="49"/>
      <c r="Z269" s="49"/>
      <c r="AA269" s="49"/>
      <c r="AB269" s="49"/>
      <c r="AC269" s="49"/>
      <c r="AD269" s="49"/>
      <c r="AE269" s="49"/>
      <c r="AF269" s="49"/>
      <c r="AG269" s="49"/>
      <c r="AH269" s="49"/>
      <c r="AI269" s="49"/>
      <c r="AJ269" s="49"/>
      <c r="AK269" s="49"/>
      <c r="AL269" s="49"/>
      <c r="AM269" s="49"/>
      <c r="AN269" s="49"/>
      <c r="AO269" s="49"/>
    </row>
    <row r="270" spans="3:41" ht="12.75" customHeight="1">
      <c r="C270" s="49"/>
      <c r="D270" s="49"/>
      <c r="E270" s="49"/>
      <c r="F270" s="49"/>
      <c r="G270" s="49"/>
      <c r="H270" s="49"/>
      <c r="I270" s="49"/>
      <c r="J270" s="49"/>
      <c r="K270" s="49"/>
      <c r="L270" s="49"/>
      <c r="M270" s="49"/>
      <c r="S270" s="49"/>
      <c r="T270" s="49"/>
      <c r="U270" s="49"/>
      <c r="W270" s="49"/>
      <c r="X270" s="49"/>
      <c r="Y270" s="49"/>
      <c r="Z270" s="49"/>
      <c r="AA270" s="49"/>
      <c r="AB270" s="49"/>
      <c r="AC270" s="49"/>
      <c r="AD270" s="49"/>
      <c r="AE270" s="49"/>
      <c r="AF270" s="49"/>
      <c r="AG270" s="49"/>
      <c r="AH270" s="49"/>
      <c r="AI270" s="49"/>
      <c r="AJ270" s="49"/>
      <c r="AK270" s="49"/>
      <c r="AL270" s="49"/>
      <c r="AM270" s="49"/>
      <c r="AN270" s="49"/>
      <c r="AO270" s="49"/>
    </row>
    <row r="271" spans="3:41" ht="12.75" customHeight="1">
      <c r="C271" s="49"/>
      <c r="D271" s="49"/>
      <c r="E271" s="49"/>
      <c r="F271" s="49"/>
      <c r="G271" s="49"/>
      <c r="H271" s="49"/>
      <c r="I271" s="49"/>
      <c r="J271" s="49"/>
      <c r="K271" s="49"/>
      <c r="L271" s="49"/>
      <c r="M271" s="49"/>
      <c r="S271" s="49"/>
      <c r="T271" s="49"/>
      <c r="U271" s="49"/>
      <c r="W271" s="49"/>
      <c r="X271" s="49"/>
      <c r="Y271" s="49"/>
      <c r="Z271" s="49"/>
      <c r="AA271" s="49"/>
      <c r="AB271" s="49"/>
      <c r="AC271" s="49"/>
      <c r="AD271" s="49"/>
      <c r="AE271" s="49"/>
      <c r="AF271" s="49"/>
      <c r="AG271" s="49"/>
      <c r="AH271" s="49"/>
      <c r="AI271" s="49"/>
      <c r="AJ271" s="49"/>
      <c r="AK271" s="49"/>
      <c r="AL271" s="49"/>
      <c r="AM271" s="49"/>
      <c r="AN271" s="49"/>
      <c r="AO271" s="49"/>
    </row>
    <row r="272" spans="3:41" ht="12.75" customHeight="1">
      <c r="C272" s="49"/>
      <c r="D272" s="49"/>
      <c r="E272" s="49"/>
      <c r="F272" s="49"/>
      <c r="G272" s="49"/>
      <c r="H272" s="49"/>
      <c r="I272" s="49"/>
      <c r="J272" s="49"/>
      <c r="K272" s="49"/>
      <c r="L272" s="49"/>
      <c r="M272" s="49"/>
      <c r="S272" s="49"/>
      <c r="T272" s="49"/>
      <c r="U272" s="49"/>
      <c r="W272" s="49"/>
      <c r="X272" s="49"/>
      <c r="Y272" s="49"/>
      <c r="Z272" s="49"/>
      <c r="AA272" s="49"/>
      <c r="AB272" s="49"/>
      <c r="AC272" s="49"/>
      <c r="AD272" s="49"/>
      <c r="AE272" s="49"/>
      <c r="AF272" s="49"/>
      <c r="AG272" s="49"/>
      <c r="AH272" s="49"/>
      <c r="AI272" s="49"/>
      <c r="AJ272" s="49"/>
      <c r="AK272" s="49"/>
      <c r="AL272" s="49"/>
      <c r="AM272" s="49"/>
      <c r="AN272" s="49"/>
      <c r="AO272" s="49"/>
    </row>
    <row r="273" spans="3:41" ht="12.75" customHeight="1">
      <c r="C273" s="49"/>
      <c r="D273" s="49"/>
      <c r="E273" s="49"/>
      <c r="F273" s="49"/>
      <c r="G273" s="49"/>
      <c r="H273" s="49"/>
      <c r="I273" s="49"/>
      <c r="J273" s="49"/>
      <c r="K273" s="49"/>
      <c r="L273" s="49"/>
      <c r="M273" s="49"/>
      <c r="S273" s="49"/>
      <c r="T273" s="49"/>
      <c r="U273" s="49"/>
      <c r="W273" s="49"/>
      <c r="X273" s="49"/>
      <c r="Y273" s="49"/>
      <c r="Z273" s="49"/>
      <c r="AA273" s="49"/>
      <c r="AB273" s="49"/>
      <c r="AC273" s="49"/>
      <c r="AD273" s="49"/>
      <c r="AE273" s="49"/>
      <c r="AF273" s="49"/>
      <c r="AG273" s="49"/>
      <c r="AH273" s="49"/>
      <c r="AI273" s="49"/>
      <c r="AJ273" s="49"/>
      <c r="AK273" s="49"/>
      <c r="AL273" s="49"/>
      <c r="AM273" s="49"/>
      <c r="AN273" s="49"/>
      <c r="AO273" s="49"/>
    </row>
    <row r="274" spans="3:41" ht="12.75" customHeight="1">
      <c r="C274" s="49"/>
      <c r="D274" s="49"/>
      <c r="E274" s="49"/>
      <c r="F274" s="49"/>
      <c r="G274" s="49"/>
      <c r="H274" s="49"/>
      <c r="I274" s="49"/>
      <c r="J274" s="49"/>
      <c r="K274" s="49"/>
      <c r="L274" s="49"/>
      <c r="M274" s="49"/>
      <c r="S274" s="49"/>
      <c r="T274" s="49"/>
      <c r="U274" s="49"/>
      <c r="W274" s="49"/>
      <c r="X274" s="49"/>
      <c r="Y274" s="49"/>
      <c r="Z274" s="49"/>
      <c r="AA274" s="49"/>
      <c r="AB274" s="49"/>
      <c r="AC274" s="49"/>
      <c r="AD274" s="49"/>
      <c r="AE274" s="49"/>
      <c r="AF274" s="49"/>
      <c r="AG274" s="49"/>
      <c r="AH274" s="49"/>
      <c r="AI274" s="49"/>
      <c r="AJ274" s="49"/>
      <c r="AK274" s="49"/>
      <c r="AL274" s="49"/>
      <c r="AM274" s="49"/>
      <c r="AN274" s="49"/>
      <c r="AO274" s="49"/>
    </row>
    <row r="275" spans="3:41" ht="12.75" customHeight="1">
      <c r="C275" s="49"/>
      <c r="D275" s="49"/>
      <c r="E275" s="49"/>
      <c r="F275" s="49"/>
      <c r="G275" s="49"/>
      <c r="H275" s="49"/>
      <c r="I275" s="49"/>
      <c r="J275" s="49"/>
      <c r="K275" s="49"/>
      <c r="L275" s="49"/>
      <c r="M275" s="49"/>
      <c r="S275" s="49"/>
      <c r="T275" s="49"/>
      <c r="U275" s="49"/>
      <c r="W275" s="49"/>
      <c r="X275" s="49"/>
      <c r="Y275" s="49"/>
      <c r="Z275" s="49"/>
      <c r="AA275" s="49"/>
      <c r="AB275" s="49"/>
      <c r="AC275" s="49"/>
      <c r="AD275" s="49"/>
      <c r="AE275" s="49"/>
      <c r="AF275" s="49"/>
      <c r="AG275" s="49"/>
      <c r="AH275" s="49"/>
      <c r="AI275" s="49"/>
      <c r="AJ275" s="49"/>
      <c r="AK275" s="49"/>
      <c r="AL275" s="49"/>
      <c r="AM275" s="49"/>
      <c r="AN275" s="49"/>
      <c r="AO275" s="49"/>
    </row>
    <row r="276" spans="3:41" ht="12.75" customHeight="1">
      <c r="C276" s="49"/>
      <c r="D276" s="49"/>
      <c r="E276" s="49"/>
      <c r="F276" s="49"/>
      <c r="G276" s="49"/>
      <c r="H276" s="49"/>
      <c r="I276" s="49"/>
      <c r="J276" s="49"/>
      <c r="K276" s="49"/>
      <c r="L276" s="49"/>
      <c r="M276" s="49"/>
      <c r="S276" s="49"/>
      <c r="T276" s="49"/>
      <c r="U276" s="49"/>
      <c r="W276" s="49"/>
      <c r="X276" s="49"/>
      <c r="Y276" s="49"/>
      <c r="Z276" s="49"/>
      <c r="AA276" s="49"/>
      <c r="AB276" s="49"/>
      <c r="AC276" s="49"/>
      <c r="AD276" s="49"/>
      <c r="AE276" s="49"/>
      <c r="AF276" s="49"/>
      <c r="AG276" s="49"/>
      <c r="AH276" s="49"/>
      <c r="AI276" s="49"/>
      <c r="AJ276" s="49"/>
      <c r="AK276" s="49"/>
      <c r="AL276" s="49"/>
      <c r="AM276" s="49"/>
      <c r="AN276" s="49"/>
      <c r="AO276" s="49"/>
    </row>
    <row r="277" spans="3:41" ht="12.75" customHeight="1">
      <c r="C277" s="49"/>
      <c r="D277" s="49"/>
      <c r="E277" s="49"/>
      <c r="F277" s="49"/>
      <c r="G277" s="49"/>
      <c r="H277" s="49"/>
      <c r="I277" s="49"/>
      <c r="J277" s="49"/>
      <c r="K277" s="49"/>
      <c r="L277" s="49"/>
      <c r="M277" s="49"/>
      <c r="S277" s="49"/>
      <c r="T277" s="49"/>
      <c r="U277" s="49"/>
      <c r="W277" s="49"/>
      <c r="X277" s="49"/>
      <c r="Y277" s="49"/>
      <c r="Z277" s="49"/>
      <c r="AA277" s="49"/>
      <c r="AB277" s="49"/>
      <c r="AC277" s="49"/>
      <c r="AD277" s="49"/>
      <c r="AE277" s="49"/>
      <c r="AF277" s="49"/>
      <c r="AG277" s="49"/>
      <c r="AH277" s="49"/>
      <c r="AI277" s="49"/>
      <c r="AJ277" s="49"/>
      <c r="AK277" s="49"/>
      <c r="AL277" s="49"/>
      <c r="AM277" s="49"/>
      <c r="AN277" s="49"/>
      <c r="AO277" s="49"/>
    </row>
    <row r="278" spans="3:41" ht="12.75" customHeight="1">
      <c r="C278" s="49"/>
      <c r="D278" s="49"/>
      <c r="E278" s="49"/>
      <c r="F278" s="49"/>
      <c r="G278" s="49"/>
      <c r="H278" s="49"/>
      <c r="I278" s="49"/>
      <c r="J278" s="49"/>
      <c r="K278" s="49"/>
      <c r="L278" s="49"/>
      <c r="M278" s="49"/>
      <c r="S278" s="49"/>
      <c r="T278" s="49"/>
      <c r="U278" s="49"/>
      <c r="W278" s="49"/>
      <c r="X278" s="49"/>
      <c r="Y278" s="49"/>
      <c r="Z278" s="49"/>
      <c r="AA278" s="49"/>
      <c r="AB278" s="49"/>
      <c r="AC278" s="49"/>
      <c r="AD278" s="49"/>
      <c r="AE278" s="49"/>
      <c r="AF278" s="49"/>
      <c r="AG278" s="49"/>
      <c r="AH278" s="49"/>
      <c r="AI278" s="49"/>
      <c r="AJ278" s="49"/>
      <c r="AK278" s="49"/>
      <c r="AL278" s="49"/>
      <c r="AM278" s="49"/>
      <c r="AN278" s="49"/>
      <c r="AO278" s="49"/>
    </row>
    <row r="279" spans="3:41" ht="12.75" customHeight="1">
      <c r="C279" s="49"/>
      <c r="D279" s="49"/>
      <c r="E279" s="49"/>
      <c r="F279" s="49"/>
      <c r="G279" s="49"/>
      <c r="H279" s="49"/>
      <c r="I279" s="49"/>
      <c r="J279" s="49"/>
      <c r="K279" s="49"/>
      <c r="L279" s="49"/>
      <c r="M279" s="49"/>
      <c r="S279" s="49"/>
      <c r="T279" s="49"/>
      <c r="U279" s="49"/>
      <c r="W279" s="49"/>
      <c r="X279" s="49"/>
      <c r="Y279" s="49"/>
      <c r="Z279" s="49"/>
      <c r="AA279" s="49"/>
      <c r="AB279" s="49"/>
      <c r="AC279" s="49"/>
      <c r="AD279" s="49"/>
      <c r="AE279" s="49"/>
      <c r="AF279" s="49"/>
      <c r="AG279" s="49"/>
      <c r="AH279" s="49"/>
      <c r="AI279" s="49"/>
      <c r="AJ279" s="49"/>
      <c r="AK279" s="49"/>
      <c r="AL279" s="49"/>
      <c r="AM279" s="49"/>
      <c r="AN279" s="49"/>
      <c r="AO279" s="49"/>
    </row>
    <row r="280" spans="3:41" ht="12.75" customHeight="1">
      <c r="C280" s="49"/>
      <c r="D280" s="49"/>
      <c r="E280" s="49"/>
      <c r="F280" s="49"/>
      <c r="G280" s="49"/>
      <c r="H280" s="49"/>
      <c r="I280" s="49"/>
      <c r="J280" s="49"/>
      <c r="K280" s="49"/>
      <c r="L280" s="49"/>
      <c r="M280" s="49"/>
      <c r="S280" s="49"/>
      <c r="T280" s="49"/>
      <c r="U280" s="49"/>
      <c r="W280" s="49"/>
      <c r="X280" s="49"/>
      <c r="Y280" s="49"/>
      <c r="Z280" s="49"/>
      <c r="AA280" s="49"/>
      <c r="AB280" s="49"/>
      <c r="AC280" s="49"/>
      <c r="AD280" s="49"/>
      <c r="AE280" s="49"/>
      <c r="AF280" s="49"/>
      <c r="AG280" s="49"/>
      <c r="AH280" s="49"/>
      <c r="AI280" s="49"/>
      <c r="AJ280" s="49"/>
      <c r="AK280" s="49"/>
      <c r="AL280" s="49"/>
      <c r="AM280" s="49"/>
      <c r="AN280" s="49"/>
      <c r="AO280" s="49"/>
    </row>
    <row r="281" spans="3:41" ht="12.75" customHeight="1">
      <c r="C281" s="49"/>
      <c r="D281" s="49"/>
      <c r="E281" s="49"/>
      <c r="F281" s="49"/>
      <c r="G281" s="49"/>
      <c r="H281" s="49"/>
      <c r="I281" s="49"/>
      <c r="J281" s="49"/>
      <c r="K281" s="49"/>
      <c r="L281" s="49"/>
      <c r="M281" s="49"/>
      <c r="S281" s="49"/>
      <c r="T281" s="49"/>
      <c r="U281" s="49"/>
      <c r="W281" s="49"/>
      <c r="X281" s="49"/>
      <c r="Y281" s="49"/>
      <c r="Z281" s="49"/>
      <c r="AA281" s="49"/>
      <c r="AB281" s="49"/>
      <c r="AC281" s="49"/>
      <c r="AD281" s="49"/>
      <c r="AE281" s="49"/>
      <c r="AF281" s="49"/>
      <c r="AG281" s="49"/>
      <c r="AH281" s="49"/>
      <c r="AI281" s="49"/>
      <c r="AJ281" s="49"/>
      <c r="AK281" s="49"/>
      <c r="AL281" s="49"/>
      <c r="AM281" s="49"/>
      <c r="AN281" s="49"/>
      <c r="AO281" s="49"/>
    </row>
    <row r="282" spans="3:41" ht="12.75" customHeight="1">
      <c r="C282" s="49"/>
      <c r="D282" s="49"/>
      <c r="E282" s="49"/>
      <c r="F282" s="49"/>
      <c r="G282" s="49"/>
      <c r="H282" s="49"/>
      <c r="I282" s="49"/>
      <c r="J282" s="49"/>
      <c r="K282" s="49"/>
      <c r="L282" s="49"/>
      <c r="M282" s="49"/>
      <c r="S282" s="49"/>
      <c r="T282" s="49"/>
      <c r="U282" s="49"/>
      <c r="W282" s="49"/>
      <c r="X282" s="49"/>
      <c r="Y282" s="49"/>
      <c r="Z282" s="49"/>
      <c r="AA282" s="49"/>
      <c r="AB282" s="49"/>
      <c r="AC282" s="49"/>
      <c r="AD282" s="49"/>
      <c r="AE282" s="49"/>
      <c r="AF282" s="49"/>
      <c r="AG282" s="49"/>
      <c r="AH282" s="49"/>
      <c r="AI282" s="49"/>
      <c r="AJ282" s="49"/>
      <c r="AK282" s="49"/>
      <c r="AL282" s="49"/>
      <c r="AM282" s="49"/>
      <c r="AN282" s="49"/>
      <c r="AO282" s="49"/>
    </row>
    <row r="283" spans="3:41" ht="12.75" customHeight="1">
      <c r="C283" s="49"/>
      <c r="D283" s="49"/>
      <c r="E283" s="49"/>
      <c r="F283" s="49"/>
      <c r="G283" s="49"/>
      <c r="H283" s="49"/>
      <c r="I283" s="49"/>
      <c r="J283" s="49"/>
      <c r="K283" s="49"/>
      <c r="L283" s="49"/>
      <c r="M283" s="49"/>
      <c r="S283" s="49"/>
      <c r="T283" s="49"/>
      <c r="U283" s="49"/>
      <c r="W283" s="49"/>
      <c r="X283" s="49"/>
      <c r="Y283" s="49"/>
      <c r="Z283" s="49"/>
      <c r="AA283" s="49"/>
      <c r="AB283" s="49"/>
      <c r="AC283" s="49"/>
      <c r="AD283" s="49"/>
      <c r="AE283" s="49"/>
      <c r="AF283" s="49"/>
      <c r="AG283" s="49"/>
      <c r="AH283" s="49"/>
      <c r="AI283" s="49"/>
      <c r="AJ283" s="49"/>
      <c r="AK283" s="49"/>
      <c r="AL283" s="49"/>
      <c r="AM283" s="49"/>
      <c r="AN283" s="49"/>
      <c r="AO283" s="49"/>
    </row>
    <row r="284" spans="3:41" ht="12.75" customHeight="1">
      <c r="C284" s="49"/>
      <c r="D284" s="49"/>
      <c r="E284" s="49"/>
      <c r="F284" s="49"/>
      <c r="G284" s="49"/>
      <c r="H284" s="49"/>
      <c r="I284" s="49"/>
      <c r="J284" s="49"/>
      <c r="K284" s="49"/>
      <c r="L284" s="49"/>
      <c r="M284" s="49"/>
      <c r="S284" s="49"/>
      <c r="T284" s="49"/>
      <c r="U284" s="49"/>
      <c r="W284" s="49"/>
      <c r="X284" s="49"/>
      <c r="Y284" s="49"/>
      <c r="Z284" s="49"/>
      <c r="AA284" s="49"/>
      <c r="AB284" s="49"/>
      <c r="AC284" s="49"/>
      <c r="AD284" s="49"/>
      <c r="AE284" s="49"/>
      <c r="AF284" s="49"/>
      <c r="AG284" s="49"/>
      <c r="AH284" s="49"/>
      <c r="AI284" s="49"/>
      <c r="AJ284" s="49"/>
      <c r="AK284" s="49"/>
      <c r="AL284" s="49"/>
      <c r="AM284" s="49"/>
      <c r="AN284" s="49"/>
      <c r="AO284" s="49"/>
    </row>
    <row r="285" spans="3:41" ht="12.75" customHeight="1">
      <c r="C285" s="49"/>
      <c r="D285" s="49"/>
      <c r="E285" s="49"/>
      <c r="F285" s="49"/>
      <c r="G285" s="49"/>
      <c r="H285" s="49"/>
      <c r="I285" s="49"/>
      <c r="J285" s="49"/>
      <c r="K285" s="49"/>
      <c r="L285" s="49"/>
      <c r="M285" s="49"/>
      <c r="S285" s="49"/>
      <c r="T285" s="49"/>
      <c r="U285" s="49"/>
      <c r="W285" s="49"/>
      <c r="X285" s="49"/>
      <c r="Y285" s="49"/>
      <c r="Z285" s="49"/>
      <c r="AA285" s="49"/>
      <c r="AB285" s="49"/>
      <c r="AC285" s="49"/>
      <c r="AD285" s="49"/>
      <c r="AE285" s="49"/>
      <c r="AF285" s="49"/>
      <c r="AG285" s="49"/>
      <c r="AH285" s="49"/>
      <c r="AI285" s="49"/>
      <c r="AJ285" s="49"/>
      <c r="AK285" s="49"/>
      <c r="AL285" s="49"/>
      <c r="AM285" s="49"/>
      <c r="AN285" s="49"/>
      <c r="AO285" s="49"/>
    </row>
    <row r="286" spans="3:41" ht="12.75" customHeight="1">
      <c r="C286" s="49"/>
      <c r="D286" s="49"/>
      <c r="E286" s="49"/>
      <c r="F286" s="49"/>
      <c r="G286" s="49"/>
      <c r="H286" s="49"/>
      <c r="I286" s="49"/>
      <c r="J286" s="49"/>
      <c r="K286" s="49"/>
      <c r="L286" s="49"/>
      <c r="M286" s="49"/>
      <c r="S286" s="49"/>
      <c r="T286" s="49"/>
      <c r="U286" s="49"/>
      <c r="W286" s="49"/>
      <c r="X286" s="49"/>
      <c r="Y286" s="49"/>
      <c r="Z286" s="49"/>
      <c r="AA286" s="49"/>
      <c r="AB286" s="49"/>
      <c r="AC286" s="49"/>
      <c r="AD286" s="49"/>
      <c r="AE286" s="49"/>
      <c r="AF286" s="49"/>
      <c r="AG286" s="49"/>
      <c r="AH286" s="49"/>
      <c r="AI286" s="49"/>
      <c r="AJ286" s="49"/>
      <c r="AK286" s="49"/>
      <c r="AL286" s="49"/>
      <c r="AM286" s="49"/>
      <c r="AN286" s="49"/>
      <c r="AO286" s="49"/>
    </row>
    <row r="287" spans="3:41" ht="12.75" customHeight="1">
      <c r="C287" s="49"/>
      <c r="D287" s="49"/>
      <c r="E287" s="49"/>
      <c r="F287" s="49"/>
      <c r="G287" s="49"/>
      <c r="H287" s="49"/>
      <c r="I287" s="49"/>
      <c r="J287" s="49"/>
      <c r="K287" s="49"/>
      <c r="L287" s="49"/>
      <c r="M287" s="49"/>
      <c r="S287" s="49"/>
      <c r="T287" s="49"/>
      <c r="U287" s="49"/>
      <c r="W287" s="49"/>
      <c r="X287" s="49"/>
      <c r="Y287" s="49"/>
      <c r="Z287" s="49"/>
      <c r="AA287" s="49"/>
      <c r="AB287" s="49"/>
      <c r="AC287" s="49"/>
      <c r="AD287" s="49"/>
      <c r="AE287" s="49"/>
      <c r="AF287" s="49"/>
      <c r="AG287" s="49"/>
      <c r="AH287" s="49"/>
      <c r="AI287" s="49"/>
      <c r="AJ287" s="49"/>
      <c r="AK287" s="49"/>
      <c r="AL287" s="49"/>
      <c r="AM287" s="49"/>
      <c r="AN287" s="49"/>
      <c r="AO287" s="49"/>
    </row>
    <row r="288" spans="3:41" ht="12.75" customHeight="1">
      <c r="C288" s="49"/>
      <c r="D288" s="49"/>
      <c r="E288" s="49"/>
      <c r="F288" s="49"/>
      <c r="G288" s="49"/>
      <c r="H288" s="49"/>
      <c r="I288" s="49"/>
      <c r="J288" s="49"/>
      <c r="K288" s="49"/>
      <c r="L288" s="49"/>
      <c r="M288" s="49"/>
      <c r="S288" s="49"/>
      <c r="T288" s="49"/>
      <c r="U288" s="49"/>
      <c r="W288" s="49"/>
      <c r="X288" s="49"/>
      <c r="Y288" s="49"/>
      <c r="Z288" s="49"/>
      <c r="AA288" s="49"/>
      <c r="AB288" s="49"/>
      <c r="AC288" s="49"/>
      <c r="AD288" s="49"/>
      <c r="AE288" s="49"/>
      <c r="AF288" s="49"/>
      <c r="AG288" s="49"/>
      <c r="AH288" s="49"/>
      <c r="AI288" s="49"/>
      <c r="AJ288" s="49"/>
      <c r="AK288" s="49"/>
      <c r="AL288" s="49"/>
      <c r="AM288" s="49"/>
      <c r="AN288" s="49"/>
      <c r="AO288" s="49"/>
    </row>
    <row r="289" spans="3:41" ht="12.75" customHeight="1">
      <c r="C289" s="49"/>
      <c r="D289" s="49"/>
      <c r="E289" s="49"/>
      <c r="F289" s="49"/>
      <c r="G289" s="49"/>
      <c r="H289" s="49"/>
      <c r="I289" s="49"/>
      <c r="J289" s="49"/>
      <c r="K289" s="49"/>
      <c r="L289" s="49"/>
      <c r="M289" s="49"/>
      <c r="S289" s="49"/>
      <c r="T289" s="49"/>
      <c r="U289" s="49"/>
      <c r="W289" s="49"/>
      <c r="X289" s="49"/>
      <c r="Y289" s="49"/>
      <c r="Z289" s="49"/>
      <c r="AA289" s="49"/>
      <c r="AB289" s="49"/>
      <c r="AC289" s="49"/>
      <c r="AD289" s="49"/>
      <c r="AE289" s="49"/>
      <c r="AF289" s="49"/>
      <c r="AG289" s="49"/>
      <c r="AH289" s="49"/>
      <c r="AI289" s="49"/>
      <c r="AJ289" s="49"/>
      <c r="AK289" s="49"/>
      <c r="AL289" s="49"/>
      <c r="AM289" s="49"/>
      <c r="AN289" s="49"/>
      <c r="AO289" s="49"/>
    </row>
    <row r="290" spans="3:41" ht="12.75" customHeight="1">
      <c r="C290" s="49"/>
      <c r="D290" s="49"/>
      <c r="E290" s="49"/>
      <c r="F290" s="49"/>
      <c r="G290" s="49"/>
      <c r="H290" s="49"/>
      <c r="I290" s="49"/>
      <c r="J290" s="49"/>
      <c r="K290" s="49"/>
      <c r="L290" s="49"/>
      <c r="M290" s="49"/>
      <c r="S290" s="49"/>
      <c r="T290" s="49"/>
      <c r="U290" s="49"/>
      <c r="W290" s="49"/>
      <c r="X290" s="49"/>
      <c r="Y290" s="49"/>
      <c r="Z290" s="49"/>
      <c r="AA290" s="49"/>
      <c r="AB290" s="49"/>
      <c r="AC290" s="49"/>
      <c r="AD290" s="49"/>
      <c r="AE290" s="49"/>
      <c r="AF290" s="49"/>
      <c r="AG290" s="49"/>
      <c r="AH290" s="49"/>
      <c r="AI290" s="49"/>
      <c r="AJ290" s="49"/>
      <c r="AK290" s="49"/>
      <c r="AL290" s="49"/>
      <c r="AM290" s="49"/>
      <c r="AN290" s="49"/>
      <c r="AO290" s="49"/>
    </row>
    <row r="291" spans="3:41" ht="12.75" customHeight="1">
      <c r="C291" s="49"/>
      <c r="D291" s="49"/>
      <c r="E291" s="49"/>
      <c r="F291" s="49"/>
      <c r="G291" s="49"/>
      <c r="H291" s="49"/>
      <c r="I291" s="49"/>
      <c r="J291" s="49"/>
      <c r="K291" s="49"/>
      <c r="L291" s="49"/>
      <c r="M291" s="49"/>
      <c r="S291" s="49"/>
      <c r="T291" s="49"/>
      <c r="U291" s="49"/>
      <c r="W291" s="49"/>
      <c r="X291" s="49"/>
      <c r="Y291" s="49"/>
      <c r="Z291" s="49"/>
      <c r="AA291" s="49"/>
      <c r="AB291" s="49"/>
      <c r="AC291" s="49"/>
      <c r="AD291" s="49"/>
      <c r="AE291" s="49"/>
      <c r="AF291" s="49"/>
      <c r="AG291" s="49"/>
      <c r="AH291" s="49"/>
      <c r="AI291" s="49"/>
      <c r="AJ291" s="49"/>
      <c r="AK291" s="49"/>
      <c r="AL291" s="49"/>
      <c r="AM291" s="49"/>
      <c r="AN291" s="49"/>
      <c r="AO291" s="49"/>
    </row>
    <row r="292" spans="3:41" ht="12.75" customHeight="1">
      <c r="C292" s="49"/>
      <c r="D292" s="49"/>
      <c r="E292" s="49"/>
      <c r="F292" s="49"/>
      <c r="G292" s="49"/>
      <c r="H292" s="49"/>
      <c r="I292" s="49"/>
      <c r="J292" s="49"/>
      <c r="K292" s="49"/>
      <c r="L292" s="49"/>
      <c r="M292" s="49"/>
      <c r="S292" s="49"/>
      <c r="T292" s="49"/>
      <c r="U292" s="49"/>
      <c r="W292" s="49"/>
      <c r="X292" s="49"/>
      <c r="Y292" s="49"/>
      <c r="Z292" s="49"/>
      <c r="AA292" s="49"/>
      <c r="AB292" s="49"/>
      <c r="AC292" s="49"/>
      <c r="AD292" s="49"/>
      <c r="AE292" s="49"/>
      <c r="AF292" s="49"/>
      <c r="AG292" s="49"/>
      <c r="AH292" s="49"/>
      <c r="AI292" s="49"/>
      <c r="AJ292" s="49"/>
      <c r="AK292" s="49"/>
      <c r="AL292" s="49"/>
      <c r="AM292" s="49"/>
      <c r="AN292" s="49"/>
      <c r="AO292" s="49"/>
    </row>
    <row r="293" spans="3:41" ht="12.75" customHeight="1">
      <c r="C293" s="49"/>
      <c r="D293" s="49"/>
      <c r="E293" s="49"/>
      <c r="F293" s="49"/>
      <c r="G293" s="49"/>
      <c r="H293" s="49"/>
      <c r="I293" s="49"/>
      <c r="J293" s="49"/>
      <c r="K293" s="49"/>
      <c r="L293" s="49"/>
      <c r="M293" s="49"/>
      <c r="S293" s="49"/>
      <c r="T293" s="49"/>
      <c r="U293" s="49"/>
      <c r="W293" s="49"/>
      <c r="X293" s="49"/>
      <c r="Y293" s="49"/>
      <c r="Z293" s="49"/>
      <c r="AA293" s="49"/>
      <c r="AB293" s="49"/>
      <c r="AC293" s="49"/>
      <c r="AD293" s="49"/>
      <c r="AE293" s="49"/>
      <c r="AF293" s="49"/>
      <c r="AG293" s="49"/>
      <c r="AH293" s="49"/>
      <c r="AI293" s="49"/>
      <c r="AJ293" s="49"/>
      <c r="AK293" s="49"/>
      <c r="AL293" s="49"/>
      <c r="AM293" s="49"/>
      <c r="AN293" s="49"/>
      <c r="AO293" s="49"/>
    </row>
    <row r="294" spans="3:41" ht="12.75" customHeight="1">
      <c r="C294" s="49"/>
      <c r="D294" s="49"/>
      <c r="E294" s="49"/>
      <c r="F294" s="49"/>
      <c r="G294" s="49"/>
      <c r="H294" s="49"/>
      <c r="I294" s="49"/>
      <c r="J294" s="49"/>
      <c r="K294" s="49"/>
      <c r="L294" s="49"/>
      <c r="M294" s="49"/>
      <c r="S294" s="49"/>
      <c r="T294" s="49"/>
      <c r="U294" s="49"/>
      <c r="W294" s="49"/>
      <c r="X294" s="49"/>
      <c r="Y294" s="49"/>
      <c r="Z294" s="49"/>
      <c r="AA294" s="49"/>
      <c r="AB294" s="49"/>
      <c r="AC294" s="49"/>
      <c r="AD294" s="49"/>
      <c r="AE294" s="49"/>
      <c r="AF294" s="49"/>
      <c r="AG294" s="49"/>
      <c r="AH294" s="49"/>
      <c r="AI294" s="49"/>
      <c r="AJ294" s="49"/>
      <c r="AK294" s="49"/>
      <c r="AL294" s="49"/>
      <c r="AM294" s="49"/>
      <c r="AN294" s="49"/>
      <c r="AO294" s="49"/>
    </row>
    <row r="295" spans="3:41" ht="12.75" customHeight="1">
      <c r="C295" s="49"/>
      <c r="D295" s="49"/>
      <c r="E295" s="49"/>
      <c r="F295" s="49"/>
      <c r="G295" s="49"/>
      <c r="H295" s="49"/>
      <c r="I295" s="49"/>
      <c r="J295" s="49"/>
      <c r="K295" s="49"/>
      <c r="L295" s="49"/>
      <c r="M295" s="49"/>
      <c r="S295" s="49"/>
      <c r="T295" s="49"/>
      <c r="U295" s="49"/>
      <c r="W295" s="49"/>
      <c r="X295" s="49"/>
      <c r="Y295" s="49"/>
      <c r="Z295" s="49"/>
      <c r="AA295" s="49"/>
      <c r="AB295" s="49"/>
      <c r="AC295" s="49"/>
      <c r="AD295" s="49"/>
      <c r="AE295" s="49"/>
      <c r="AF295" s="49"/>
      <c r="AG295" s="49"/>
      <c r="AH295" s="49"/>
      <c r="AI295" s="49"/>
      <c r="AJ295" s="49"/>
      <c r="AK295" s="49"/>
      <c r="AL295" s="49"/>
      <c r="AM295" s="49"/>
      <c r="AN295" s="49"/>
      <c r="AO295" s="49"/>
    </row>
    <row r="296" spans="3:41" ht="12.75" customHeight="1">
      <c r="C296" s="49"/>
      <c r="D296" s="49"/>
      <c r="E296" s="49"/>
      <c r="F296" s="49"/>
      <c r="G296" s="49"/>
      <c r="H296" s="49"/>
      <c r="I296" s="49"/>
      <c r="J296" s="49"/>
      <c r="K296" s="49"/>
      <c r="L296" s="49"/>
      <c r="M296" s="49"/>
      <c r="S296" s="49"/>
      <c r="T296" s="49"/>
      <c r="U296" s="49"/>
      <c r="W296" s="49"/>
      <c r="X296" s="49"/>
      <c r="Y296" s="49"/>
      <c r="Z296" s="49"/>
      <c r="AA296" s="49"/>
      <c r="AB296" s="49"/>
      <c r="AC296" s="49"/>
      <c r="AD296" s="49"/>
      <c r="AE296" s="49"/>
      <c r="AF296" s="49"/>
      <c r="AG296" s="49"/>
      <c r="AH296" s="49"/>
      <c r="AI296" s="49"/>
      <c r="AJ296" s="49"/>
      <c r="AK296" s="49"/>
      <c r="AL296" s="49"/>
      <c r="AM296" s="49"/>
      <c r="AN296" s="49"/>
      <c r="AO296" s="49"/>
    </row>
    <row r="297" spans="3:41" ht="12.75" customHeight="1">
      <c r="C297" s="49"/>
      <c r="D297" s="49"/>
      <c r="E297" s="49"/>
      <c r="F297" s="49"/>
      <c r="G297" s="49"/>
      <c r="H297" s="49"/>
      <c r="I297" s="49"/>
      <c r="J297" s="49"/>
      <c r="K297" s="49"/>
      <c r="L297" s="49"/>
      <c r="M297" s="49"/>
      <c r="S297" s="49"/>
      <c r="T297" s="49"/>
      <c r="U297" s="49"/>
      <c r="W297" s="49"/>
      <c r="X297" s="49"/>
      <c r="Y297" s="49"/>
      <c r="Z297" s="49"/>
      <c r="AA297" s="49"/>
      <c r="AB297" s="49"/>
      <c r="AC297" s="49"/>
      <c r="AD297" s="49"/>
      <c r="AE297" s="49"/>
      <c r="AF297" s="49"/>
      <c r="AG297" s="49"/>
      <c r="AH297" s="49"/>
      <c r="AI297" s="49"/>
      <c r="AJ297" s="49"/>
      <c r="AK297" s="49"/>
      <c r="AL297" s="49"/>
      <c r="AM297" s="49"/>
      <c r="AN297" s="49"/>
      <c r="AO297" s="49"/>
    </row>
    <row r="298" spans="3:41" ht="12.75" customHeight="1">
      <c r="C298" s="49"/>
      <c r="D298" s="49"/>
      <c r="E298" s="49"/>
      <c r="F298" s="49"/>
      <c r="G298" s="49"/>
      <c r="H298" s="49"/>
      <c r="I298" s="49"/>
      <c r="J298" s="49"/>
      <c r="K298" s="49"/>
      <c r="L298" s="49"/>
      <c r="M298" s="49"/>
      <c r="S298" s="49"/>
      <c r="T298" s="49"/>
      <c r="U298" s="49"/>
      <c r="W298" s="49"/>
      <c r="X298" s="49"/>
      <c r="Y298" s="49"/>
      <c r="Z298" s="49"/>
      <c r="AA298" s="49"/>
      <c r="AB298" s="49"/>
      <c r="AC298" s="49"/>
      <c r="AD298" s="49"/>
      <c r="AE298" s="49"/>
      <c r="AF298" s="49"/>
      <c r="AG298" s="49"/>
      <c r="AH298" s="49"/>
      <c r="AI298" s="49"/>
      <c r="AJ298" s="49"/>
      <c r="AK298" s="49"/>
      <c r="AL298" s="49"/>
      <c r="AM298" s="49"/>
      <c r="AN298" s="49"/>
      <c r="AO298" s="49"/>
    </row>
    <row r="299" spans="3:41" ht="12.75" customHeight="1">
      <c r="C299" s="49"/>
      <c r="D299" s="49"/>
      <c r="E299" s="49"/>
      <c r="F299" s="49"/>
      <c r="G299" s="49"/>
      <c r="H299" s="49"/>
      <c r="I299" s="49"/>
      <c r="J299" s="49"/>
      <c r="K299" s="49"/>
      <c r="L299" s="49"/>
      <c r="M299" s="49"/>
      <c r="S299" s="49"/>
      <c r="T299" s="49"/>
      <c r="U299" s="49"/>
      <c r="W299" s="49"/>
      <c r="X299" s="49"/>
      <c r="Y299" s="49"/>
      <c r="Z299" s="49"/>
      <c r="AA299" s="49"/>
      <c r="AB299" s="49"/>
      <c r="AC299" s="49"/>
      <c r="AD299" s="49"/>
      <c r="AE299" s="49"/>
      <c r="AF299" s="49"/>
      <c r="AG299" s="49"/>
      <c r="AH299" s="49"/>
      <c r="AI299" s="49"/>
      <c r="AJ299" s="49"/>
      <c r="AK299" s="49"/>
      <c r="AL299" s="49"/>
      <c r="AM299" s="49"/>
      <c r="AN299" s="49"/>
      <c r="AO299" s="49"/>
    </row>
    <row r="300" spans="3:41" ht="12.75" customHeight="1">
      <c r="C300" s="49"/>
      <c r="D300" s="49"/>
      <c r="E300" s="49"/>
      <c r="F300" s="49"/>
      <c r="G300" s="49"/>
      <c r="H300" s="49"/>
      <c r="I300" s="49"/>
      <c r="J300" s="49"/>
      <c r="K300" s="49"/>
      <c r="L300" s="49"/>
      <c r="M300" s="49"/>
      <c r="S300" s="49"/>
      <c r="T300" s="49"/>
      <c r="U300" s="49"/>
      <c r="W300" s="49"/>
      <c r="X300" s="49"/>
      <c r="Y300" s="49"/>
      <c r="Z300" s="49"/>
      <c r="AA300" s="49"/>
      <c r="AB300" s="49"/>
      <c r="AC300" s="49"/>
      <c r="AD300" s="49"/>
      <c r="AE300" s="49"/>
      <c r="AF300" s="49"/>
      <c r="AG300" s="49"/>
      <c r="AH300" s="49"/>
      <c r="AI300" s="49"/>
      <c r="AJ300" s="49"/>
      <c r="AK300" s="49"/>
      <c r="AL300" s="49"/>
      <c r="AM300" s="49"/>
      <c r="AN300" s="49"/>
      <c r="AO300" s="49"/>
    </row>
    <row r="301" spans="3:41" ht="12.75" customHeight="1">
      <c r="C301" s="49"/>
      <c r="D301" s="49"/>
      <c r="E301" s="49"/>
      <c r="F301" s="49"/>
      <c r="G301" s="49"/>
      <c r="H301" s="49"/>
      <c r="I301" s="49"/>
      <c r="J301" s="49"/>
      <c r="K301" s="49"/>
      <c r="L301" s="49"/>
      <c r="M301" s="49"/>
      <c r="S301" s="49"/>
      <c r="T301" s="49"/>
      <c r="U301" s="49"/>
      <c r="W301" s="49"/>
      <c r="X301" s="49"/>
      <c r="Y301" s="49"/>
      <c r="Z301" s="49"/>
      <c r="AA301" s="49"/>
      <c r="AB301" s="49"/>
      <c r="AC301" s="49"/>
      <c r="AD301" s="49"/>
      <c r="AE301" s="49"/>
      <c r="AF301" s="49"/>
      <c r="AG301" s="49"/>
      <c r="AH301" s="49"/>
      <c r="AI301" s="49"/>
      <c r="AJ301" s="49"/>
      <c r="AK301" s="49"/>
      <c r="AL301" s="49"/>
      <c r="AM301" s="49"/>
      <c r="AN301" s="49"/>
      <c r="AO301" s="49"/>
    </row>
    <row r="302" spans="3:41" ht="12.75" customHeight="1">
      <c r="C302" s="49"/>
      <c r="D302" s="49"/>
      <c r="E302" s="49"/>
      <c r="F302" s="49"/>
      <c r="G302" s="49"/>
      <c r="H302" s="49"/>
      <c r="I302" s="49"/>
      <c r="J302" s="49"/>
      <c r="K302" s="49"/>
      <c r="L302" s="49"/>
      <c r="M302" s="49"/>
      <c r="S302" s="49"/>
      <c r="T302" s="49"/>
      <c r="U302" s="49"/>
      <c r="W302" s="49"/>
      <c r="X302" s="49"/>
      <c r="Y302" s="49"/>
      <c r="Z302" s="49"/>
      <c r="AA302" s="49"/>
      <c r="AB302" s="49"/>
      <c r="AC302" s="49"/>
      <c r="AD302" s="49"/>
      <c r="AE302" s="49"/>
      <c r="AF302" s="49"/>
      <c r="AG302" s="49"/>
      <c r="AH302" s="49"/>
      <c r="AI302" s="49"/>
      <c r="AJ302" s="49"/>
      <c r="AK302" s="49"/>
      <c r="AL302" s="49"/>
      <c r="AM302" s="49"/>
      <c r="AN302" s="49"/>
      <c r="AO302" s="49"/>
    </row>
    <row r="303" spans="3:41" ht="12.75" customHeight="1">
      <c r="C303" s="49"/>
      <c r="D303" s="49"/>
      <c r="E303" s="49"/>
      <c r="F303" s="49"/>
      <c r="G303" s="49"/>
      <c r="H303" s="49"/>
      <c r="I303" s="49"/>
      <c r="J303" s="49"/>
      <c r="K303" s="49"/>
      <c r="L303" s="49"/>
      <c r="M303" s="49"/>
      <c r="S303" s="49"/>
      <c r="T303" s="49"/>
      <c r="U303" s="49"/>
      <c r="W303" s="49"/>
      <c r="X303" s="49"/>
      <c r="Y303" s="49"/>
      <c r="Z303" s="49"/>
      <c r="AA303" s="49"/>
      <c r="AB303" s="49"/>
      <c r="AC303" s="49"/>
      <c r="AD303" s="49"/>
      <c r="AE303" s="49"/>
      <c r="AF303" s="49"/>
      <c r="AG303" s="49"/>
      <c r="AH303" s="49"/>
      <c r="AI303" s="49"/>
      <c r="AJ303" s="49"/>
      <c r="AK303" s="49"/>
      <c r="AL303" s="49"/>
      <c r="AM303" s="49"/>
      <c r="AN303" s="49"/>
      <c r="AO303" s="49"/>
    </row>
    <row r="304" spans="3:41" ht="12.75" customHeight="1">
      <c r="C304" s="49"/>
      <c r="D304" s="49"/>
      <c r="E304" s="49"/>
      <c r="F304" s="49"/>
      <c r="G304" s="49"/>
      <c r="H304" s="49"/>
      <c r="I304" s="49"/>
      <c r="J304" s="49"/>
      <c r="K304" s="49"/>
      <c r="L304" s="49"/>
      <c r="M304" s="49"/>
      <c r="S304" s="49"/>
      <c r="T304" s="49"/>
      <c r="U304" s="49"/>
      <c r="W304" s="49"/>
      <c r="X304" s="49"/>
      <c r="Y304" s="49"/>
      <c r="Z304" s="49"/>
      <c r="AA304" s="49"/>
      <c r="AB304" s="49"/>
      <c r="AC304" s="49"/>
      <c r="AD304" s="49"/>
      <c r="AE304" s="49"/>
      <c r="AF304" s="49"/>
      <c r="AG304" s="49"/>
      <c r="AH304" s="49"/>
      <c r="AI304" s="49"/>
      <c r="AJ304" s="49"/>
      <c r="AK304" s="49"/>
      <c r="AL304" s="49"/>
      <c r="AM304" s="49"/>
      <c r="AN304" s="49"/>
      <c r="AO304" s="49"/>
    </row>
    <row r="305" spans="3:41" ht="12.75" customHeight="1">
      <c r="C305" s="49"/>
      <c r="D305" s="49"/>
      <c r="E305" s="49"/>
      <c r="F305" s="49"/>
      <c r="G305" s="49"/>
      <c r="H305" s="49"/>
      <c r="I305" s="49"/>
      <c r="J305" s="49"/>
      <c r="K305" s="49"/>
      <c r="L305" s="49"/>
      <c r="M305" s="49"/>
      <c r="S305" s="49"/>
      <c r="T305" s="49"/>
      <c r="U305" s="49"/>
      <c r="W305" s="49"/>
      <c r="X305" s="49"/>
      <c r="Y305" s="49"/>
      <c r="Z305" s="49"/>
      <c r="AA305" s="49"/>
      <c r="AB305" s="49"/>
      <c r="AC305" s="49"/>
      <c r="AD305" s="49"/>
      <c r="AE305" s="49"/>
      <c r="AF305" s="49"/>
      <c r="AG305" s="49"/>
      <c r="AH305" s="49"/>
      <c r="AI305" s="49"/>
      <c r="AJ305" s="49"/>
      <c r="AK305" s="49"/>
      <c r="AL305" s="49"/>
      <c r="AM305" s="49"/>
      <c r="AN305" s="49"/>
      <c r="AO305" s="49"/>
    </row>
    <row r="306" spans="3:41" ht="12.75" customHeight="1">
      <c r="C306" s="49"/>
      <c r="D306" s="49"/>
      <c r="E306" s="49"/>
      <c r="F306" s="49"/>
      <c r="G306" s="49"/>
      <c r="H306" s="49"/>
      <c r="I306" s="49"/>
      <c r="J306" s="49"/>
      <c r="K306" s="49"/>
      <c r="L306" s="49"/>
      <c r="M306" s="49"/>
      <c r="S306" s="49"/>
      <c r="T306" s="49"/>
      <c r="U306" s="49"/>
      <c r="W306" s="49"/>
      <c r="X306" s="49"/>
      <c r="Y306" s="49"/>
      <c r="Z306" s="49"/>
      <c r="AA306" s="49"/>
      <c r="AB306" s="49"/>
      <c r="AC306" s="49"/>
      <c r="AD306" s="49"/>
      <c r="AE306" s="49"/>
      <c r="AF306" s="49"/>
      <c r="AG306" s="49"/>
      <c r="AH306" s="49"/>
      <c r="AI306" s="49"/>
      <c r="AJ306" s="49"/>
      <c r="AK306" s="49"/>
      <c r="AL306" s="49"/>
      <c r="AM306" s="49"/>
      <c r="AN306" s="49"/>
      <c r="AO306" s="49"/>
    </row>
    <row r="307" spans="3:41" ht="12.75" customHeight="1">
      <c r="C307" s="49"/>
      <c r="D307" s="49"/>
      <c r="E307" s="49"/>
      <c r="F307" s="49"/>
      <c r="G307" s="49"/>
      <c r="H307" s="49"/>
      <c r="I307" s="49"/>
      <c r="J307" s="49"/>
      <c r="K307" s="49"/>
      <c r="L307" s="49"/>
      <c r="M307" s="49"/>
      <c r="S307" s="49"/>
      <c r="T307" s="49"/>
      <c r="U307" s="49"/>
      <c r="W307" s="49"/>
      <c r="X307" s="49"/>
      <c r="Y307" s="49"/>
      <c r="Z307" s="49"/>
      <c r="AA307" s="49"/>
      <c r="AB307" s="49"/>
      <c r="AC307" s="49"/>
      <c r="AD307" s="49"/>
      <c r="AE307" s="49"/>
      <c r="AF307" s="49"/>
      <c r="AG307" s="49"/>
      <c r="AH307" s="49"/>
      <c r="AI307" s="49"/>
      <c r="AJ307" s="49"/>
      <c r="AK307" s="49"/>
      <c r="AL307" s="49"/>
      <c r="AM307" s="49"/>
      <c r="AN307" s="49"/>
      <c r="AO307" s="49"/>
    </row>
    <row r="308" spans="3:41" ht="12.75" customHeight="1">
      <c r="C308" s="49"/>
      <c r="D308" s="49"/>
      <c r="E308" s="49"/>
      <c r="F308" s="49"/>
      <c r="G308" s="49"/>
      <c r="H308" s="49"/>
      <c r="I308" s="49"/>
      <c r="J308" s="49"/>
      <c r="K308" s="49"/>
      <c r="L308" s="49"/>
      <c r="M308" s="49"/>
      <c r="S308" s="49"/>
      <c r="T308" s="49"/>
      <c r="U308" s="49"/>
      <c r="W308" s="49"/>
      <c r="X308" s="49"/>
      <c r="Y308" s="49"/>
      <c r="Z308" s="49"/>
      <c r="AA308" s="49"/>
      <c r="AB308" s="49"/>
      <c r="AC308" s="49"/>
      <c r="AD308" s="49"/>
      <c r="AE308" s="49"/>
      <c r="AF308" s="49"/>
      <c r="AG308" s="49"/>
      <c r="AH308" s="49"/>
      <c r="AI308" s="49"/>
      <c r="AJ308" s="49"/>
      <c r="AK308" s="49"/>
      <c r="AL308" s="49"/>
      <c r="AM308" s="49"/>
      <c r="AN308" s="49"/>
      <c r="AO308" s="49"/>
    </row>
    <row r="309" spans="3:41" ht="12.75" customHeight="1">
      <c r="C309" s="49"/>
      <c r="D309" s="49"/>
      <c r="E309" s="49"/>
      <c r="F309" s="49"/>
      <c r="G309" s="49"/>
      <c r="H309" s="49"/>
      <c r="I309" s="49"/>
      <c r="J309" s="49"/>
      <c r="K309" s="49"/>
      <c r="L309" s="49"/>
      <c r="M309" s="49"/>
      <c r="S309" s="49"/>
      <c r="T309" s="49"/>
      <c r="U309" s="49"/>
      <c r="W309" s="49"/>
      <c r="X309" s="49"/>
      <c r="Y309" s="49"/>
      <c r="Z309" s="49"/>
      <c r="AA309" s="49"/>
      <c r="AB309" s="49"/>
      <c r="AC309" s="49"/>
      <c r="AD309" s="49"/>
      <c r="AE309" s="49"/>
      <c r="AF309" s="49"/>
      <c r="AG309" s="49"/>
      <c r="AH309" s="49"/>
      <c r="AI309" s="49"/>
      <c r="AJ309" s="49"/>
      <c r="AK309" s="49"/>
      <c r="AL309" s="49"/>
      <c r="AM309" s="49"/>
      <c r="AN309" s="49"/>
      <c r="AO309" s="49"/>
    </row>
    <row r="310" spans="3:41" ht="12.75" customHeight="1">
      <c r="C310" s="49"/>
      <c r="D310" s="49"/>
      <c r="E310" s="49"/>
      <c r="F310" s="49"/>
      <c r="G310" s="49"/>
      <c r="H310" s="49"/>
      <c r="I310" s="49"/>
      <c r="J310" s="49"/>
      <c r="K310" s="49"/>
      <c r="L310" s="49"/>
      <c r="M310" s="49"/>
      <c r="S310" s="49"/>
      <c r="T310" s="49"/>
      <c r="U310" s="49"/>
      <c r="W310" s="49"/>
      <c r="X310" s="49"/>
      <c r="Y310" s="49"/>
      <c r="Z310" s="49"/>
      <c r="AA310" s="49"/>
      <c r="AB310" s="49"/>
      <c r="AC310" s="49"/>
      <c r="AD310" s="49"/>
      <c r="AE310" s="49"/>
      <c r="AF310" s="49"/>
      <c r="AG310" s="49"/>
      <c r="AH310" s="49"/>
      <c r="AI310" s="49"/>
      <c r="AJ310" s="49"/>
      <c r="AK310" s="49"/>
      <c r="AL310" s="49"/>
      <c r="AM310" s="49"/>
      <c r="AN310" s="49"/>
      <c r="AO310" s="49"/>
    </row>
    <row r="311" spans="3:41" ht="12.75" customHeight="1">
      <c r="C311" s="49"/>
      <c r="D311" s="49"/>
      <c r="E311" s="49"/>
      <c r="F311" s="49"/>
      <c r="G311" s="49"/>
      <c r="H311" s="49"/>
      <c r="I311" s="49"/>
      <c r="J311" s="49"/>
      <c r="K311" s="49"/>
      <c r="L311" s="49"/>
      <c r="M311" s="49"/>
      <c r="S311" s="49"/>
      <c r="T311" s="49"/>
      <c r="U311" s="49"/>
      <c r="W311" s="49"/>
      <c r="X311" s="49"/>
      <c r="Y311" s="49"/>
      <c r="Z311" s="49"/>
      <c r="AA311" s="49"/>
      <c r="AB311" s="49"/>
      <c r="AC311" s="49"/>
      <c r="AD311" s="49"/>
      <c r="AE311" s="49"/>
      <c r="AF311" s="49"/>
      <c r="AG311" s="49"/>
      <c r="AH311" s="49"/>
      <c r="AI311" s="49"/>
      <c r="AJ311" s="49"/>
      <c r="AK311" s="49"/>
      <c r="AL311" s="49"/>
      <c r="AM311" s="49"/>
      <c r="AN311" s="49"/>
      <c r="AO311" s="49"/>
    </row>
    <row r="312" spans="3:41" ht="12.75" customHeight="1">
      <c r="C312" s="49"/>
      <c r="D312" s="49"/>
      <c r="E312" s="49"/>
      <c r="F312" s="49"/>
      <c r="G312" s="49"/>
      <c r="H312" s="49"/>
      <c r="I312" s="49"/>
      <c r="J312" s="49"/>
      <c r="K312" s="49"/>
      <c r="L312" s="49"/>
      <c r="M312" s="49"/>
      <c r="S312" s="49"/>
      <c r="T312" s="49"/>
      <c r="U312" s="49"/>
      <c r="W312" s="49"/>
      <c r="X312" s="49"/>
      <c r="Y312" s="49"/>
      <c r="Z312" s="49"/>
      <c r="AA312" s="49"/>
      <c r="AB312" s="49"/>
      <c r="AC312" s="49"/>
      <c r="AD312" s="49"/>
      <c r="AE312" s="49"/>
      <c r="AF312" s="49"/>
      <c r="AG312" s="49"/>
      <c r="AH312" s="49"/>
      <c r="AI312" s="49"/>
      <c r="AJ312" s="49"/>
      <c r="AK312" s="49"/>
      <c r="AL312" s="49"/>
      <c r="AM312" s="49"/>
      <c r="AN312" s="49"/>
      <c r="AO312" s="49"/>
    </row>
    <row r="313" spans="3:41" ht="12.75" customHeight="1">
      <c r="C313" s="49"/>
      <c r="D313" s="49"/>
      <c r="E313" s="49"/>
      <c r="F313" s="49"/>
      <c r="G313" s="49"/>
      <c r="H313" s="49"/>
      <c r="I313" s="49"/>
      <c r="J313" s="49"/>
      <c r="K313" s="49"/>
      <c r="L313" s="49"/>
      <c r="M313" s="49"/>
      <c r="S313" s="49"/>
      <c r="T313" s="49"/>
      <c r="U313" s="49"/>
      <c r="W313" s="49"/>
      <c r="X313" s="49"/>
      <c r="Y313" s="49"/>
      <c r="Z313" s="49"/>
      <c r="AA313" s="49"/>
      <c r="AB313" s="49"/>
      <c r="AC313" s="49"/>
      <c r="AD313" s="49"/>
      <c r="AE313" s="49"/>
      <c r="AF313" s="49"/>
      <c r="AG313" s="49"/>
      <c r="AH313" s="49"/>
      <c r="AI313" s="49"/>
      <c r="AJ313" s="49"/>
      <c r="AK313" s="49"/>
      <c r="AL313" s="49"/>
      <c r="AM313" s="49"/>
      <c r="AN313" s="49"/>
      <c r="AO313" s="49"/>
    </row>
    <row r="314" spans="3:41" ht="12.75" customHeight="1">
      <c r="C314" s="49"/>
      <c r="D314" s="49"/>
      <c r="E314" s="49"/>
      <c r="F314" s="49"/>
      <c r="G314" s="49"/>
      <c r="H314" s="49"/>
      <c r="I314" s="49"/>
      <c r="J314" s="49"/>
      <c r="K314" s="49"/>
      <c r="L314" s="49"/>
      <c r="M314" s="49"/>
      <c r="S314" s="49"/>
      <c r="T314" s="49"/>
      <c r="U314" s="49"/>
      <c r="W314" s="49"/>
      <c r="X314" s="49"/>
      <c r="Y314" s="49"/>
      <c r="Z314" s="49"/>
      <c r="AA314" s="49"/>
      <c r="AB314" s="49"/>
      <c r="AC314" s="49"/>
      <c r="AD314" s="49"/>
      <c r="AE314" s="49"/>
      <c r="AF314" s="49"/>
      <c r="AG314" s="49"/>
      <c r="AH314" s="49"/>
      <c r="AI314" s="49"/>
      <c r="AJ314" s="49"/>
      <c r="AK314" s="49"/>
      <c r="AL314" s="49"/>
      <c r="AM314" s="49"/>
      <c r="AN314" s="49"/>
      <c r="AO314" s="49"/>
    </row>
    <row r="315" spans="3:41" ht="12.75" customHeight="1">
      <c r="C315" s="49"/>
      <c r="D315" s="49"/>
      <c r="E315" s="49"/>
      <c r="F315" s="49"/>
      <c r="G315" s="49"/>
      <c r="H315" s="49"/>
      <c r="I315" s="49"/>
      <c r="J315" s="49"/>
      <c r="K315" s="49"/>
      <c r="L315" s="49"/>
      <c r="M315" s="49"/>
      <c r="S315" s="49"/>
      <c r="T315" s="49"/>
      <c r="U315" s="49"/>
      <c r="W315" s="49"/>
      <c r="X315" s="49"/>
      <c r="Y315" s="49"/>
      <c r="Z315" s="49"/>
      <c r="AA315" s="49"/>
      <c r="AB315" s="49"/>
      <c r="AC315" s="49"/>
      <c r="AD315" s="49"/>
      <c r="AE315" s="49"/>
      <c r="AF315" s="49"/>
      <c r="AG315" s="49"/>
      <c r="AH315" s="49"/>
      <c r="AI315" s="49"/>
      <c r="AJ315" s="49"/>
      <c r="AK315" s="49"/>
      <c r="AL315" s="49"/>
      <c r="AM315" s="49"/>
      <c r="AN315" s="49"/>
      <c r="AO315" s="49"/>
    </row>
    <row r="316" spans="3:41" ht="12.75" customHeight="1">
      <c r="C316" s="49"/>
      <c r="D316" s="49"/>
      <c r="E316" s="49"/>
      <c r="F316" s="49"/>
      <c r="G316" s="49"/>
      <c r="H316" s="49"/>
      <c r="I316" s="49"/>
      <c r="J316" s="49"/>
      <c r="K316" s="49"/>
      <c r="L316" s="49"/>
      <c r="M316" s="49"/>
      <c r="S316" s="49"/>
      <c r="T316" s="49"/>
      <c r="U316" s="49"/>
      <c r="W316" s="49"/>
      <c r="X316" s="49"/>
      <c r="Y316" s="49"/>
      <c r="Z316" s="49"/>
      <c r="AA316" s="49"/>
      <c r="AB316" s="49"/>
      <c r="AC316" s="49"/>
      <c r="AD316" s="49"/>
      <c r="AE316" s="49"/>
      <c r="AF316" s="49"/>
      <c r="AG316" s="49"/>
      <c r="AH316" s="49"/>
      <c r="AI316" s="49"/>
      <c r="AJ316" s="49"/>
      <c r="AK316" s="49"/>
      <c r="AL316" s="49"/>
      <c r="AM316" s="49"/>
      <c r="AN316" s="49"/>
      <c r="AO316" s="49"/>
    </row>
    <row r="317" spans="3:41" ht="12.75" customHeight="1">
      <c r="C317" s="49"/>
      <c r="D317" s="49"/>
      <c r="E317" s="49"/>
      <c r="F317" s="49"/>
      <c r="G317" s="49"/>
      <c r="H317" s="49"/>
      <c r="I317" s="49"/>
      <c r="J317" s="49"/>
      <c r="K317" s="49"/>
      <c r="L317" s="49"/>
      <c r="M317" s="49"/>
      <c r="S317" s="49"/>
      <c r="T317" s="49"/>
      <c r="U317" s="49"/>
      <c r="W317" s="49"/>
      <c r="X317" s="49"/>
      <c r="Y317" s="49"/>
      <c r="Z317" s="49"/>
      <c r="AA317" s="49"/>
      <c r="AB317" s="49"/>
      <c r="AC317" s="49"/>
      <c r="AD317" s="49"/>
      <c r="AE317" s="49"/>
      <c r="AF317" s="49"/>
      <c r="AG317" s="49"/>
      <c r="AH317" s="49"/>
      <c r="AI317" s="49"/>
      <c r="AJ317" s="49"/>
      <c r="AK317" s="49"/>
      <c r="AL317" s="49"/>
      <c r="AM317" s="49"/>
      <c r="AN317" s="49"/>
      <c r="AO317" s="49"/>
    </row>
    <row r="318" spans="3:41" ht="12.75" customHeight="1">
      <c r="C318" s="49"/>
      <c r="D318" s="49"/>
      <c r="E318" s="49"/>
      <c r="F318" s="49"/>
      <c r="G318" s="49"/>
      <c r="H318" s="49"/>
      <c r="I318" s="49"/>
      <c r="J318" s="49"/>
      <c r="K318" s="49"/>
      <c r="L318" s="49"/>
      <c r="M318" s="49"/>
      <c r="S318" s="49"/>
      <c r="T318" s="49"/>
      <c r="U318" s="49"/>
      <c r="W318" s="49"/>
      <c r="X318" s="49"/>
      <c r="Y318" s="49"/>
      <c r="Z318" s="49"/>
      <c r="AA318" s="49"/>
      <c r="AB318" s="49"/>
      <c r="AC318" s="49"/>
      <c r="AD318" s="49"/>
      <c r="AE318" s="49"/>
      <c r="AF318" s="49"/>
      <c r="AG318" s="49"/>
      <c r="AH318" s="49"/>
      <c r="AI318" s="49"/>
      <c r="AJ318" s="49"/>
      <c r="AK318" s="49"/>
      <c r="AL318" s="49"/>
      <c r="AM318" s="49"/>
      <c r="AN318" s="49"/>
      <c r="AO318" s="49"/>
    </row>
    <row r="319" spans="3:41" ht="12.75" customHeight="1">
      <c r="C319" s="49"/>
      <c r="D319" s="49"/>
      <c r="E319" s="49"/>
      <c r="F319" s="49"/>
      <c r="G319" s="49"/>
      <c r="H319" s="49"/>
      <c r="I319" s="49"/>
      <c r="J319" s="49"/>
      <c r="K319" s="49"/>
      <c r="L319" s="49"/>
      <c r="M319" s="49"/>
      <c r="S319" s="49"/>
      <c r="T319" s="49"/>
      <c r="U319" s="49"/>
      <c r="W319" s="49"/>
      <c r="X319" s="49"/>
      <c r="Y319" s="49"/>
      <c r="Z319" s="49"/>
      <c r="AA319" s="49"/>
      <c r="AB319" s="49"/>
      <c r="AC319" s="49"/>
      <c r="AD319" s="49"/>
      <c r="AE319" s="49"/>
      <c r="AF319" s="49"/>
      <c r="AG319" s="49"/>
      <c r="AH319" s="49"/>
      <c r="AI319" s="49"/>
      <c r="AJ319" s="49"/>
      <c r="AK319" s="49"/>
      <c r="AL319" s="49"/>
      <c r="AM319" s="49"/>
      <c r="AN319" s="49"/>
      <c r="AO319" s="49"/>
    </row>
    <row r="320" spans="3:41" ht="12.75" customHeight="1">
      <c r="C320" s="49"/>
      <c r="D320" s="49"/>
      <c r="E320" s="49"/>
      <c r="F320" s="49"/>
      <c r="G320" s="49"/>
      <c r="H320" s="49"/>
      <c r="I320" s="49"/>
      <c r="J320" s="49"/>
      <c r="K320" s="49"/>
      <c r="L320" s="49"/>
      <c r="M320" s="49"/>
      <c r="S320" s="49"/>
      <c r="T320" s="49"/>
      <c r="U320" s="49"/>
      <c r="W320" s="49"/>
      <c r="X320" s="49"/>
      <c r="Y320" s="49"/>
      <c r="Z320" s="49"/>
      <c r="AA320" s="49"/>
      <c r="AB320" s="49"/>
      <c r="AC320" s="49"/>
      <c r="AD320" s="49"/>
      <c r="AE320" s="49"/>
      <c r="AF320" s="49"/>
      <c r="AG320" s="49"/>
      <c r="AH320" s="49"/>
      <c r="AI320" s="49"/>
      <c r="AJ320" s="49"/>
      <c r="AK320" s="49"/>
      <c r="AL320" s="49"/>
      <c r="AM320" s="49"/>
      <c r="AN320" s="49"/>
      <c r="AO320" s="49"/>
    </row>
    <row r="321" spans="3:41" ht="12.75" customHeight="1">
      <c r="C321" s="49"/>
      <c r="D321" s="49"/>
      <c r="E321" s="49"/>
      <c r="F321" s="49"/>
      <c r="G321" s="49"/>
      <c r="H321" s="49"/>
      <c r="I321" s="49"/>
      <c r="J321" s="49"/>
      <c r="K321" s="49"/>
      <c r="L321" s="49"/>
      <c r="M321" s="49"/>
      <c r="S321" s="49"/>
      <c r="T321" s="49"/>
      <c r="U321" s="49"/>
      <c r="W321" s="49"/>
      <c r="X321" s="49"/>
      <c r="Y321" s="49"/>
      <c r="Z321" s="49"/>
      <c r="AA321" s="49"/>
      <c r="AB321" s="49"/>
      <c r="AC321" s="49"/>
      <c r="AD321" s="49"/>
      <c r="AE321" s="49"/>
      <c r="AF321" s="49"/>
      <c r="AG321" s="49"/>
      <c r="AH321" s="49"/>
      <c r="AI321" s="49"/>
      <c r="AJ321" s="49"/>
      <c r="AK321" s="49"/>
      <c r="AL321" s="49"/>
      <c r="AM321" s="49"/>
      <c r="AN321" s="49"/>
      <c r="AO321" s="49"/>
    </row>
    <row r="322" spans="3:41" ht="12.75" customHeight="1">
      <c r="C322" s="49"/>
      <c r="D322" s="49"/>
      <c r="E322" s="49"/>
      <c r="F322" s="49"/>
      <c r="G322" s="49"/>
      <c r="H322" s="49"/>
      <c r="I322" s="49"/>
      <c r="J322" s="49"/>
      <c r="K322" s="49"/>
      <c r="L322" s="49"/>
      <c r="M322" s="49"/>
      <c r="S322" s="49"/>
      <c r="T322" s="49"/>
      <c r="U322" s="49"/>
      <c r="W322" s="49"/>
      <c r="X322" s="49"/>
      <c r="Y322" s="49"/>
      <c r="Z322" s="49"/>
      <c r="AA322" s="49"/>
      <c r="AB322" s="49"/>
      <c r="AC322" s="49"/>
      <c r="AD322" s="49"/>
      <c r="AE322" s="49"/>
      <c r="AF322" s="49"/>
      <c r="AG322" s="49"/>
      <c r="AH322" s="49"/>
      <c r="AI322" s="49"/>
      <c r="AJ322" s="49"/>
      <c r="AK322" s="49"/>
      <c r="AL322" s="49"/>
      <c r="AM322" s="49"/>
      <c r="AN322" s="49"/>
      <c r="AO322" s="49"/>
    </row>
    <row r="323" spans="3:41" ht="12.75" customHeight="1">
      <c r="C323" s="49"/>
      <c r="D323" s="49"/>
      <c r="E323" s="49"/>
      <c r="F323" s="49"/>
      <c r="G323" s="49"/>
      <c r="H323" s="49"/>
      <c r="I323" s="49"/>
      <c r="J323" s="49"/>
      <c r="K323" s="49"/>
      <c r="L323" s="49"/>
      <c r="M323" s="49"/>
      <c r="S323" s="49"/>
      <c r="T323" s="49"/>
      <c r="U323" s="49"/>
      <c r="W323" s="49"/>
      <c r="X323" s="49"/>
      <c r="Y323" s="49"/>
      <c r="Z323" s="49"/>
      <c r="AA323" s="49"/>
      <c r="AB323" s="49"/>
      <c r="AC323" s="49"/>
      <c r="AD323" s="49"/>
      <c r="AE323" s="49"/>
      <c r="AF323" s="49"/>
      <c r="AG323" s="49"/>
      <c r="AH323" s="49"/>
      <c r="AI323" s="49"/>
      <c r="AJ323" s="49"/>
      <c r="AK323" s="49"/>
      <c r="AL323" s="49"/>
      <c r="AM323" s="49"/>
      <c r="AN323" s="49"/>
      <c r="AO323" s="49"/>
    </row>
    <row r="324" spans="3:41" ht="12.75" customHeight="1">
      <c r="C324" s="49"/>
      <c r="D324" s="49"/>
      <c r="E324" s="49"/>
      <c r="F324" s="49"/>
      <c r="G324" s="49"/>
      <c r="H324" s="49"/>
      <c r="I324" s="49"/>
      <c r="J324" s="49"/>
      <c r="K324" s="49"/>
      <c r="L324" s="49"/>
      <c r="M324" s="49"/>
      <c r="S324" s="49"/>
      <c r="T324" s="49"/>
      <c r="U324" s="49"/>
      <c r="W324" s="49"/>
      <c r="X324" s="49"/>
      <c r="Y324" s="49"/>
      <c r="Z324" s="49"/>
      <c r="AA324" s="49"/>
      <c r="AB324" s="49"/>
      <c r="AC324" s="49"/>
      <c r="AD324" s="49"/>
      <c r="AE324" s="49"/>
      <c r="AF324" s="49"/>
      <c r="AG324" s="49"/>
      <c r="AH324" s="49"/>
      <c r="AI324" s="49"/>
      <c r="AJ324" s="49"/>
      <c r="AK324" s="49"/>
      <c r="AL324" s="49"/>
      <c r="AM324" s="49"/>
      <c r="AN324" s="49"/>
      <c r="AO324" s="49"/>
    </row>
    <row r="325" spans="3:41" ht="12.75" customHeight="1">
      <c r="C325" s="49"/>
      <c r="D325" s="49"/>
      <c r="E325" s="49"/>
      <c r="F325" s="49"/>
      <c r="G325" s="49"/>
      <c r="H325" s="49"/>
      <c r="I325" s="49"/>
      <c r="J325" s="49"/>
      <c r="K325" s="49"/>
      <c r="L325" s="49"/>
      <c r="M325" s="49"/>
      <c r="S325" s="49"/>
      <c r="T325" s="49"/>
      <c r="U325" s="49"/>
      <c r="W325" s="49"/>
      <c r="X325" s="49"/>
      <c r="Y325" s="49"/>
      <c r="Z325" s="49"/>
      <c r="AA325" s="49"/>
      <c r="AB325" s="49"/>
      <c r="AC325" s="49"/>
      <c r="AD325" s="49"/>
      <c r="AE325" s="49"/>
      <c r="AF325" s="49"/>
      <c r="AG325" s="49"/>
      <c r="AH325" s="49"/>
      <c r="AI325" s="49"/>
      <c r="AJ325" s="49"/>
      <c r="AK325" s="49"/>
      <c r="AL325" s="49"/>
      <c r="AM325" s="49"/>
      <c r="AN325" s="49"/>
      <c r="AO325" s="49"/>
    </row>
    <row r="326" spans="3:41" ht="12.75" customHeight="1">
      <c r="C326" s="49"/>
      <c r="D326" s="49"/>
      <c r="E326" s="49"/>
      <c r="F326" s="49"/>
      <c r="G326" s="49"/>
      <c r="H326" s="49"/>
      <c r="I326" s="49"/>
      <c r="J326" s="49"/>
      <c r="K326" s="49"/>
      <c r="L326" s="49"/>
      <c r="M326" s="49"/>
      <c r="S326" s="49"/>
      <c r="T326" s="49"/>
      <c r="U326" s="49"/>
      <c r="W326" s="49"/>
      <c r="X326" s="49"/>
      <c r="Y326" s="49"/>
      <c r="Z326" s="49"/>
      <c r="AA326" s="49"/>
      <c r="AB326" s="49"/>
      <c r="AC326" s="49"/>
      <c r="AD326" s="49"/>
      <c r="AE326" s="49"/>
      <c r="AF326" s="49"/>
      <c r="AG326" s="49"/>
      <c r="AH326" s="49"/>
      <c r="AI326" s="49"/>
      <c r="AJ326" s="49"/>
      <c r="AK326" s="49"/>
      <c r="AL326" s="49"/>
      <c r="AM326" s="49"/>
      <c r="AN326" s="49"/>
      <c r="AO326" s="49"/>
    </row>
    <row r="327" spans="3:41" ht="12.75" customHeight="1">
      <c r="C327" s="49"/>
      <c r="D327" s="49"/>
      <c r="E327" s="49"/>
      <c r="F327" s="49"/>
      <c r="G327" s="49"/>
      <c r="H327" s="49"/>
      <c r="I327" s="49"/>
      <c r="J327" s="49"/>
      <c r="K327" s="49"/>
      <c r="L327" s="49"/>
      <c r="M327" s="49"/>
      <c r="S327" s="49"/>
      <c r="T327" s="49"/>
      <c r="U327" s="49"/>
      <c r="W327" s="49"/>
      <c r="X327" s="49"/>
      <c r="Y327" s="49"/>
      <c r="Z327" s="49"/>
      <c r="AA327" s="49"/>
      <c r="AB327" s="49"/>
      <c r="AC327" s="49"/>
      <c r="AD327" s="49"/>
      <c r="AE327" s="49"/>
      <c r="AF327" s="49"/>
      <c r="AG327" s="49"/>
      <c r="AH327" s="49"/>
      <c r="AI327" s="49"/>
      <c r="AJ327" s="49"/>
      <c r="AK327" s="49"/>
      <c r="AL327" s="49"/>
      <c r="AM327" s="49"/>
      <c r="AN327" s="49"/>
      <c r="AO327" s="49"/>
    </row>
    <row r="328" spans="3:41" ht="12.75" customHeight="1">
      <c r="C328" s="49"/>
      <c r="D328" s="49"/>
      <c r="E328" s="49"/>
      <c r="F328" s="49"/>
      <c r="G328" s="49"/>
      <c r="H328" s="49"/>
      <c r="I328" s="49"/>
      <c r="J328" s="49"/>
      <c r="K328" s="49"/>
      <c r="L328" s="49"/>
      <c r="M328" s="49"/>
      <c r="S328" s="49"/>
      <c r="T328" s="49"/>
      <c r="U328" s="49"/>
      <c r="W328" s="49"/>
      <c r="X328" s="49"/>
      <c r="Y328" s="49"/>
      <c r="Z328" s="49"/>
      <c r="AA328" s="49"/>
      <c r="AB328" s="49"/>
      <c r="AC328" s="49"/>
      <c r="AD328" s="49"/>
      <c r="AE328" s="49"/>
      <c r="AF328" s="49"/>
      <c r="AG328" s="49"/>
      <c r="AH328" s="49"/>
      <c r="AI328" s="49"/>
      <c r="AJ328" s="49"/>
      <c r="AK328" s="49"/>
      <c r="AL328" s="49"/>
      <c r="AM328" s="49"/>
      <c r="AN328" s="49"/>
      <c r="AO328" s="49"/>
    </row>
    <row r="329" spans="3:41" ht="12.75" customHeight="1">
      <c r="C329" s="49"/>
      <c r="D329" s="49"/>
      <c r="E329" s="49"/>
      <c r="F329" s="49"/>
      <c r="G329" s="49"/>
      <c r="H329" s="49"/>
      <c r="I329" s="49"/>
      <c r="J329" s="49"/>
      <c r="K329" s="49"/>
      <c r="L329" s="49"/>
      <c r="M329" s="49"/>
      <c r="S329" s="49"/>
      <c r="T329" s="49"/>
      <c r="U329" s="49"/>
      <c r="W329" s="49"/>
      <c r="X329" s="49"/>
      <c r="Y329" s="49"/>
      <c r="Z329" s="49"/>
      <c r="AA329" s="49"/>
      <c r="AB329" s="49"/>
      <c r="AC329" s="49"/>
      <c r="AD329" s="49"/>
      <c r="AE329" s="49"/>
      <c r="AF329" s="49"/>
      <c r="AG329" s="49"/>
      <c r="AH329" s="49"/>
      <c r="AI329" s="49"/>
      <c r="AJ329" s="49"/>
      <c r="AK329" s="49"/>
      <c r="AL329" s="49"/>
      <c r="AM329" s="49"/>
      <c r="AN329" s="49"/>
      <c r="AO329" s="49"/>
    </row>
    <row r="330" spans="3:41" ht="12.75" customHeight="1">
      <c r="C330" s="49"/>
      <c r="D330" s="49"/>
      <c r="E330" s="49"/>
      <c r="F330" s="49"/>
      <c r="G330" s="49"/>
      <c r="H330" s="49"/>
      <c r="I330" s="49"/>
      <c r="J330" s="49"/>
      <c r="K330" s="49"/>
      <c r="L330" s="49"/>
      <c r="M330" s="49"/>
      <c r="S330" s="49"/>
      <c r="T330" s="49"/>
      <c r="U330" s="49"/>
      <c r="W330" s="49"/>
      <c r="X330" s="49"/>
      <c r="Y330" s="49"/>
      <c r="Z330" s="49"/>
      <c r="AA330" s="49"/>
      <c r="AB330" s="49"/>
      <c r="AC330" s="49"/>
      <c r="AD330" s="49"/>
      <c r="AE330" s="49"/>
      <c r="AF330" s="49"/>
      <c r="AG330" s="49"/>
      <c r="AH330" s="49"/>
      <c r="AI330" s="49"/>
      <c r="AJ330" s="49"/>
      <c r="AK330" s="49"/>
      <c r="AL330" s="49"/>
      <c r="AM330" s="49"/>
      <c r="AN330" s="49"/>
      <c r="AO330" s="49"/>
    </row>
    <row r="331" spans="3:41" ht="12.75" customHeight="1">
      <c r="C331" s="49"/>
      <c r="D331" s="49"/>
      <c r="E331" s="49"/>
      <c r="F331" s="49"/>
      <c r="G331" s="49"/>
      <c r="H331" s="49"/>
      <c r="I331" s="49"/>
      <c r="J331" s="49"/>
      <c r="K331" s="49"/>
      <c r="L331" s="49"/>
      <c r="M331" s="49"/>
      <c r="S331" s="49"/>
      <c r="T331" s="49"/>
      <c r="U331" s="49"/>
      <c r="W331" s="49"/>
      <c r="X331" s="49"/>
      <c r="Y331" s="49"/>
      <c r="Z331" s="49"/>
      <c r="AA331" s="49"/>
      <c r="AB331" s="49"/>
      <c r="AC331" s="49"/>
      <c r="AD331" s="49"/>
      <c r="AE331" s="49"/>
      <c r="AF331" s="49"/>
      <c r="AG331" s="49"/>
      <c r="AH331" s="49"/>
      <c r="AI331" s="49"/>
      <c r="AJ331" s="49"/>
      <c r="AK331" s="49"/>
      <c r="AL331" s="49"/>
      <c r="AM331" s="49"/>
      <c r="AN331" s="49"/>
      <c r="AO331" s="49"/>
    </row>
    <row r="332" spans="3:41" ht="12.75" customHeight="1">
      <c r="C332" s="49"/>
      <c r="D332" s="49"/>
      <c r="E332" s="49"/>
      <c r="F332" s="49"/>
      <c r="G332" s="49"/>
      <c r="H332" s="49"/>
      <c r="I332" s="49"/>
      <c r="J332" s="49"/>
      <c r="K332" s="49"/>
      <c r="L332" s="49"/>
      <c r="M332" s="49"/>
      <c r="S332" s="49"/>
      <c r="T332" s="49"/>
      <c r="U332" s="49"/>
      <c r="W332" s="49"/>
      <c r="X332" s="49"/>
      <c r="Y332" s="49"/>
      <c r="Z332" s="49"/>
      <c r="AA332" s="49"/>
      <c r="AB332" s="49"/>
      <c r="AC332" s="49"/>
      <c r="AD332" s="49"/>
      <c r="AE332" s="49"/>
      <c r="AF332" s="49"/>
      <c r="AG332" s="49"/>
      <c r="AH332" s="49"/>
      <c r="AI332" s="49"/>
      <c r="AJ332" s="49"/>
      <c r="AK332" s="49"/>
      <c r="AL332" s="49"/>
      <c r="AM332" s="49"/>
      <c r="AN332" s="49"/>
      <c r="AO332" s="49"/>
    </row>
    <row r="333" spans="3:41" ht="12.75" customHeight="1">
      <c r="C333" s="49"/>
      <c r="D333" s="49"/>
      <c r="E333" s="49"/>
      <c r="F333" s="49"/>
      <c r="G333" s="49"/>
      <c r="H333" s="49"/>
      <c r="I333" s="49"/>
      <c r="J333" s="49"/>
      <c r="K333" s="49"/>
      <c r="L333" s="49"/>
      <c r="M333" s="49"/>
      <c r="S333" s="49"/>
      <c r="T333" s="49"/>
      <c r="U333" s="49"/>
      <c r="W333" s="49"/>
      <c r="X333" s="49"/>
      <c r="Y333" s="49"/>
      <c r="Z333" s="49"/>
      <c r="AA333" s="49"/>
      <c r="AB333" s="49"/>
      <c r="AC333" s="49"/>
      <c r="AD333" s="49"/>
      <c r="AE333" s="49"/>
      <c r="AF333" s="49"/>
      <c r="AG333" s="49"/>
      <c r="AH333" s="49"/>
      <c r="AI333" s="49"/>
      <c r="AJ333" s="49"/>
      <c r="AK333" s="49"/>
      <c r="AL333" s="49"/>
      <c r="AM333" s="49"/>
      <c r="AN333" s="49"/>
      <c r="AO333" s="49"/>
    </row>
    <row r="334" spans="3:41" ht="12.75" customHeight="1">
      <c r="C334" s="49"/>
      <c r="D334" s="49"/>
      <c r="E334" s="49"/>
      <c r="F334" s="49"/>
      <c r="G334" s="49"/>
      <c r="H334" s="49"/>
      <c r="I334" s="49"/>
      <c r="J334" s="49"/>
      <c r="K334" s="49"/>
      <c r="L334" s="49"/>
      <c r="M334" s="49"/>
      <c r="S334" s="49"/>
      <c r="T334" s="49"/>
      <c r="U334" s="49"/>
      <c r="W334" s="49"/>
      <c r="X334" s="49"/>
      <c r="Y334" s="49"/>
      <c r="Z334" s="49"/>
      <c r="AA334" s="49"/>
      <c r="AB334" s="49"/>
      <c r="AC334" s="49"/>
      <c r="AD334" s="49"/>
      <c r="AE334" s="49"/>
      <c r="AF334" s="49"/>
      <c r="AG334" s="49"/>
      <c r="AH334" s="49"/>
      <c r="AI334" s="49"/>
      <c r="AJ334" s="49"/>
      <c r="AK334" s="49"/>
      <c r="AL334" s="49"/>
      <c r="AM334" s="49"/>
      <c r="AN334" s="49"/>
      <c r="AO334" s="49"/>
    </row>
    <row r="335" spans="3:41" ht="12.75" customHeight="1">
      <c r="C335" s="49"/>
      <c r="D335" s="49"/>
      <c r="E335" s="49"/>
      <c r="F335" s="49"/>
      <c r="G335" s="49"/>
      <c r="H335" s="49"/>
      <c r="I335" s="49"/>
      <c r="J335" s="49"/>
      <c r="K335" s="49"/>
      <c r="L335" s="49"/>
      <c r="M335" s="49"/>
      <c r="S335" s="49"/>
      <c r="T335" s="49"/>
      <c r="U335" s="49"/>
      <c r="W335" s="49"/>
      <c r="X335" s="49"/>
      <c r="Y335" s="49"/>
      <c r="Z335" s="49"/>
      <c r="AA335" s="49"/>
      <c r="AB335" s="49"/>
      <c r="AC335" s="49"/>
      <c r="AD335" s="49"/>
      <c r="AE335" s="49"/>
      <c r="AF335" s="49"/>
      <c r="AG335" s="49"/>
      <c r="AH335" s="49"/>
      <c r="AI335" s="49"/>
      <c r="AJ335" s="49"/>
      <c r="AK335" s="49"/>
      <c r="AL335" s="49"/>
      <c r="AM335" s="49"/>
      <c r="AN335" s="49"/>
      <c r="AO335" s="49"/>
    </row>
    <row r="336" spans="3:41" ht="12.75" customHeight="1">
      <c r="C336" s="49"/>
      <c r="D336" s="49"/>
      <c r="E336" s="49"/>
      <c r="F336" s="49"/>
      <c r="G336" s="49"/>
      <c r="H336" s="49"/>
      <c r="I336" s="49"/>
      <c r="J336" s="49"/>
      <c r="K336" s="49"/>
      <c r="L336" s="49"/>
      <c r="M336" s="49"/>
      <c r="S336" s="49"/>
      <c r="T336" s="49"/>
      <c r="U336" s="49"/>
      <c r="W336" s="49"/>
      <c r="X336" s="49"/>
      <c r="Y336" s="49"/>
      <c r="Z336" s="49"/>
      <c r="AA336" s="49"/>
      <c r="AB336" s="49"/>
      <c r="AC336" s="49"/>
      <c r="AD336" s="49"/>
      <c r="AE336" s="49"/>
      <c r="AF336" s="49"/>
      <c r="AG336" s="49"/>
      <c r="AH336" s="49"/>
      <c r="AI336" s="49"/>
      <c r="AJ336" s="49"/>
      <c r="AK336" s="49"/>
      <c r="AL336" s="49"/>
      <c r="AM336" s="49"/>
      <c r="AN336" s="49"/>
      <c r="AO336" s="49"/>
    </row>
    <row r="337" spans="3:41" ht="12.75" customHeight="1">
      <c r="C337" s="49"/>
      <c r="D337" s="49"/>
      <c r="E337" s="49"/>
      <c r="F337" s="49"/>
      <c r="G337" s="49"/>
      <c r="H337" s="49"/>
      <c r="I337" s="49"/>
      <c r="J337" s="49"/>
      <c r="K337" s="49"/>
      <c r="L337" s="49"/>
      <c r="M337" s="49"/>
      <c r="S337" s="49"/>
      <c r="T337" s="49"/>
      <c r="U337" s="49"/>
      <c r="W337" s="49"/>
      <c r="X337" s="49"/>
      <c r="Y337" s="49"/>
      <c r="Z337" s="49"/>
      <c r="AA337" s="49"/>
      <c r="AB337" s="49"/>
      <c r="AC337" s="49"/>
      <c r="AD337" s="49"/>
      <c r="AE337" s="49"/>
      <c r="AF337" s="49"/>
      <c r="AG337" s="49"/>
      <c r="AH337" s="49"/>
      <c r="AI337" s="49"/>
      <c r="AJ337" s="49"/>
      <c r="AK337" s="49"/>
      <c r="AL337" s="49"/>
      <c r="AM337" s="49"/>
      <c r="AN337" s="49"/>
      <c r="AO337" s="49"/>
    </row>
    <row r="338" spans="3:41" ht="12.75" customHeight="1">
      <c r="C338" s="49"/>
      <c r="D338" s="49"/>
      <c r="E338" s="49"/>
      <c r="F338" s="49"/>
      <c r="G338" s="49"/>
      <c r="H338" s="49"/>
      <c r="I338" s="49"/>
      <c r="J338" s="49"/>
      <c r="K338" s="49"/>
      <c r="L338" s="49"/>
      <c r="M338" s="49"/>
      <c r="S338" s="49"/>
      <c r="T338" s="49"/>
      <c r="U338" s="49"/>
      <c r="W338" s="49"/>
      <c r="X338" s="49"/>
      <c r="Y338" s="49"/>
      <c r="Z338" s="49"/>
      <c r="AA338" s="49"/>
      <c r="AB338" s="49"/>
      <c r="AC338" s="49"/>
      <c r="AD338" s="49"/>
      <c r="AE338" s="49"/>
      <c r="AF338" s="49"/>
      <c r="AG338" s="49"/>
      <c r="AH338" s="49"/>
      <c r="AI338" s="49"/>
      <c r="AJ338" s="49"/>
      <c r="AK338" s="49"/>
      <c r="AL338" s="49"/>
      <c r="AM338" s="49"/>
      <c r="AN338" s="49"/>
      <c r="AO338" s="49"/>
    </row>
    <row r="339" spans="3:41" ht="12.75" customHeight="1">
      <c r="C339" s="49"/>
      <c r="D339" s="49"/>
      <c r="E339" s="49"/>
      <c r="F339" s="49"/>
      <c r="G339" s="49"/>
      <c r="H339" s="49"/>
      <c r="I339" s="49"/>
      <c r="J339" s="49"/>
      <c r="K339" s="49"/>
      <c r="L339" s="49"/>
      <c r="M339" s="49"/>
      <c r="S339" s="49"/>
      <c r="T339" s="49"/>
      <c r="U339" s="49"/>
      <c r="W339" s="49"/>
      <c r="X339" s="49"/>
      <c r="Y339" s="49"/>
      <c r="Z339" s="49"/>
      <c r="AA339" s="49"/>
      <c r="AB339" s="49"/>
      <c r="AC339" s="49"/>
      <c r="AD339" s="49"/>
      <c r="AE339" s="49"/>
      <c r="AF339" s="49"/>
      <c r="AG339" s="49"/>
      <c r="AH339" s="49"/>
      <c r="AI339" s="49"/>
      <c r="AJ339" s="49"/>
      <c r="AK339" s="49"/>
      <c r="AL339" s="49"/>
      <c r="AM339" s="49"/>
      <c r="AN339" s="49"/>
      <c r="AO339" s="49"/>
    </row>
    <row r="340" spans="3:41" ht="12.75" customHeight="1">
      <c r="C340" s="49"/>
      <c r="D340" s="49"/>
      <c r="E340" s="49"/>
      <c r="F340" s="49"/>
      <c r="G340" s="49"/>
      <c r="H340" s="49"/>
      <c r="I340" s="49"/>
      <c r="J340" s="49"/>
      <c r="K340" s="49"/>
      <c r="L340" s="49"/>
      <c r="M340" s="49"/>
      <c r="S340" s="49"/>
      <c r="T340" s="49"/>
      <c r="U340" s="49"/>
      <c r="W340" s="49"/>
      <c r="X340" s="49"/>
      <c r="Y340" s="49"/>
      <c r="Z340" s="49"/>
      <c r="AA340" s="49"/>
      <c r="AB340" s="49"/>
      <c r="AC340" s="49"/>
      <c r="AD340" s="49"/>
      <c r="AE340" s="49"/>
      <c r="AF340" s="49"/>
      <c r="AG340" s="49"/>
      <c r="AH340" s="49"/>
      <c r="AI340" s="49"/>
      <c r="AJ340" s="49"/>
      <c r="AK340" s="49"/>
      <c r="AL340" s="49"/>
      <c r="AM340" s="49"/>
      <c r="AN340" s="49"/>
      <c r="AO340" s="49"/>
    </row>
    <row r="341" spans="3:41" ht="12.75" customHeight="1">
      <c r="C341" s="49"/>
      <c r="D341" s="49"/>
      <c r="E341" s="49"/>
      <c r="F341" s="49"/>
      <c r="G341" s="49"/>
      <c r="H341" s="49"/>
      <c r="I341" s="49"/>
      <c r="J341" s="49"/>
      <c r="K341" s="49"/>
      <c r="L341" s="49"/>
      <c r="M341" s="49"/>
      <c r="S341" s="49"/>
      <c r="T341" s="49"/>
      <c r="U341" s="49"/>
      <c r="W341" s="49"/>
      <c r="X341" s="49"/>
      <c r="Y341" s="49"/>
      <c r="Z341" s="49"/>
      <c r="AA341" s="49"/>
      <c r="AB341" s="49"/>
      <c r="AC341" s="49"/>
      <c r="AD341" s="49"/>
      <c r="AE341" s="49"/>
      <c r="AF341" s="49"/>
      <c r="AG341" s="49"/>
      <c r="AH341" s="49"/>
      <c r="AI341" s="49"/>
      <c r="AJ341" s="49"/>
      <c r="AK341" s="49"/>
      <c r="AL341" s="49"/>
      <c r="AM341" s="49"/>
      <c r="AN341" s="49"/>
      <c r="AO341" s="49"/>
    </row>
    <row r="342" spans="3:41" ht="12.75" customHeight="1">
      <c r="C342" s="49"/>
      <c r="D342" s="49"/>
      <c r="E342" s="49"/>
      <c r="F342" s="49"/>
      <c r="G342" s="49"/>
      <c r="H342" s="49"/>
      <c r="I342" s="49"/>
      <c r="J342" s="49"/>
      <c r="K342" s="49"/>
      <c r="L342" s="49"/>
      <c r="M342" s="49"/>
      <c r="S342" s="49"/>
      <c r="T342" s="49"/>
      <c r="U342" s="49"/>
      <c r="W342" s="49"/>
      <c r="X342" s="49"/>
      <c r="Y342" s="49"/>
      <c r="Z342" s="49"/>
      <c r="AA342" s="49"/>
      <c r="AB342" s="49"/>
      <c r="AC342" s="49"/>
      <c r="AD342" s="49"/>
      <c r="AE342" s="49"/>
      <c r="AF342" s="49"/>
      <c r="AG342" s="49"/>
      <c r="AH342" s="49"/>
      <c r="AI342" s="49"/>
      <c r="AJ342" s="49"/>
      <c r="AK342" s="49"/>
      <c r="AL342" s="49"/>
      <c r="AM342" s="49"/>
      <c r="AN342" s="49"/>
      <c r="AO342" s="49"/>
    </row>
    <row r="343" spans="3:41" ht="12.75" customHeight="1">
      <c r="C343" s="49"/>
      <c r="D343" s="49"/>
      <c r="E343" s="49"/>
      <c r="F343" s="49"/>
      <c r="G343" s="49"/>
      <c r="H343" s="49"/>
      <c r="I343" s="49"/>
      <c r="J343" s="49"/>
      <c r="K343" s="49"/>
      <c r="L343" s="49"/>
      <c r="M343" s="49"/>
      <c r="S343" s="49"/>
      <c r="T343" s="49"/>
      <c r="U343" s="49"/>
      <c r="W343" s="49"/>
      <c r="X343" s="49"/>
      <c r="Y343" s="49"/>
      <c r="Z343" s="49"/>
      <c r="AA343" s="49"/>
      <c r="AB343" s="49"/>
      <c r="AC343" s="49"/>
      <c r="AD343" s="49"/>
      <c r="AE343" s="49"/>
      <c r="AF343" s="49"/>
      <c r="AG343" s="49"/>
      <c r="AH343" s="49"/>
      <c r="AI343" s="49"/>
      <c r="AJ343" s="49"/>
      <c r="AK343" s="49"/>
      <c r="AL343" s="49"/>
      <c r="AM343" s="49"/>
      <c r="AN343" s="49"/>
      <c r="AO343" s="49"/>
    </row>
    <row r="344" spans="3:41" ht="12.75" customHeight="1">
      <c r="C344" s="49"/>
      <c r="D344" s="49"/>
      <c r="E344" s="49"/>
      <c r="F344" s="49"/>
      <c r="G344" s="49"/>
      <c r="H344" s="49"/>
      <c r="I344" s="49"/>
      <c r="J344" s="49"/>
      <c r="K344" s="49"/>
      <c r="L344" s="49"/>
      <c r="M344" s="49"/>
      <c r="S344" s="49"/>
      <c r="T344" s="49"/>
      <c r="U344" s="49"/>
      <c r="W344" s="49"/>
      <c r="X344" s="49"/>
      <c r="Y344" s="49"/>
      <c r="Z344" s="49"/>
      <c r="AA344" s="49"/>
      <c r="AB344" s="49"/>
      <c r="AC344" s="49"/>
      <c r="AD344" s="49"/>
      <c r="AE344" s="49"/>
      <c r="AF344" s="49"/>
      <c r="AG344" s="49"/>
      <c r="AH344" s="49"/>
      <c r="AI344" s="49"/>
      <c r="AJ344" s="49"/>
      <c r="AK344" s="49"/>
      <c r="AL344" s="49"/>
      <c r="AM344" s="49"/>
      <c r="AN344" s="49"/>
      <c r="AO344" s="49"/>
    </row>
    <row r="345" spans="3:41" ht="12.75" customHeight="1">
      <c r="C345" s="49"/>
      <c r="D345" s="49"/>
      <c r="E345" s="49"/>
      <c r="F345" s="49"/>
      <c r="G345" s="49"/>
      <c r="H345" s="49"/>
      <c r="I345" s="49"/>
      <c r="J345" s="49"/>
      <c r="K345" s="49"/>
      <c r="L345" s="49"/>
      <c r="M345" s="49"/>
      <c r="S345" s="49"/>
      <c r="T345" s="49"/>
      <c r="U345" s="49"/>
      <c r="W345" s="49"/>
      <c r="X345" s="49"/>
      <c r="Y345" s="49"/>
      <c r="Z345" s="49"/>
      <c r="AA345" s="49"/>
      <c r="AB345" s="49"/>
      <c r="AC345" s="49"/>
      <c r="AD345" s="49"/>
      <c r="AE345" s="49"/>
      <c r="AF345" s="49"/>
      <c r="AG345" s="49"/>
      <c r="AH345" s="49"/>
      <c r="AI345" s="49"/>
      <c r="AJ345" s="49"/>
      <c r="AK345" s="49"/>
      <c r="AL345" s="49"/>
      <c r="AM345" s="49"/>
      <c r="AN345" s="49"/>
      <c r="AO345" s="49"/>
    </row>
    <row r="346" spans="3:41" ht="12.75" customHeight="1">
      <c r="C346" s="49"/>
      <c r="D346" s="49"/>
      <c r="E346" s="49"/>
      <c r="F346" s="49"/>
      <c r="G346" s="49"/>
      <c r="H346" s="49"/>
      <c r="I346" s="49"/>
      <c r="J346" s="49"/>
      <c r="K346" s="49"/>
      <c r="L346" s="49"/>
      <c r="M346" s="49"/>
      <c r="S346" s="49"/>
      <c r="T346" s="49"/>
      <c r="U346" s="49"/>
      <c r="W346" s="49"/>
      <c r="X346" s="49"/>
      <c r="Y346" s="49"/>
      <c r="Z346" s="49"/>
      <c r="AA346" s="49"/>
      <c r="AB346" s="49"/>
      <c r="AC346" s="49"/>
      <c r="AD346" s="49"/>
      <c r="AE346" s="49"/>
      <c r="AF346" s="49"/>
      <c r="AG346" s="49"/>
      <c r="AH346" s="49"/>
      <c r="AI346" s="49"/>
      <c r="AJ346" s="49"/>
      <c r="AK346" s="49"/>
      <c r="AL346" s="49"/>
      <c r="AM346" s="49"/>
      <c r="AN346" s="49"/>
      <c r="AO346" s="49"/>
    </row>
    <row r="347" spans="3:41" ht="12.75" customHeight="1">
      <c r="C347" s="49"/>
      <c r="D347" s="49"/>
      <c r="E347" s="49"/>
      <c r="F347" s="49"/>
      <c r="G347" s="49"/>
      <c r="H347" s="49"/>
      <c r="I347" s="49"/>
      <c r="J347" s="49"/>
      <c r="K347" s="49"/>
      <c r="L347" s="49"/>
      <c r="M347" s="49"/>
      <c r="S347" s="49"/>
      <c r="T347" s="49"/>
      <c r="U347" s="49"/>
      <c r="W347" s="49"/>
      <c r="X347" s="49"/>
      <c r="Y347" s="49"/>
      <c r="Z347" s="49"/>
      <c r="AA347" s="49"/>
      <c r="AB347" s="49"/>
      <c r="AC347" s="49"/>
      <c r="AD347" s="49"/>
      <c r="AE347" s="49"/>
      <c r="AF347" s="49"/>
      <c r="AG347" s="49"/>
      <c r="AH347" s="49"/>
      <c r="AI347" s="49"/>
      <c r="AJ347" s="49"/>
      <c r="AK347" s="49"/>
      <c r="AL347" s="49"/>
      <c r="AM347" s="49"/>
      <c r="AN347" s="49"/>
      <c r="AO347" s="49"/>
    </row>
    <row r="348" spans="3:41" ht="12.75" customHeight="1">
      <c r="C348" s="49"/>
      <c r="D348" s="49"/>
      <c r="E348" s="49"/>
      <c r="F348" s="49"/>
      <c r="G348" s="49"/>
      <c r="H348" s="49"/>
      <c r="I348" s="49"/>
      <c r="J348" s="49"/>
      <c r="K348" s="49"/>
      <c r="L348" s="49"/>
      <c r="M348" s="49"/>
      <c r="S348" s="49"/>
      <c r="T348" s="49"/>
      <c r="U348" s="49"/>
      <c r="W348" s="49"/>
      <c r="X348" s="49"/>
      <c r="Y348" s="49"/>
      <c r="Z348" s="49"/>
      <c r="AA348" s="49"/>
      <c r="AB348" s="49"/>
      <c r="AC348" s="49"/>
      <c r="AD348" s="49"/>
      <c r="AE348" s="49"/>
      <c r="AF348" s="49"/>
      <c r="AG348" s="49"/>
      <c r="AH348" s="49"/>
      <c r="AI348" s="49"/>
      <c r="AJ348" s="49"/>
      <c r="AK348" s="49"/>
      <c r="AL348" s="49"/>
      <c r="AM348" s="49"/>
      <c r="AN348" s="49"/>
      <c r="AO348" s="49"/>
    </row>
    <row r="349" spans="3:41" ht="12.75" customHeight="1">
      <c r="C349" s="49"/>
      <c r="D349" s="49"/>
      <c r="E349" s="49"/>
      <c r="F349" s="49"/>
      <c r="G349" s="49"/>
      <c r="H349" s="49"/>
      <c r="I349" s="49"/>
      <c r="J349" s="49"/>
      <c r="K349" s="49"/>
      <c r="L349" s="49"/>
      <c r="M349" s="49"/>
      <c r="S349" s="49"/>
      <c r="T349" s="49"/>
      <c r="U349" s="49"/>
      <c r="W349" s="49"/>
      <c r="X349" s="49"/>
      <c r="Y349" s="49"/>
      <c r="Z349" s="49"/>
      <c r="AA349" s="49"/>
      <c r="AB349" s="49"/>
      <c r="AC349" s="49"/>
      <c r="AD349" s="49"/>
      <c r="AE349" s="49"/>
      <c r="AF349" s="49"/>
      <c r="AG349" s="49"/>
      <c r="AH349" s="49"/>
      <c r="AI349" s="49"/>
      <c r="AJ349" s="49"/>
      <c r="AK349" s="49"/>
      <c r="AL349" s="49"/>
      <c r="AM349" s="49"/>
      <c r="AN349" s="49"/>
      <c r="AO349" s="49"/>
    </row>
    <row r="350" spans="3:41" ht="12.75" customHeight="1">
      <c r="C350" s="49"/>
      <c r="D350" s="49"/>
      <c r="E350" s="49"/>
      <c r="F350" s="49"/>
      <c r="G350" s="49"/>
      <c r="H350" s="49"/>
      <c r="I350" s="49"/>
      <c r="J350" s="49"/>
      <c r="K350" s="49"/>
      <c r="L350" s="49"/>
      <c r="M350" s="49"/>
      <c r="S350" s="49"/>
      <c r="T350" s="49"/>
      <c r="U350" s="49"/>
      <c r="W350" s="49"/>
      <c r="X350" s="49"/>
      <c r="Y350" s="49"/>
      <c r="Z350" s="49"/>
      <c r="AA350" s="49"/>
      <c r="AB350" s="49"/>
      <c r="AC350" s="49"/>
      <c r="AD350" s="49"/>
      <c r="AE350" s="49"/>
      <c r="AF350" s="49"/>
      <c r="AG350" s="49"/>
      <c r="AH350" s="49"/>
      <c r="AI350" s="49"/>
      <c r="AJ350" s="49"/>
      <c r="AK350" s="49"/>
      <c r="AL350" s="49"/>
      <c r="AM350" s="49"/>
      <c r="AN350" s="49"/>
      <c r="AO350" s="49"/>
    </row>
    <row r="351" spans="3:41" ht="12.75" customHeight="1">
      <c r="C351" s="49"/>
      <c r="D351" s="49"/>
      <c r="E351" s="49"/>
      <c r="F351" s="49"/>
      <c r="G351" s="49"/>
      <c r="H351" s="49"/>
      <c r="I351" s="49"/>
      <c r="J351" s="49"/>
      <c r="K351" s="49"/>
      <c r="L351" s="49"/>
      <c r="M351" s="49"/>
      <c r="S351" s="49"/>
      <c r="T351" s="49"/>
      <c r="U351" s="49"/>
      <c r="W351" s="49"/>
      <c r="X351" s="49"/>
      <c r="Y351" s="49"/>
      <c r="Z351" s="49"/>
      <c r="AA351" s="49"/>
      <c r="AB351" s="49"/>
      <c r="AC351" s="49"/>
      <c r="AD351" s="49"/>
      <c r="AE351" s="49"/>
      <c r="AF351" s="49"/>
      <c r="AG351" s="49"/>
      <c r="AH351" s="49"/>
      <c r="AI351" s="49"/>
      <c r="AJ351" s="49"/>
      <c r="AK351" s="49"/>
      <c r="AL351" s="49"/>
      <c r="AM351" s="49"/>
      <c r="AN351" s="49"/>
      <c r="AO351" s="49"/>
    </row>
    <row r="352" spans="3:41" ht="12.75" customHeight="1">
      <c r="C352" s="49"/>
      <c r="D352" s="49"/>
      <c r="E352" s="49"/>
      <c r="F352" s="49"/>
      <c r="G352" s="49"/>
      <c r="H352" s="49"/>
      <c r="I352" s="49"/>
      <c r="J352" s="49"/>
      <c r="K352" s="49"/>
      <c r="L352" s="49"/>
      <c r="M352" s="49"/>
      <c r="S352" s="49"/>
      <c r="T352" s="49"/>
      <c r="U352" s="49"/>
      <c r="W352" s="49"/>
      <c r="X352" s="49"/>
      <c r="Y352" s="49"/>
      <c r="Z352" s="49"/>
      <c r="AA352" s="49"/>
      <c r="AB352" s="49"/>
      <c r="AC352" s="49"/>
      <c r="AD352" s="49"/>
      <c r="AE352" s="49"/>
      <c r="AF352" s="49"/>
      <c r="AG352" s="49"/>
      <c r="AH352" s="49"/>
      <c r="AI352" s="49"/>
      <c r="AJ352" s="49"/>
      <c r="AK352" s="49"/>
      <c r="AL352" s="49"/>
      <c r="AM352" s="49"/>
      <c r="AN352" s="49"/>
      <c r="AO352" s="49"/>
    </row>
    <row r="353" spans="3:41" ht="12.75" customHeight="1">
      <c r="C353" s="49"/>
      <c r="D353" s="49"/>
      <c r="E353" s="49"/>
      <c r="F353" s="49"/>
      <c r="G353" s="49"/>
      <c r="H353" s="49"/>
      <c r="I353" s="49"/>
      <c r="J353" s="49"/>
      <c r="K353" s="49"/>
      <c r="L353" s="49"/>
      <c r="M353" s="49"/>
      <c r="S353" s="49"/>
      <c r="T353" s="49"/>
      <c r="U353" s="49"/>
      <c r="W353" s="49"/>
      <c r="X353" s="49"/>
      <c r="Y353" s="49"/>
      <c r="Z353" s="49"/>
      <c r="AA353" s="49"/>
      <c r="AB353" s="49"/>
      <c r="AC353" s="49"/>
      <c r="AD353" s="49"/>
      <c r="AE353" s="49"/>
      <c r="AF353" s="49"/>
      <c r="AG353" s="49"/>
      <c r="AH353" s="49"/>
      <c r="AI353" s="49"/>
      <c r="AJ353" s="49"/>
      <c r="AK353" s="49"/>
      <c r="AL353" s="49"/>
      <c r="AM353" s="49"/>
      <c r="AN353" s="49"/>
      <c r="AO353" s="49"/>
    </row>
    <row r="354" spans="3:41" ht="12.75" customHeight="1">
      <c r="C354" s="49"/>
      <c r="D354" s="49"/>
      <c r="E354" s="49"/>
      <c r="F354" s="49"/>
      <c r="G354" s="49"/>
      <c r="H354" s="49"/>
      <c r="I354" s="49"/>
      <c r="J354" s="49"/>
      <c r="K354" s="49"/>
      <c r="L354" s="49"/>
      <c r="M354" s="49"/>
      <c r="S354" s="49"/>
      <c r="T354" s="49"/>
      <c r="U354" s="49"/>
      <c r="W354" s="49"/>
      <c r="X354" s="49"/>
      <c r="Y354" s="49"/>
      <c r="Z354" s="49"/>
      <c r="AA354" s="49"/>
      <c r="AB354" s="49"/>
      <c r="AC354" s="49"/>
      <c r="AD354" s="49"/>
      <c r="AE354" s="49"/>
      <c r="AF354" s="49"/>
      <c r="AG354" s="49"/>
      <c r="AH354" s="49"/>
      <c r="AI354" s="49"/>
      <c r="AJ354" s="49"/>
      <c r="AK354" s="49"/>
      <c r="AL354" s="49"/>
      <c r="AM354" s="49"/>
      <c r="AN354" s="49"/>
      <c r="AO354" s="49"/>
    </row>
    <row r="355" spans="3:41" ht="12.75" customHeight="1">
      <c r="C355" s="49"/>
      <c r="D355" s="49"/>
      <c r="E355" s="49"/>
      <c r="F355" s="49"/>
      <c r="G355" s="49"/>
      <c r="H355" s="49"/>
      <c r="I355" s="49"/>
      <c r="J355" s="49"/>
      <c r="K355" s="49"/>
      <c r="L355" s="49"/>
      <c r="M355" s="49"/>
      <c r="S355" s="49"/>
      <c r="T355" s="49"/>
      <c r="U355" s="49"/>
      <c r="W355" s="49"/>
      <c r="X355" s="49"/>
      <c r="Y355" s="49"/>
      <c r="Z355" s="49"/>
      <c r="AA355" s="49"/>
      <c r="AB355" s="49"/>
      <c r="AC355" s="49"/>
      <c r="AD355" s="49"/>
      <c r="AE355" s="49"/>
      <c r="AF355" s="49"/>
      <c r="AG355" s="49"/>
      <c r="AH355" s="49"/>
      <c r="AI355" s="49"/>
      <c r="AJ355" s="49"/>
      <c r="AK355" s="49"/>
      <c r="AL355" s="49"/>
      <c r="AM355" s="49"/>
      <c r="AN355" s="49"/>
      <c r="AO355" s="49"/>
    </row>
    <row r="356" spans="3:41" ht="12.75" customHeight="1">
      <c r="C356" s="49"/>
      <c r="D356" s="49"/>
      <c r="E356" s="49"/>
      <c r="F356" s="49"/>
      <c r="G356" s="49"/>
      <c r="H356" s="49"/>
      <c r="I356" s="49"/>
      <c r="J356" s="49"/>
      <c r="K356" s="49"/>
      <c r="L356" s="49"/>
      <c r="M356" s="49"/>
      <c r="S356" s="49"/>
      <c r="T356" s="49"/>
      <c r="U356" s="49"/>
      <c r="W356" s="49"/>
      <c r="X356" s="49"/>
      <c r="Y356" s="49"/>
      <c r="Z356" s="49"/>
      <c r="AA356" s="49"/>
      <c r="AB356" s="49"/>
      <c r="AC356" s="49"/>
      <c r="AD356" s="49"/>
      <c r="AE356" s="49"/>
      <c r="AF356" s="49"/>
      <c r="AG356" s="49"/>
      <c r="AH356" s="49"/>
      <c r="AI356" s="49"/>
      <c r="AJ356" s="49"/>
      <c r="AK356" s="49"/>
      <c r="AL356" s="49"/>
      <c r="AM356" s="49"/>
      <c r="AN356" s="49"/>
      <c r="AO356" s="49"/>
    </row>
    <row r="357" spans="3:41" ht="12.75" customHeight="1">
      <c r="C357" s="49"/>
      <c r="D357" s="49"/>
      <c r="E357" s="49"/>
      <c r="F357" s="49"/>
      <c r="G357" s="49"/>
      <c r="H357" s="49"/>
      <c r="I357" s="49"/>
      <c r="J357" s="49"/>
      <c r="K357" s="49"/>
      <c r="L357" s="49"/>
      <c r="M357" s="49"/>
      <c r="S357" s="49"/>
      <c r="T357" s="49"/>
      <c r="U357" s="49"/>
      <c r="W357" s="49"/>
      <c r="X357" s="49"/>
      <c r="Y357" s="49"/>
      <c r="Z357" s="49"/>
      <c r="AA357" s="49"/>
      <c r="AB357" s="49"/>
      <c r="AC357" s="49"/>
      <c r="AD357" s="49"/>
      <c r="AE357" s="49"/>
      <c r="AF357" s="49"/>
      <c r="AG357" s="49"/>
      <c r="AH357" s="49"/>
      <c r="AI357" s="49"/>
      <c r="AJ357" s="49"/>
      <c r="AK357" s="49"/>
      <c r="AL357" s="49"/>
      <c r="AM357" s="49"/>
      <c r="AN357" s="49"/>
      <c r="AO357" s="49"/>
    </row>
    <row r="358" spans="3:41" ht="12.75" customHeight="1">
      <c r="C358" s="49"/>
      <c r="D358" s="49"/>
      <c r="E358" s="49"/>
      <c r="F358" s="49"/>
      <c r="G358" s="49"/>
      <c r="H358" s="49"/>
      <c r="I358" s="49"/>
      <c r="J358" s="49"/>
      <c r="K358" s="49"/>
      <c r="L358" s="49"/>
      <c r="M358" s="49"/>
      <c r="S358" s="49"/>
      <c r="T358" s="49"/>
      <c r="U358" s="49"/>
      <c r="W358" s="49"/>
      <c r="X358" s="49"/>
      <c r="Y358" s="49"/>
      <c r="Z358" s="49"/>
      <c r="AA358" s="49"/>
      <c r="AB358" s="49"/>
      <c r="AC358" s="49"/>
      <c r="AD358" s="49"/>
      <c r="AE358" s="49"/>
      <c r="AF358" s="49"/>
      <c r="AG358" s="49"/>
      <c r="AH358" s="49"/>
      <c r="AI358" s="49"/>
      <c r="AJ358" s="49"/>
      <c r="AK358" s="49"/>
      <c r="AL358" s="49"/>
      <c r="AM358" s="49"/>
      <c r="AN358" s="49"/>
      <c r="AO358" s="49"/>
    </row>
    <row r="359" spans="3:41" ht="12.75" customHeight="1">
      <c r="C359" s="49"/>
      <c r="D359" s="49"/>
      <c r="E359" s="49"/>
      <c r="F359" s="49"/>
      <c r="G359" s="49"/>
      <c r="H359" s="49"/>
      <c r="I359" s="49"/>
      <c r="J359" s="49"/>
      <c r="K359" s="49"/>
      <c r="L359" s="49"/>
      <c r="M359" s="49"/>
      <c r="S359" s="49"/>
      <c r="T359" s="49"/>
      <c r="U359" s="49"/>
      <c r="W359" s="49"/>
      <c r="X359" s="49"/>
      <c r="Y359" s="49"/>
      <c r="Z359" s="49"/>
      <c r="AA359" s="49"/>
      <c r="AB359" s="49"/>
      <c r="AC359" s="49"/>
      <c r="AD359" s="49"/>
      <c r="AE359" s="49"/>
      <c r="AF359" s="49"/>
      <c r="AG359" s="49"/>
      <c r="AH359" s="49"/>
      <c r="AI359" s="49"/>
      <c r="AJ359" s="49"/>
      <c r="AK359" s="49"/>
      <c r="AL359" s="49"/>
      <c r="AM359" s="49"/>
      <c r="AN359" s="49"/>
      <c r="AO359" s="49"/>
    </row>
    <row r="360" spans="3:41" ht="12.75" customHeight="1">
      <c r="C360" s="49"/>
      <c r="D360" s="49"/>
      <c r="E360" s="49"/>
      <c r="F360" s="49"/>
      <c r="G360" s="49"/>
      <c r="H360" s="49"/>
      <c r="I360" s="49"/>
      <c r="J360" s="49"/>
      <c r="K360" s="49"/>
      <c r="L360" s="49"/>
      <c r="M360" s="49"/>
      <c r="S360" s="49"/>
      <c r="T360" s="49"/>
      <c r="U360" s="49"/>
      <c r="W360" s="49"/>
      <c r="X360" s="49"/>
      <c r="Y360" s="49"/>
      <c r="Z360" s="49"/>
      <c r="AA360" s="49"/>
      <c r="AB360" s="49"/>
      <c r="AC360" s="49"/>
      <c r="AD360" s="49"/>
      <c r="AE360" s="49"/>
      <c r="AF360" s="49"/>
      <c r="AG360" s="49"/>
      <c r="AH360" s="49"/>
      <c r="AI360" s="49"/>
      <c r="AJ360" s="49"/>
      <c r="AK360" s="49"/>
      <c r="AL360" s="49"/>
      <c r="AM360" s="49"/>
      <c r="AN360" s="49"/>
      <c r="AO360" s="49"/>
    </row>
    <row r="361" spans="3:41" ht="12.75" customHeight="1">
      <c r="C361" s="49"/>
      <c r="D361" s="49"/>
      <c r="E361" s="49"/>
      <c r="F361" s="49"/>
      <c r="G361" s="49"/>
      <c r="H361" s="49"/>
      <c r="I361" s="49"/>
      <c r="J361" s="49"/>
      <c r="K361" s="49"/>
      <c r="L361" s="49"/>
      <c r="M361" s="49"/>
      <c r="S361" s="49"/>
      <c r="T361" s="49"/>
      <c r="U361" s="49"/>
      <c r="W361" s="49"/>
      <c r="X361" s="49"/>
      <c r="Y361" s="49"/>
      <c r="Z361" s="49"/>
      <c r="AA361" s="49"/>
      <c r="AB361" s="49"/>
      <c r="AC361" s="49"/>
      <c r="AD361" s="49"/>
      <c r="AE361" s="49"/>
      <c r="AF361" s="49"/>
      <c r="AG361" s="49"/>
      <c r="AH361" s="49"/>
      <c r="AI361" s="49"/>
      <c r="AJ361" s="49"/>
      <c r="AK361" s="49"/>
      <c r="AL361" s="49"/>
      <c r="AM361" s="49"/>
      <c r="AN361" s="49"/>
      <c r="AO361" s="49"/>
    </row>
    <row r="362" spans="3:41" ht="12.75" customHeight="1">
      <c r="C362" s="49"/>
      <c r="D362" s="49"/>
      <c r="E362" s="49"/>
      <c r="F362" s="49"/>
      <c r="G362" s="49"/>
      <c r="H362" s="49"/>
      <c r="I362" s="49"/>
      <c r="J362" s="49"/>
      <c r="K362" s="49"/>
      <c r="L362" s="49"/>
      <c r="M362" s="49"/>
      <c r="S362" s="49"/>
      <c r="T362" s="49"/>
      <c r="U362" s="49"/>
      <c r="W362" s="49"/>
      <c r="X362" s="49"/>
      <c r="Y362" s="49"/>
      <c r="Z362" s="49"/>
      <c r="AA362" s="49"/>
      <c r="AB362" s="49"/>
      <c r="AC362" s="49"/>
      <c r="AD362" s="49"/>
      <c r="AE362" s="49"/>
      <c r="AF362" s="49"/>
      <c r="AG362" s="49"/>
      <c r="AH362" s="49"/>
      <c r="AI362" s="49"/>
      <c r="AJ362" s="49"/>
      <c r="AK362" s="49"/>
      <c r="AL362" s="49"/>
      <c r="AM362" s="49"/>
      <c r="AN362" s="49"/>
      <c r="AO362" s="49"/>
    </row>
    <row r="363" spans="3:41" ht="12.75" customHeight="1">
      <c r="C363" s="49"/>
      <c r="D363" s="49"/>
      <c r="E363" s="49"/>
      <c r="F363" s="49"/>
      <c r="G363" s="49"/>
      <c r="H363" s="49"/>
      <c r="I363" s="49"/>
      <c r="J363" s="49"/>
      <c r="K363" s="49"/>
      <c r="L363" s="49"/>
      <c r="M363" s="49"/>
      <c r="S363" s="49"/>
      <c r="T363" s="49"/>
      <c r="U363" s="49"/>
      <c r="W363" s="49"/>
      <c r="X363" s="49"/>
      <c r="Y363" s="49"/>
      <c r="Z363" s="49"/>
      <c r="AA363" s="49"/>
      <c r="AB363" s="49"/>
      <c r="AC363" s="49"/>
      <c r="AD363" s="49"/>
      <c r="AE363" s="49"/>
      <c r="AF363" s="49"/>
      <c r="AG363" s="49"/>
      <c r="AH363" s="49"/>
      <c r="AI363" s="49"/>
      <c r="AJ363" s="49"/>
      <c r="AK363" s="49"/>
      <c r="AL363" s="49"/>
      <c r="AM363" s="49"/>
      <c r="AN363" s="49"/>
      <c r="AO363" s="49"/>
    </row>
    <row r="364" spans="3:41" ht="12.75" customHeight="1">
      <c r="C364" s="49"/>
      <c r="D364" s="49"/>
      <c r="E364" s="49"/>
      <c r="F364" s="49"/>
      <c r="G364" s="49"/>
      <c r="H364" s="49"/>
      <c r="I364" s="49"/>
      <c r="J364" s="49"/>
      <c r="K364" s="49"/>
      <c r="L364" s="49"/>
      <c r="M364" s="49"/>
      <c r="S364" s="49"/>
      <c r="T364" s="49"/>
      <c r="U364" s="49"/>
      <c r="W364" s="49"/>
      <c r="X364" s="49"/>
      <c r="Y364" s="49"/>
      <c r="Z364" s="49"/>
      <c r="AA364" s="49"/>
      <c r="AB364" s="49"/>
      <c r="AC364" s="49"/>
      <c r="AD364" s="49"/>
      <c r="AE364" s="49"/>
      <c r="AF364" s="49"/>
      <c r="AG364" s="49"/>
      <c r="AH364" s="49"/>
      <c r="AI364" s="49"/>
      <c r="AJ364" s="49"/>
      <c r="AK364" s="49"/>
      <c r="AL364" s="49"/>
      <c r="AM364" s="49"/>
      <c r="AN364" s="49"/>
      <c r="AO364" s="49"/>
    </row>
    <row r="365" spans="3:41" ht="12.75" customHeight="1">
      <c r="C365" s="49"/>
      <c r="D365" s="49"/>
      <c r="E365" s="49"/>
      <c r="F365" s="49"/>
      <c r="G365" s="49"/>
      <c r="H365" s="49"/>
      <c r="I365" s="49"/>
      <c r="J365" s="49"/>
      <c r="K365" s="49"/>
      <c r="L365" s="49"/>
      <c r="M365" s="49"/>
      <c r="S365" s="49"/>
      <c r="T365" s="49"/>
      <c r="U365" s="49"/>
      <c r="W365" s="49"/>
      <c r="X365" s="49"/>
      <c r="Y365" s="49"/>
      <c r="Z365" s="49"/>
      <c r="AA365" s="49"/>
      <c r="AB365" s="49"/>
      <c r="AC365" s="49"/>
      <c r="AD365" s="49"/>
      <c r="AE365" s="49"/>
      <c r="AF365" s="49"/>
      <c r="AG365" s="49"/>
      <c r="AH365" s="49"/>
      <c r="AI365" s="49"/>
      <c r="AJ365" s="49"/>
      <c r="AK365" s="49"/>
      <c r="AL365" s="49"/>
      <c r="AM365" s="49"/>
      <c r="AN365" s="49"/>
      <c r="AO365" s="49"/>
    </row>
    <row r="366" spans="3:41" ht="12.75" customHeight="1">
      <c r="C366" s="49"/>
      <c r="D366" s="49"/>
      <c r="E366" s="49"/>
      <c r="F366" s="49"/>
      <c r="G366" s="49"/>
      <c r="H366" s="49"/>
      <c r="I366" s="49"/>
      <c r="J366" s="49"/>
      <c r="K366" s="49"/>
      <c r="L366" s="49"/>
      <c r="M366" s="49"/>
      <c r="S366" s="49"/>
      <c r="T366" s="49"/>
      <c r="U366" s="49"/>
      <c r="W366" s="49"/>
      <c r="X366" s="49"/>
      <c r="Y366" s="49"/>
      <c r="Z366" s="49"/>
      <c r="AA366" s="49"/>
      <c r="AB366" s="49"/>
      <c r="AC366" s="49"/>
      <c r="AD366" s="49"/>
      <c r="AE366" s="49"/>
      <c r="AF366" s="49"/>
      <c r="AG366" s="49"/>
      <c r="AH366" s="49"/>
      <c r="AI366" s="49"/>
      <c r="AJ366" s="49"/>
      <c r="AK366" s="49"/>
      <c r="AL366" s="49"/>
      <c r="AM366" s="49"/>
      <c r="AN366" s="49"/>
      <c r="AO366" s="49"/>
    </row>
    <row r="367" spans="3:41" ht="12.75" customHeight="1">
      <c r="C367" s="49"/>
      <c r="D367" s="49"/>
      <c r="E367" s="49"/>
      <c r="F367" s="49"/>
      <c r="G367" s="49"/>
      <c r="H367" s="49"/>
      <c r="I367" s="49"/>
      <c r="J367" s="49"/>
      <c r="K367" s="49"/>
      <c r="L367" s="49"/>
      <c r="M367" s="49"/>
      <c r="S367" s="49"/>
      <c r="T367" s="49"/>
      <c r="U367" s="49"/>
      <c r="W367" s="49"/>
      <c r="X367" s="49"/>
      <c r="Y367" s="49"/>
      <c r="Z367" s="49"/>
      <c r="AA367" s="49"/>
      <c r="AB367" s="49"/>
      <c r="AC367" s="49"/>
      <c r="AD367" s="49"/>
      <c r="AE367" s="49"/>
      <c r="AF367" s="49"/>
      <c r="AG367" s="49"/>
      <c r="AH367" s="49"/>
      <c r="AI367" s="49"/>
      <c r="AJ367" s="49"/>
      <c r="AK367" s="49"/>
      <c r="AL367" s="49"/>
      <c r="AM367" s="49"/>
      <c r="AN367" s="49"/>
      <c r="AO367" s="49"/>
    </row>
    <row r="368" spans="3:41" ht="12.75" customHeight="1">
      <c r="C368" s="49"/>
      <c r="D368" s="49"/>
      <c r="E368" s="49"/>
      <c r="F368" s="49"/>
      <c r="G368" s="49"/>
      <c r="H368" s="49"/>
      <c r="I368" s="49"/>
      <c r="J368" s="49"/>
      <c r="K368" s="49"/>
      <c r="L368" s="49"/>
      <c r="M368" s="49"/>
      <c r="S368" s="49"/>
      <c r="T368" s="49"/>
      <c r="U368" s="49"/>
      <c r="W368" s="49"/>
      <c r="X368" s="49"/>
      <c r="Y368" s="49"/>
      <c r="Z368" s="49"/>
      <c r="AA368" s="49"/>
      <c r="AB368" s="49"/>
      <c r="AC368" s="49"/>
      <c r="AD368" s="49"/>
      <c r="AE368" s="49"/>
      <c r="AF368" s="49"/>
      <c r="AG368" s="49"/>
      <c r="AH368" s="49"/>
      <c r="AI368" s="49"/>
      <c r="AJ368" s="49"/>
      <c r="AK368" s="49"/>
      <c r="AL368" s="49"/>
      <c r="AM368" s="49"/>
      <c r="AN368" s="49"/>
      <c r="AO368" s="49"/>
    </row>
    <row r="369" spans="3:41" ht="12.75" customHeight="1">
      <c r="C369" s="49"/>
      <c r="D369" s="49"/>
      <c r="E369" s="49"/>
      <c r="F369" s="49"/>
      <c r="G369" s="49"/>
      <c r="H369" s="49"/>
      <c r="I369" s="49"/>
      <c r="J369" s="49"/>
      <c r="K369" s="49"/>
      <c r="L369" s="49"/>
      <c r="M369" s="49"/>
      <c r="S369" s="49"/>
      <c r="T369" s="49"/>
      <c r="U369" s="49"/>
      <c r="W369" s="49"/>
      <c r="X369" s="49"/>
      <c r="Y369" s="49"/>
      <c r="Z369" s="49"/>
      <c r="AA369" s="49"/>
      <c r="AB369" s="49"/>
      <c r="AC369" s="49"/>
      <c r="AD369" s="49"/>
      <c r="AE369" s="49"/>
      <c r="AF369" s="49"/>
      <c r="AG369" s="49"/>
      <c r="AH369" s="49"/>
      <c r="AI369" s="49"/>
      <c r="AJ369" s="49"/>
      <c r="AK369" s="49"/>
      <c r="AL369" s="49"/>
      <c r="AM369" s="49"/>
      <c r="AN369" s="49"/>
      <c r="AO369" s="49"/>
    </row>
    <row r="370" spans="3:41" ht="12.75" customHeight="1">
      <c r="C370" s="49"/>
      <c r="D370" s="49"/>
      <c r="E370" s="49"/>
      <c r="F370" s="49"/>
      <c r="G370" s="49"/>
      <c r="H370" s="49"/>
      <c r="I370" s="49"/>
      <c r="J370" s="49"/>
      <c r="K370" s="49"/>
      <c r="L370" s="49"/>
      <c r="M370" s="49"/>
      <c r="S370" s="49"/>
      <c r="T370" s="49"/>
      <c r="U370" s="49"/>
      <c r="W370" s="49"/>
      <c r="X370" s="49"/>
      <c r="Y370" s="49"/>
      <c r="Z370" s="49"/>
      <c r="AA370" s="49"/>
      <c r="AB370" s="49"/>
      <c r="AC370" s="49"/>
      <c r="AD370" s="49"/>
      <c r="AE370" s="49"/>
      <c r="AF370" s="49"/>
      <c r="AG370" s="49"/>
      <c r="AH370" s="49"/>
      <c r="AI370" s="49"/>
      <c r="AJ370" s="49"/>
      <c r="AK370" s="49"/>
      <c r="AL370" s="49"/>
      <c r="AM370" s="49"/>
      <c r="AN370" s="49"/>
      <c r="AO370" s="49"/>
    </row>
    <row r="371" spans="3:41" ht="12.75" customHeight="1">
      <c r="C371" s="49"/>
      <c r="D371" s="49"/>
      <c r="E371" s="49"/>
      <c r="F371" s="49"/>
      <c r="G371" s="49"/>
      <c r="H371" s="49"/>
      <c r="I371" s="49"/>
      <c r="J371" s="49"/>
      <c r="K371" s="49"/>
      <c r="L371" s="49"/>
      <c r="M371" s="49"/>
      <c r="S371" s="49"/>
      <c r="T371" s="49"/>
      <c r="U371" s="49"/>
      <c r="W371" s="49"/>
      <c r="X371" s="49"/>
      <c r="Y371" s="49"/>
      <c r="Z371" s="49"/>
      <c r="AA371" s="49"/>
      <c r="AB371" s="49"/>
      <c r="AC371" s="49"/>
      <c r="AD371" s="49"/>
      <c r="AE371" s="49"/>
      <c r="AF371" s="49"/>
      <c r="AG371" s="49"/>
      <c r="AH371" s="49"/>
      <c r="AI371" s="49"/>
      <c r="AJ371" s="49"/>
      <c r="AK371" s="49"/>
      <c r="AL371" s="49"/>
      <c r="AM371" s="49"/>
      <c r="AN371" s="49"/>
      <c r="AO371" s="49"/>
    </row>
    <row r="372" spans="3:41" ht="12.75" customHeight="1">
      <c r="C372" s="49"/>
      <c r="D372" s="49"/>
      <c r="E372" s="49"/>
      <c r="F372" s="49"/>
      <c r="G372" s="49"/>
      <c r="H372" s="49"/>
      <c r="I372" s="49"/>
      <c r="J372" s="49"/>
      <c r="K372" s="49"/>
      <c r="L372" s="49"/>
      <c r="M372" s="49"/>
      <c r="S372" s="49"/>
      <c r="T372" s="49"/>
      <c r="U372" s="49"/>
      <c r="W372" s="49"/>
      <c r="X372" s="49"/>
      <c r="Y372" s="49"/>
      <c r="Z372" s="49"/>
      <c r="AA372" s="49"/>
      <c r="AB372" s="49"/>
      <c r="AC372" s="49"/>
      <c r="AD372" s="49"/>
      <c r="AE372" s="49"/>
      <c r="AF372" s="49"/>
      <c r="AG372" s="49"/>
      <c r="AH372" s="49"/>
      <c r="AI372" s="49"/>
      <c r="AJ372" s="49"/>
      <c r="AK372" s="49"/>
      <c r="AL372" s="49"/>
      <c r="AM372" s="49"/>
      <c r="AN372" s="49"/>
      <c r="AO372" s="49"/>
    </row>
    <row r="373" spans="3:41" ht="12.75" customHeight="1">
      <c r="C373" s="49"/>
      <c r="D373" s="49"/>
      <c r="E373" s="49"/>
      <c r="F373" s="49"/>
      <c r="G373" s="49"/>
      <c r="H373" s="49"/>
      <c r="I373" s="49"/>
      <c r="J373" s="49"/>
      <c r="K373" s="49"/>
      <c r="L373" s="49"/>
      <c r="M373" s="49"/>
      <c r="S373" s="49"/>
      <c r="T373" s="49"/>
      <c r="U373" s="49"/>
      <c r="W373" s="49"/>
      <c r="X373" s="49"/>
      <c r="Y373" s="49"/>
      <c r="Z373" s="49"/>
      <c r="AA373" s="49"/>
      <c r="AB373" s="49"/>
      <c r="AC373" s="49"/>
      <c r="AD373" s="49"/>
      <c r="AE373" s="49"/>
      <c r="AF373" s="49"/>
      <c r="AG373" s="49"/>
      <c r="AH373" s="49"/>
      <c r="AI373" s="49"/>
      <c r="AJ373" s="49"/>
      <c r="AK373" s="49"/>
      <c r="AL373" s="49"/>
      <c r="AM373" s="49"/>
      <c r="AN373" s="49"/>
      <c r="AO373" s="49"/>
    </row>
    <row r="374" spans="3:41" ht="12.75" customHeight="1">
      <c r="C374" s="49"/>
      <c r="D374" s="49"/>
      <c r="E374" s="49"/>
      <c r="F374" s="49"/>
      <c r="G374" s="49"/>
      <c r="H374" s="49"/>
      <c r="I374" s="49"/>
      <c r="J374" s="49"/>
      <c r="K374" s="49"/>
      <c r="L374" s="49"/>
      <c r="M374" s="49"/>
      <c r="S374" s="49"/>
      <c r="T374" s="49"/>
      <c r="U374" s="49"/>
      <c r="W374" s="49"/>
      <c r="X374" s="49"/>
      <c r="Y374" s="49"/>
      <c r="Z374" s="49"/>
      <c r="AA374" s="49"/>
      <c r="AB374" s="49"/>
      <c r="AC374" s="49"/>
      <c r="AD374" s="49"/>
      <c r="AE374" s="49"/>
      <c r="AF374" s="49"/>
      <c r="AG374" s="49"/>
      <c r="AH374" s="49"/>
      <c r="AI374" s="49"/>
      <c r="AJ374" s="49"/>
      <c r="AK374" s="49"/>
      <c r="AL374" s="49"/>
      <c r="AM374" s="49"/>
      <c r="AN374" s="49"/>
      <c r="AO374" s="49"/>
    </row>
    <row r="375" spans="3:41" ht="12.75" customHeight="1">
      <c r="C375" s="49"/>
      <c r="D375" s="49"/>
      <c r="E375" s="49"/>
      <c r="F375" s="49"/>
      <c r="G375" s="49"/>
      <c r="H375" s="49"/>
      <c r="I375" s="49"/>
      <c r="J375" s="49"/>
      <c r="K375" s="49"/>
      <c r="L375" s="49"/>
      <c r="M375" s="49"/>
      <c r="S375" s="49"/>
      <c r="T375" s="49"/>
      <c r="U375" s="49"/>
      <c r="W375" s="49"/>
      <c r="X375" s="49"/>
      <c r="Y375" s="49"/>
      <c r="Z375" s="49"/>
      <c r="AA375" s="49"/>
      <c r="AB375" s="49"/>
      <c r="AC375" s="49"/>
      <c r="AD375" s="49"/>
      <c r="AE375" s="49"/>
      <c r="AF375" s="49"/>
      <c r="AG375" s="49"/>
      <c r="AH375" s="49"/>
      <c r="AI375" s="49"/>
      <c r="AJ375" s="49"/>
      <c r="AK375" s="49"/>
      <c r="AL375" s="49"/>
      <c r="AM375" s="49"/>
      <c r="AN375" s="49"/>
      <c r="AO375" s="49"/>
    </row>
    <row r="376" spans="3:41" ht="12.75" customHeight="1">
      <c r="C376" s="49"/>
      <c r="D376" s="49"/>
      <c r="E376" s="49"/>
      <c r="F376" s="49"/>
      <c r="G376" s="49"/>
      <c r="H376" s="49"/>
      <c r="I376" s="49"/>
      <c r="J376" s="49"/>
      <c r="K376" s="49"/>
      <c r="L376" s="49"/>
      <c r="M376" s="49"/>
      <c r="S376" s="49"/>
      <c r="T376" s="49"/>
      <c r="U376" s="49"/>
      <c r="W376" s="49"/>
      <c r="X376" s="49"/>
      <c r="Y376" s="49"/>
      <c r="Z376" s="49"/>
      <c r="AA376" s="49"/>
      <c r="AB376" s="49"/>
      <c r="AC376" s="49"/>
      <c r="AD376" s="49"/>
      <c r="AE376" s="49"/>
      <c r="AF376" s="49"/>
      <c r="AG376" s="49"/>
      <c r="AH376" s="49"/>
      <c r="AI376" s="49"/>
      <c r="AJ376" s="49"/>
      <c r="AK376" s="49"/>
      <c r="AL376" s="49"/>
      <c r="AM376" s="49"/>
      <c r="AN376" s="49"/>
      <c r="AO376" s="49"/>
    </row>
    <row r="377" spans="3:41" ht="12.75" customHeight="1">
      <c r="C377" s="49"/>
      <c r="D377" s="49"/>
      <c r="E377" s="49"/>
      <c r="F377" s="49"/>
      <c r="G377" s="49"/>
      <c r="H377" s="49"/>
      <c r="I377" s="49"/>
      <c r="J377" s="49"/>
      <c r="K377" s="49"/>
      <c r="L377" s="49"/>
      <c r="M377" s="49"/>
      <c r="S377" s="49"/>
      <c r="T377" s="49"/>
      <c r="U377" s="49"/>
      <c r="W377" s="49"/>
      <c r="X377" s="49"/>
      <c r="Y377" s="49"/>
      <c r="Z377" s="49"/>
      <c r="AA377" s="49"/>
      <c r="AB377" s="49"/>
      <c r="AC377" s="49"/>
      <c r="AD377" s="49"/>
      <c r="AE377" s="49"/>
      <c r="AF377" s="49"/>
      <c r="AG377" s="49"/>
      <c r="AH377" s="49"/>
      <c r="AI377" s="49"/>
      <c r="AJ377" s="49"/>
      <c r="AK377" s="49"/>
      <c r="AL377" s="49"/>
      <c r="AM377" s="49"/>
      <c r="AN377" s="49"/>
      <c r="AO377" s="49"/>
    </row>
    <row r="378" spans="3:41" ht="12.75" customHeight="1">
      <c r="C378" s="49"/>
      <c r="D378" s="49"/>
      <c r="E378" s="49"/>
      <c r="F378" s="49"/>
      <c r="G378" s="49"/>
      <c r="H378" s="49"/>
      <c r="I378" s="49"/>
      <c r="J378" s="49"/>
      <c r="K378" s="49"/>
      <c r="L378" s="49"/>
      <c r="M378" s="49"/>
      <c r="S378" s="49"/>
      <c r="T378" s="49"/>
      <c r="U378" s="49"/>
      <c r="W378" s="49"/>
      <c r="X378" s="49"/>
      <c r="Y378" s="49"/>
      <c r="Z378" s="49"/>
      <c r="AA378" s="49"/>
      <c r="AB378" s="49"/>
      <c r="AC378" s="49"/>
      <c r="AD378" s="49"/>
      <c r="AE378" s="49"/>
      <c r="AF378" s="49"/>
      <c r="AG378" s="49"/>
      <c r="AH378" s="49"/>
      <c r="AI378" s="49"/>
      <c r="AJ378" s="49"/>
      <c r="AK378" s="49"/>
      <c r="AL378" s="49"/>
      <c r="AM378" s="49"/>
      <c r="AN378" s="49"/>
      <c r="AO378" s="49"/>
    </row>
    <row r="379" spans="3:41" ht="12.75" customHeight="1">
      <c r="C379" s="49"/>
      <c r="D379" s="49"/>
      <c r="E379" s="49"/>
      <c r="F379" s="49"/>
      <c r="G379" s="49"/>
      <c r="H379" s="49"/>
      <c r="I379" s="49"/>
      <c r="J379" s="49"/>
      <c r="K379" s="49"/>
      <c r="L379" s="49"/>
      <c r="M379" s="49"/>
      <c r="S379" s="49"/>
      <c r="T379" s="49"/>
      <c r="U379" s="49"/>
      <c r="W379" s="49"/>
      <c r="X379" s="49"/>
      <c r="Y379" s="49"/>
      <c r="Z379" s="49"/>
      <c r="AA379" s="49"/>
      <c r="AB379" s="49"/>
      <c r="AC379" s="49"/>
      <c r="AD379" s="49"/>
      <c r="AE379" s="49"/>
      <c r="AF379" s="49"/>
      <c r="AG379" s="49"/>
      <c r="AH379" s="49"/>
      <c r="AI379" s="49"/>
      <c r="AJ379" s="49"/>
      <c r="AK379" s="49"/>
      <c r="AL379" s="49"/>
      <c r="AM379" s="49"/>
      <c r="AN379" s="49"/>
      <c r="AO379" s="49"/>
    </row>
    <row r="380" spans="3:41" ht="12.75" customHeight="1">
      <c r="C380" s="49"/>
      <c r="D380" s="49"/>
      <c r="E380" s="49"/>
      <c r="F380" s="49"/>
      <c r="G380" s="49"/>
      <c r="H380" s="49"/>
      <c r="I380" s="49"/>
      <c r="J380" s="49"/>
      <c r="K380" s="49"/>
      <c r="L380" s="49"/>
      <c r="M380" s="49"/>
      <c r="S380" s="49"/>
      <c r="T380" s="49"/>
      <c r="U380" s="49"/>
      <c r="W380" s="49"/>
      <c r="X380" s="49"/>
      <c r="Y380" s="49"/>
      <c r="Z380" s="49"/>
      <c r="AA380" s="49"/>
      <c r="AB380" s="49"/>
      <c r="AC380" s="49"/>
      <c r="AD380" s="49"/>
      <c r="AE380" s="49"/>
      <c r="AF380" s="49"/>
      <c r="AG380" s="49"/>
      <c r="AH380" s="49"/>
      <c r="AI380" s="49"/>
      <c r="AJ380" s="49"/>
      <c r="AK380" s="49"/>
      <c r="AL380" s="49"/>
      <c r="AM380" s="49"/>
      <c r="AN380" s="49"/>
      <c r="AO380" s="49"/>
    </row>
    <row r="381" spans="3:41" ht="12.75" customHeight="1">
      <c r="C381" s="49"/>
      <c r="D381" s="49"/>
      <c r="E381" s="49"/>
      <c r="F381" s="49"/>
      <c r="G381" s="49"/>
      <c r="H381" s="49"/>
      <c r="I381" s="49"/>
      <c r="J381" s="49"/>
      <c r="K381" s="49"/>
      <c r="L381" s="49"/>
      <c r="M381" s="49"/>
      <c r="S381" s="49"/>
      <c r="T381" s="49"/>
      <c r="U381" s="49"/>
      <c r="W381" s="49"/>
      <c r="X381" s="49"/>
      <c r="Y381" s="49"/>
      <c r="Z381" s="49"/>
      <c r="AA381" s="49"/>
      <c r="AB381" s="49"/>
      <c r="AC381" s="49"/>
      <c r="AD381" s="49"/>
      <c r="AE381" s="49"/>
      <c r="AF381" s="49"/>
      <c r="AG381" s="49"/>
      <c r="AH381" s="49"/>
      <c r="AI381" s="49"/>
      <c r="AJ381" s="49"/>
      <c r="AK381" s="49"/>
      <c r="AL381" s="49"/>
      <c r="AM381" s="49"/>
      <c r="AN381" s="49"/>
      <c r="AO381" s="49"/>
    </row>
    <row r="382" spans="3:41" ht="12.75" customHeight="1">
      <c r="C382" s="49"/>
      <c r="D382" s="49"/>
      <c r="E382" s="49"/>
      <c r="F382" s="49"/>
      <c r="G382" s="49"/>
      <c r="H382" s="49"/>
      <c r="I382" s="49"/>
      <c r="J382" s="49"/>
      <c r="K382" s="49"/>
      <c r="L382" s="49"/>
      <c r="M382" s="49"/>
      <c r="S382" s="49"/>
      <c r="T382" s="49"/>
      <c r="U382" s="49"/>
      <c r="W382" s="49"/>
      <c r="X382" s="49"/>
      <c r="Y382" s="49"/>
      <c r="Z382" s="49"/>
      <c r="AA382" s="49"/>
      <c r="AB382" s="49"/>
      <c r="AC382" s="49"/>
      <c r="AD382" s="49"/>
      <c r="AE382" s="49"/>
      <c r="AF382" s="49"/>
      <c r="AG382" s="49"/>
      <c r="AH382" s="49"/>
      <c r="AI382" s="49"/>
      <c r="AJ382" s="49"/>
      <c r="AK382" s="49"/>
      <c r="AL382" s="49"/>
      <c r="AM382" s="49"/>
      <c r="AN382" s="49"/>
      <c r="AO382" s="49"/>
    </row>
    <row r="383" spans="3:41" ht="12.75" customHeight="1">
      <c r="C383" s="49"/>
      <c r="D383" s="49"/>
      <c r="E383" s="49"/>
      <c r="F383" s="49"/>
      <c r="G383" s="49"/>
      <c r="H383" s="49"/>
      <c r="I383" s="49"/>
      <c r="J383" s="49"/>
      <c r="K383" s="49"/>
      <c r="L383" s="49"/>
      <c r="M383" s="49"/>
      <c r="S383" s="49"/>
      <c r="T383" s="49"/>
      <c r="U383" s="49"/>
      <c r="W383" s="49"/>
      <c r="X383" s="49"/>
      <c r="Y383" s="49"/>
      <c r="Z383" s="49"/>
      <c r="AA383" s="49"/>
      <c r="AB383" s="49"/>
      <c r="AC383" s="49"/>
      <c r="AD383" s="49"/>
      <c r="AE383" s="49"/>
      <c r="AF383" s="49"/>
      <c r="AG383" s="49"/>
      <c r="AH383" s="49"/>
      <c r="AI383" s="49"/>
      <c r="AJ383" s="49"/>
      <c r="AK383" s="49"/>
      <c r="AL383" s="49"/>
      <c r="AM383" s="49"/>
      <c r="AN383" s="49"/>
      <c r="AO383" s="49"/>
    </row>
    <row r="384" spans="3:41" ht="12.75" customHeight="1">
      <c r="C384" s="49"/>
      <c r="D384" s="49"/>
      <c r="E384" s="49"/>
      <c r="F384" s="49"/>
      <c r="G384" s="49"/>
      <c r="H384" s="49"/>
      <c r="I384" s="49"/>
      <c r="J384" s="49"/>
      <c r="K384" s="49"/>
      <c r="L384" s="49"/>
      <c r="M384" s="49"/>
      <c r="S384" s="49"/>
      <c r="T384" s="49"/>
      <c r="U384" s="49"/>
      <c r="W384" s="49"/>
      <c r="X384" s="49"/>
      <c r="Y384" s="49"/>
      <c r="Z384" s="49"/>
      <c r="AA384" s="49"/>
      <c r="AB384" s="49"/>
      <c r="AC384" s="49"/>
      <c r="AD384" s="49"/>
      <c r="AE384" s="49"/>
      <c r="AF384" s="49"/>
      <c r="AG384" s="49"/>
      <c r="AH384" s="49"/>
      <c r="AI384" s="49"/>
      <c r="AJ384" s="49"/>
      <c r="AK384" s="49"/>
      <c r="AL384" s="49"/>
      <c r="AM384" s="49"/>
      <c r="AN384" s="49"/>
      <c r="AO384" s="49"/>
    </row>
    <row r="385" spans="3:41" ht="12.75" customHeight="1">
      <c r="C385" s="49"/>
      <c r="D385" s="49"/>
      <c r="E385" s="49"/>
      <c r="F385" s="49"/>
      <c r="G385" s="49"/>
      <c r="H385" s="49"/>
      <c r="I385" s="49"/>
      <c r="J385" s="49"/>
      <c r="K385" s="49"/>
      <c r="L385" s="49"/>
      <c r="M385" s="49"/>
      <c r="S385" s="49"/>
      <c r="T385" s="49"/>
      <c r="U385" s="49"/>
      <c r="W385" s="49"/>
      <c r="X385" s="49"/>
      <c r="Y385" s="49"/>
      <c r="Z385" s="49"/>
      <c r="AA385" s="49"/>
      <c r="AB385" s="49"/>
      <c r="AC385" s="49"/>
      <c r="AD385" s="49"/>
      <c r="AE385" s="49"/>
      <c r="AF385" s="49"/>
      <c r="AG385" s="49"/>
      <c r="AH385" s="49"/>
      <c r="AI385" s="49"/>
      <c r="AJ385" s="49"/>
      <c r="AK385" s="49"/>
      <c r="AL385" s="49"/>
      <c r="AM385" s="49"/>
      <c r="AN385" s="49"/>
      <c r="AO385" s="49"/>
    </row>
    <row r="386" spans="3:41" ht="12.75" customHeight="1">
      <c r="C386" s="49"/>
      <c r="D386" s="49"/>
      <c r="E386" s="49"/>
      <c r="F386" s="49"/>
      <c r="G386" s="49"/>
      <c r="H386" s="49"/>
      <c r="I386" s="49"/>
      <c r="J386" s="49"/>
      <c r="K386" s="49"/>
      <c r="L386" s="49"/>
      <c r="M386" s="49"/>
      <c r="S386" s="49"/>
      <c r="T386" s="49"/>
      <c r="U386" s="49"/>
      <c r="W386" s="49"/>
      <c r="X386" s="49"/>
      <c r="Y386" s="49"/>
      <c r="Z386" s="49"/>
      <c r="AA386" s="49"/>
      <c r="AB386" s="49"/>
      <c r="AC386" s="49"/>
      <c r="AD386" s="49"/>
      <c r="AE386" s="49"/>
      <c r="AF386" s="49"/>
      <c r="AG386" s="49"/>
      <c r="AH386" s="49"/>
      <c r="AI386" s="49"/>
      <c r="AJ386" s="49"/>
      <c r="AK386" s="49"/>
      <c r="AL386" s="49"/>
      <c r="AM386" s="49"/>
      <c r="AN386" s="49"/>
      <c r="AO386" s="49"/>
    </row>
    <row r="387" spans="3:41" ht="12.75" customHeight="1">
      <c r="C387" s="49"/>
      <c r="D387" s="49"/>
      <c r="E387" s="49"/>
      <c r="F387" s="49"/>
      <c r="G387" s="49"/>
      <c r="H387" s="49"/>
      <c r="I387" s="49"/>
      <c r="J387" s="49"/>
      <c r="K387" s="49"/>
      <c r="L387" s="49"/>
      <c r="M387" s="49"/>
      <c r="S387" s="49"/>
      <c r="T387" s="49"/>
      <c r="U387" s="49"/>
      <c r="W387" s="49"/>
      <c r="X387" s="49"/>
      <c r="Y387" s="49"/>
      <c r="Z387" s="49"/>
      <c r="AA387" s="49"/>
      <c r="AB387" s="49"/>
      <c r="AC387" s="49"/>
      <c r="AD387" s="49"/>
      <c r="AE387" s="49"/>
      <c r="AF387" s="49"/>
      <c r="AG387" s="49"/>
      <c r="AH387" s="49"/>
      <c r="AI387" s="49"/>
      <c r="AJ387" s="49"/>
      <c r="AK387" s="49"/>
      <c r="AL387" s="49"/>
      <c r="AM387" s="49"/>
      <c r="AN387" s="49"/>
      <c r="AO387" s="49"/>
    </row>
    <row r="388" spans="3:41" ht="12.75" customHeight="1">
      <c r="C388" s="49"/>
      <c r="D388" s="49"/>
      <c r="E388" s="49"/>
      <c r="F388" s="49"/>
      <c r="G388" s="49"/>
      <c r="H388" s="49"/>
      <c r="I388" s="49"/>
      <c r="J388" s="49"/>
      <c r="K388" s="49"/>
      <c r="L388" s="49"/>
      <c r="M388" s="49"/>
      <c r="S388" s="49"/>
      <c r="T388" s="49"/>
      <c r="U388" s="49"/>
      <c r="W388" s="49"/>
      <c r="X388" s="49"/>
      <c r="Y388" s="49"/>
      <c r="Z388" s="49"/>
      <c r="AA388" s="49"/>
      <c r="AB388" s="49"/>
      <c r="AC388" s="49"/>
      <c r="AD388" s="49"/>
      <c r="AE388" s="49"/>
      <c r="AF388" s="49"/>
      <c r="AG388" s="49"/>
      <c r="AH388" s="49"/>
      <c r="AI388" s="49"/>
      <c r="AJ388" s="49"/>
      <c r="AK388" s="49"/>
      <c r="AL388" s="49"/>
      <c r="AM388" s="49"/>
      <c r="AN388" s="49"/>
      <c r="AO388" s="49"/>
    </row>
    <row r="389" spans="3:41" ht="12.75" customHeight="1">
      <c r="C389" s="49"/>
      <c r="D389" s="49"/>
      <c r="E389" s="49"/>
      <c r="F389" s="49"/>
      <c r="G389" s="49"/>
      <c r="H389" s="49"/>
      <c r="I389" s="49"/>
      <c r="J389" s="49"/>
      <c r="K389" s="49"/>
      <c r="L389" s="49"/>
      <c r="M389" s="49"/>
      <c r="S389" s="49"/>
      <c r="T389" s="49"/>
      <c r="U389" s="49"/>
      <c r="W389" s="49"/>
      <c r="X389" s="49"/>
      <c r="Y389" s="49"/>
      <c r="Z389" s="49"/>
      <c r="AA389" s="49"/>
      <c r="AB389" s="49"/>
      <c r="AC389" s="49"/>
      <c r="AD389" s="49"/>
      <c r="AE389" s="49"/>
      <c r="AF389" s="49"/>
      <c r="AG389" s="49"/>
      <c r="AH389" s="49"/>
      <c r="AI389" s="49"/>
      <c r="AJ389" s="49"/>
      <c r="AK389" s="49"/>
      <c r="AL389" s="49"/>
      <c r="AM389" s="49"/>
      <c r="AN389" s="49"/>
      <c r="AO389" s="49"/>
    </row>
    <row r="390" spans="3:41" ht="12.75" customHeight="1">
      <c r="C390" s="49"/>
      <c r="D390" s="49"/>
      <c r="E390" s="49"/>
      <c r="F390" s="49"/>
      <c r="G390" s="49"/>
      <c r="H390" s="49"/>
      <c r="I390" s="49"/>
      <c r="J390" s="49"/>
      <c r="K390" s="49"/>
      <c r="L390" s="49"/>
      <c r="M390" s="49"/>
      <c r="S390" s="49"/>
      <c r="T390" s="49"/>
      <c r="U390" s="49"/>
      <c r="W390" s="49"/>
      <c r="X390" s="49"/>
      <c r="Y390" s="49"/>
      <c r="Z390" s="49"/>
      <c r="AA390" s="49"/>
      <c r="AB390" s="49"/>
      <c r="AC390" s="49"/>
      <c r="AD390" s="49"/>
      <c r="AE390" s="49"/>
      <c r="AF390" s="49"/>
      <c r="AG390" s="49"/>
      <c r="AH390" s="49"/>
      <c r="AI390" s="49"/>
      <c r="AJ390" s="49"/>
      <c r="AK390" s="49"/>
      <c r="AL390" s="49"/>
      <c r="AM390" s="49"/>
      <c r="AN390" s="49"/>
      <c r="AO390" s="49"/>
    </row>
    <row r="391" spans="3:41" ht="12.75" customHeight="1">
      <c r="C391" s="49"/>
      <c r="D391" s="49"/>
      <c r="E391" s="49"/>
      <c r="F391" s="49"/>
      <c r="G391" s="49"/>
      <c r="H391" s="49"/>
      <c r="I391" s="49"/>
      <c r="J391" s="49"/>
      <c r="K391" s="49"/>
      <c r="L391" s="49"/>
      <c r="M391" s="49"/>
      <c r="S391" s="49"/>
      <c r="T391" s="49"/>
      <c r="U391" s="49"/>
      <c r="W391" s="49"/>
      <c r="X391" s="49"/>
      <c r="Y391" s="49"/>
      <c r="Z391" s="49"/>
      <c r="AA391" s="49"/>
      <c r="AB391" s="49"/>
      <c r="AC391" s="49"/>
      <c r="AD391" s="49"/>
      <c r="AE391" s="49"/>
      <c r="AF391" s="49"/>
      <c r="AG391" s="49"/>
      <c r="AH391" s="49"/>
      <c r="AI391" s="49"/>
      <c r="AJ391" s="49"/>
      <c r="AK391" s="49"/>
      <c r="AL391" s="49"/>
      <c r="AM391" s="49"/>
      <c r="AN391" s="49"/>
      <c r="AO391" s="49"/>
    </row>
    <row r="392" spans="3:41" ht="12.75" customHeight="1">
      <c r="C392" s="49"/>
      <c r="D392" s="49"/>
      <c r="E392" s="49"/>
      <c r="F392" s="49"/>
      <c r="G392" s="49"/>
      <c r="H392" s="49"/>
      <c r="I392" s="49"/>
      <c r="J392" s="49"/>
      <c r="K392" s="49"/>
      <c r="L392" s="49"/>
      <c r="M392" s="49"/>
      <c r="S392" s="49"/>
      <c r="T392" s="49"/>
      <c r="U392" s="49"/>
      <c r="W392" s="49"/>
      <c r="X392" s="49"/>
      <c r="Y392" s="49"/>
      <c r="Z392" s="49"/>
      <c r="AA392" s="49"/>
      <c r="AB392" s="49"/>
      <c r="AC392" s="49"/>
      <c r="AD392" s="49"/>
      <c r="AE392" s="49"/>
      <c r="AF392" s="49"/>
      <c r="AG392" s="49"/>
      <c r="AH392" s="49"/>
      <c r="AI392" s="49"/>
      <c r="AJ392" s="49"/>
      <c r="AK392" s="49"/>
      <c r="AL392" s="49"/>
      <c r="AM392" s="49"/>
      <c r="AN392" s="49"/>
      <c r="AO392" s="49"/>
    </row>
    <row r="393" spans="3:41" ht="12.75" customHeight="1">
      <c r="C393" s="49"/>
      <c r="D393" s="49"/>
      <c r="E393" s="49"/>
      <c r="F393" s="49"/>
      <c r="G393" s="49"/>
      <c r="H393" s="49"/>
      <c r="I393" s="49"/>
      <c r="J393" s="49"/>
      <c r="K393" s="49"/>
      <c r="L393" s="49"/>
      <c r="M393" s="49"/>
      <c r="S393" s="49"/>
      <c r="T393" s="49"/>
      <c r="U393" s="49"/>
      <c r="W393" s="49"/>
      <c r="X393" s="49"/>
      <c r="Y393" s="49"/>
      <c r="Z393" s="49"/>
      <c r="AA393" s="49"/>
      <c r="AB393" s="49"/>
      <c r="AC393" s="49"/>
      <c r="AD393" s="49"/>
      <c r="AE393" s="49"/>
      <c r="AF393" s="49"/>
      <c r="AG393" s="49"/>
      <c r="AH393" s="49"/>
      <c r="AI393" s="49"/>
      <c r="AJ393" s="49"/>
      <c r="AK393" s="49"/>
      <c r="AL393" s="49"/>
      <c r="AM393" s="49"/>
      <c r="AN393" s="49"/>
      <c r="AO393" s="49"/>
    </row>
    <row r="394" spans="3:41" ht="12.75" customHeight="1">
      <c r="C394" s="49"/>
      <c r="D394" s="49"/>
      <c r="E394" s="49"/>
      <c r="F394" s="49"/>
      <c r="G394" s="49"/>
      <c r="H394" s="49"/>
      <c r="I394" s="49"/>
      <c r="J394" s="49"/>
      <c r="K394" s="49"/>
      <c r="L394" s="49"/>
      <c r="M394" s="49"/>
      <c r="S394" s="49"/>
      <c r="T394" s="49"/>
      <c r="U394" s="49"/>
      <c r="W394" s="49"/>
      <c r="X394" s="49"/>
      <c r="Y394" s="49"/>
      <c r="Z394" s="49"/>
      <c r="AA394" s="49"/>
      <c r="AB394" s="49"/>
      <c r="AC394" s="49"/>
      <c r="AD394" s="49"/>
      <c r="AE394" s="49"/>
      <c r="AF394" s="49"/>
      <c r="AG394" s="49"/>
      <c r="AH394" s="49"/>
      <c r="AI394" s="49"/>
      <c r="AJ394" s="49"/>
      <c r="AK394" s="49"/>
      <c r="AL394" s="49"/>
      <c r="AM394" s="49"/>
      <c r="AN394" s="49"/>
      <c r="AO394" s="49"/>
    </row>
    <row r="395" spans="3:41" ht="12.75" customHeight="1">
      <c r="C395" s="49"/>
      <c r="D395" s="49"/>
      <c r="E395" s="49"/>
      <c r="F395" s="49"/>
      <c r="G395" s="49"/>
      <c r="H395" s="49"/>
      <c r="I395" s="49"/>
      <c r="J395" s="49"/>
      <c r="K395" s="49"/>
      <c r="L395" s="49"/>
      <c r="M395" s="49"/>
      <c r="S395" s="49"/>
      <c r="T395" s="49"/>
      <c r="U395" s="49"/>
      <c r="W395" s="49"/>
      <c r="X395" s="49"/>
      <c r="Y395" s="49"/>
      <c r="Z395" s="49"/>
      <c r="AA395" s="49"/>
      <c r="AB395" s="49"/>
      <c r="AC395" s="49"/>
      <c r="AD395" s="49"/>
      <c r="AE395" s="49"/>
      <c r="AF395" s="49"/>
      <c r="AG395" s="49"/>
      <c r="AH395" s="49"/>
      <c r="AI395" s="49"/>
      <c r="AJ395" s="49"/>
      <c r="AK395" s="49"/>
      <c r="AL395" s="49"/>
      <c r="AM395" s="49"/>
      <c r="AN395" s="49"/>
      <c r="AO395" s="49"/>
    </row>
    <row r="396" spans="3:41" ht="12.75" customHeight="1">
      <c r="C396" s="49"/>
      <c r="D396" s="49"/>
      <c r="E396" s="49"/>
      <c r="F396" s="49"/>
      <c r="G396" s="49"/>
      <c r="H396" s="49"/>
      <c r="I396" s="49"/>
      <c r="J396" s="49"/>
      <c r="K396" s="49"/>
      <c r="L396" s="49"/>
      <c r="M396" s="49"/>
      <c r="S396" s="49"/>
      <c r="T396" s="49"/>
      <c r="U396" s="49"/>
      <c r="W396" s="49"/>
      <c r="X396" s="49"/>
      <c r="Y396" s="49"/>
      <c r="Z396" s="49"/>
      <c r="AA396" s="49"/>
      <c r="AB396" s="49"/>
      <c r="AC396" s="49"/>
      <c r="AD396" s="49"/>
      <c r="AE396" s="49"/>
      <c r="AF396" s="49"/>
      <c r="AG396" s="49"/>
      <c r="AH396" s="49"/>
      <c r="AI396" s="49"/>
      <c r="AJ396" s="49"/>
      <c r="AK396" s="49"/>
      <c r="AL396" s="49"/>
      <c r="AM396" s="49"/>
      <c r="AN396" s="49"/>
      <c r="AO396" s="49"/>
    </row>
    <row r="397" spans="3:41" ht="12.75" customHeight="1">
      <c r="C397" s="49"/>
      <c r="D397" s="49"/>
      <c r="E397" s="49"/>
      <c r="F397" s="49"/>
      <c r="G397" s="49"/>
      <c r="H397" s="49"/>
      <c r="I397" s="49"/>
      <c r="J397" s="49"/>
      <c r="K397" s="49"/>
      <c r="L397" s="49"/>
      <c r="M397" s="49"/>
      <c r="S397" s="49"/>
      <c r="T397" s="49"/>
      <c r="U397" s="49"/>
      <c r="W397" s="49"/>
      <c r="X397" s="49"/>
      <c r="Y397" s="49"/>
      <c r="Z397" s="49"/>
      <c r="AA397" s="49"/>
      <c r="AB397" s="49"/>
      <c r="AC397" s="49"/>
      <c r="AD397" s="49"/>
      <c r="AE397" s="49"/>
      <c r="AF397" s="49"/>
      <c r="AG397" s="49"/>
      <c r="AH397" s="49"/>
      <c r="AI397" s="49"/>
      <c r="AJ397" s="49"/>
      <c r="AK397" s="49"/>
      <c r="AL397" s="49"/>
      <c r="AM397" s="49"/>
      <c r="AN397" s="49"/>
      <c r="AO397" s="49"/>
    </row>
    <row r="398" spans="3:41" ht="12.75" customHeight="1">
      <c r="C398" s="49"/>
      <c r="D398" s="49"/>
      <c r="E398" s="49"/>
      <c r="F398" s="49"/>
      <c r="G398" s="49"/>
      <c r="H398" s="49"/>
      <c r="I398" s="49"/>
      <c r="J398" s="49"/>
      <c r="K398" s="49"/>
      <c r="L398" s="49"/>
      <c r="M398" s="49"/>
      <c r="S398" s="49"/>
      <c r="T398" s="49"/>
      <c r="U398" s="49"/>
      <c r="W398" s="49"/>
      <c r="X398" s="49"/>
      <c r="Y398" s="49"/>
      <c r="Z398" s="49"/>
      <c r="AA398" s="49"/>
      <c r="AB398" s="49"/>
      <c r="AC398" s="49"/>
      <c r="AD398" s="49"/>
      <c r="AE398" s="49"/>
      <c r="AF398" s="49"/>
      <c r="AG398" s="49"/>
      <c r="AH398" s="49"/>
      <c r="AI398" s="49"/>
      <c r="AJ398" s="49"/>
      <c r="AK398" s="49"/>
      <c r="AL398" s="49"/>
      <c r="AM398" s="49"/>
      <c r="AN398" s="49"/>
      <c r="AO398" s="49"/>
    </row>
    <row r="399" spans="3:41" ht="12.75" customHeight="1">
      <c r="C399" s="49"/>
      <c r="D399" s="49"/>
      <c r="E399" s="49"/>
      <c r="F399" s="49"/>
      <c r="G399" s="49"/>
      <c r="H399" s="49"/>
      <c r="I399" s="49"/>
      <c r="J399" s="49"/>
      <c r="K399" s="49"/>
      <c r="L399" s="49"/>
      <c r="M399" s="49"/>
      <c r="S399" s="49"/>
      <c r="T399" s="49"/>
      <c r="U399" s="49"/>
      <c r="W399" s="49"/>
      <c r="X399" s="49"/>
      <c r="Y399" s="49"/>
      <c r="Z399" s="49"/>
      <c r="AA399" s="49"/>
      <c r="AB399" s="49"/>
      <c r="AC399" s="49"/>
      <c r="AD399" s="49"/>
      <c r="AE399" s="49"/>
      <c r="AF399" s="49"/>
      <c r="AG399" s="49"/>
      <c r="AH399" s="49"/>
      <c r="AI399" s="49"/>
      <c r="AJ399" s="49"/>
      <c r="AK399" s="49"/>
      <c r="AL399" s="49"/>
      <c r="AM399" s="49"/>
      <c r="AN399" s="49"/>
      <c r="AO399" s="49"/>
    </row>
    <row r="400" spans="3:41" ht="12.75" customHeight="1">
      <c r="C400" s="49"/>
      <c r="D400" s="49"/>
      <c r="E400" s="49"/>
      <c r="F400" s="49"/>
      <c r="G400" s="49"/>
      <c r="H400" s="49"/>
      <c r="I400" s="49"/>
      <c r="J400" s="49"/>
      <c r="K400" s="49"/>
      <c r="L400" s="49"/>
      <c r="M400" s="49"/>
      <c r="S400" s="49"/>
      <c r="T400" s="49"/>
      <c r="U400" s="49"/>
      <c r="W400" s="49"/>
      <c r="X400" s="49"/>
      <c r="Y400" s="49"/>
      <c r="Z400" s="49"/>
      <c r="AA400" s="49"/>
      <c r="AB400" s="49"/>
      <c r="AC400" s="49"/>
      <c r="AD400" s="49"/>
      <c r="AE400" s="49"/>
      <c r="AF400" s="49"/>
      <c r="AG400" s="49"/>
      <c r="AH400" s="49"/>
      <c r="AI400" s="49"/>
      <c r="AJ400" s="49"/>
      <c r="AK400" s="49"/>
      <c r="AL400" s="49"/>
      <c r="AM400" s="49"/>
      <c r="AN400" s="49"/>
      <c r="AO400" s="49"/>
    </row>
    <row r="401" spans="3:41" ht="12.75" customHeight="1">
      <c r="C401" s="49"/>
      <c r="D401" s="49"/>
      <c r="E401" s="49"/>
      <c r="F401" s="49"/>
      <c r="G401" s="49"/>
      <c r="H401" s="49"/>
      <c r="I401" s="49"/>
      <c r="J401" s="49"/>
      <c r="K401" s="49"/>
      <c r="L401" s="49"/>
      <c r="M401" s="49"/>
      <c r="S401" s="49"/>
      <c r="T401" s="49"/>
      <c r="U401" s="49"/>
      <c r="W401" s="49"/>
      <c r="X401" s="49"/>
      <c r="Y401" s="49"/>
      <c r="Z401" s="49"/>
      <c r="AA401" s="49"/>
      <c r="AB401" s="49"/>
      <c r="AC401" s="49"/>
      <c r="AD401" s="49"/>
      <c r="AE401" s="49"/>
      <c r="AF401" s="49"/>
      <c r="AG401" s="49"/>
      <c r="AH401" s="49"/>
      <c r="AI401" s="49"/>
      <c r="AJ401" s="49"/>
      <c r="AK401" s="49"/>
      <c r="AL401" s="49"/>
      <c r="AM401" s="49"/>
      <c r="AN401" s="49"/>
      <c r="AO401" s="49"/>
    </row>
    <row r="402" spans="3:41" ht="12.75" customHeight="1">
      <c r="C402" s="49"/>
      <c r="D402" s="49"/>
      <c r="E402" s="49"/>
      <c r="F402" s="49"/>
      <c r="G402" s="49"/>
      <c r="H402" s="49"/>
      <c r="I402" s="49"/>
      <c r="J402" s="49"/>
      <c r="K402" s="49"/>
      <c r="L402" s="49"/>
      <c r="M402" s="49"/>
      <c r="S402" s="49"/>
      <c r="T402" s="49"/>
      <c r="U402" s="49"/>
      <c r="W402" s="49"/>
      <c r="X402" s="49"/>
      <c r="Y402" s="49"/>
      <c r="Z402" s="49"/>
      <c r="AA402" s="49"/>
      <c r="AB402" s="49"/>
      <c r="AC402" s="49"/>
      <c r="AD402" s="49"/>
      <c r="AE402" s="49"/>
      <c r="AF402" s="49"/>
      <c r="AG402" s="49"/>
      <c r="AH402" s="49"/>
      <c r="AI402" s="49"/>
      <c r="AJ402" s="49"/>
      <c r="AK402" s="49"/>
      <c r="AL402" s="49"/>
      <c r="AM402" s="49"/>
      <c r="AN402" s="49"/>
      <c r="AO402" s="49"/>
    </row>
    <row r="403" spans="3:41" ht="12.75" customHeight="1">
      <c r="C403" s="49"/>
      <c r="D403" s="49"/>
      <c r="E403" s="49"/>
      <c r="F403" s="49"/>
      <c r="G403" s="49"/>
      <c r="H403" s="49"/>
      <c r="I403" s="49"/>
      <c r="J403" s="49"/>
      <c r="K403" s="49"/>
      <c r="L403" s="49"/>
      <c r="M403" s="49"/>
      <c r="S403" s="49"/>
      <c r="T403" s="49"/>
      <c r="U403" s="49"/>
      <c r="W403" s="49"/>
      <c r="X403" s="49"/>
      <c r="Y403" s="49"/>
      <c r="Z403" s="49"/>
      <c r="AA403" s="49"/>
      <c r="AB403" s="49"/>
      <c r="AC403" s="49"/>
      <c r="AD403" s="49"/>
      <c r="AE403" s="49"/>
      <c r="AF403" s="49"/>
      <c r="AG403" s="49"/>
      <c r="AH403" s="49"/>
      <c r="AI403" s="49"/>
      <c r="AJ403" s="49"/>
      <c r="AK403" s="49"/>
      <c r="AL403" s="49"/>
      <c r="AM403" s="49"/>
      <c r="AN403" s="49"/>
      <c r="AO403" s="49"/>
    </row>
    <row r="404" spans="3:41" ht="12.75" customHeight="1">
      <c r="C404" s="49"/>
      <c r="D404" s="49"/>
      <c r="E404" s="49"/>
      <c r="F404" s="49"/>
      <c r="G404" s="49"/>
      <c r="H404" s="49"/>
      <c r="I404" s="49"/>
      <c r="J404" s="49"/>
      <c r="K404" s="49"/>
      <c r="L404" s="49"/>
      <c r="M404" s="49"/>
      <c r="S404" s="49"/>
      <c r="T404" s="49"/>
      <c r="U404" s="49"/>
      <c r="W404" s="49"/>
      <c r="X404" s="49"/>
      <c r="Y404" s="49"/>
      <c r="Z404" s="49"/>
      <c r="AA404" s="49"/>
      <c r="AB404" s="49"/>
      <c r="AC404" s="49"/>
      <c r="AD404" s="49"/>
      <c r="AE404" s="49"/>
      <c r="AF404" s="49"/>
      <c r="AG404" s="49"/>
      <c r="AH404" s="49"/>
      <c r="AI404" s="49"/>
      <c r="AJ404" s="49"/>
      <c r="AK404" s="49"/>
      <c r="AL404" s="49"/>
      <c r="AM404" s="49"/>
      <c r="AN404" s="49"/>
      <c r="AO404" s="49"/>
    </row>
    <row r="405" spans="3:41" ht="12.75" customHeight="1">
      <c r="C405" s="49"/>
      <c r="D405" s="49"/>
      <c r="E405" s="49"/>
      <c r="F405" s="49"/>
      <c r="G405" s="49"/>
      <c r="H405" s="49"/>
      <c r="I405" s="49"/>
      <c r="J405" s="49"/>
      <c r="K405" s="49"/>
      <c r="L405" s="49"/>
      <c r="M405" s="49"/>
      <c r="S405" s="49"/>
      <c r="T405" s="49"/>
      <c r="U405" s="49"/>
      <c r="W405" s="49"/>
      <c r="X405" s="49"/>
      <c r="Y405" s="49"/>
      <c r="Z405" s="49"/>
      <c r="AA405" s="49"/>
      <c r="AB405" s="49"/>
      <c r="AC405" s="49"/>
      <c r="AD405" s="49"/>
      <c r="AE405" s="49"/>
      <c r="AF405" s="49"/>
      <c r="AG405" s="49"/>
      <c r="AH405" s="49"/>
      <c r="AI405" s="49"/>
      <c r="AJ405" s="49"/>
      <c r="AK405" s="49"/>
      <c r="AL405" s="49"/>
      <c r="AM405" s="49"/>
      <c r="AN405" s="49"/>
      <c r="AO405" s="49"/>
    </row>
    <row r="406" spans="3:41" ht="12.75" customHeight="1">
      <c r="C406" s="49"/>
      <c r="D406" s="49"/>
      <c r="E406" s="49"/>
      <c r="F406" s="49"/>
      <c r="G406" s="49"/>
      <c r="H406" s="49"/>
      <c r="I406" s="49"/>
      <c r="J406" s="49"/>
      <c r="K406" s="49"/>
      <c r="L406" s="49"/>
      <c r="M406" s="49"/>
      <c r="S406" s="49"/>
      <c r="T406" s="49"/>
      <c r="U406" s="49"/>
      <c r="W406" s="49"/>
      <c r="X406" s="49"/>
      <c r="Y406" s="49"/>
      <c r="Z406" s="49"/>
      <c r="AA406" s="49"/>
      <c r="AB406" s="49"/>
      <c r="AC406" s="49"/>
      <c r="AD406" s="49"/>
      <c r="AE406" s="49"/>
      <c r="AF406" s="49"/>
      <c r="AG406" s="49"/>
      <c r="AH406" s="49"/>
      <c r="AI406" s="49"/>
      <c r="AJ406" s="49"/>
      <c r="AK406" s="49"/>
      <c r="AL406" s="49"/>
      <c r="AM406" s="49"/>
      <c r="AN406" s="49"/>
      <c r="AO406" s="49"/>
    </row>
    <row r="407" spans="3:41" ht="12.75" customHeight="1">
      <c r="C407" s="49"/>
      <c r="D407" s="49"/>
      <c r="E407" s="49"/>
      <c r="F407" s="49"/>
      <c r="G407" s="49"/>
      <c r="H407" s="49"/>
      <c r="I407" s="49"/>
      <c r="J407" s="49"/>
      <c r="K407" s="49"/>
      <c r="L407" s="49"/>
      <c r="M407" s="49"/>
      <c r="S407" s="49"/>
      <c r="T407" s="49"/>
      <c r="U407" s="49"/>
      <c r="W407" s="49"/>
      <c r="X407" s="49"/>
      <c r="Y407" s="49"/>
      <c r="Z407" s="49"/>
      <c r="AA407" s="49"/>
      <c r="AB407" s="49"/>
      <c r="AC407" s="49"/>
      <c r="AD407" s="49"/>
      <c r="AE407" s="49"/>
      <c r="AF407" s="49"/>
      <c r="AG407" s="49"/>
      <c r="AH407" s="49"/>
      <c r="AI407" s="49"/>
      <c r="AJ407" s="49"/>
      <c r="AK407" s="49"/>
      <c r="AL407" s="49"/>
      <c r="AM407" s="49"/>
      <c r="AN407" s="49"/>
      <c r="AO407" s="49"/>
    </row>
    <row r="408" spans="3:41" ht="12.75" customHeight="1">
      <c r="C408" s="49"/>
      <c r="D408" s="49"/>
      <c r="E408" s="49"/>
      <c r="F408" s="49"/>
      <c r="G408" s="49"/>
      <c r="H408" s="49"/>
      <c r="I408" s="49"/>
      <c r="J408" s="49"/>
      <c r="K408" s="49"/>
      <c r="L408" s="49"/>
      <c r="M408" s="49"/>
      <c r="S408" s="49"/>
      <c r="T408" s="49"/>
      <c r="U408" s="49"/>
      <c r="W408" s="49"/>
      <c r="X408" s="49"/>
      <c r="Y408" s="49"/>
      <c r="Z408" s="49"/>
      <c r="AA408" s="49"/>
      <c r="AB408" s="49"/>
      <c r="AC408" s="49"/>
      <c r="AD408" s="49"/>
      <c r="AE408" s="49"/>
      <c r="AF408" s="49"/>
      <c r="AG408" s="49"/>
      <c r="AH408" s="49"/>
      <c r="AI408" s="49"/>
      <c r="AJ408" s="49"/>
      <c r="AK408" s="49"/>
      <c r="AL408" s="49"/>
      <c r="AM408" s="49"/>
      <c r="AN408" s="49"/>
      <c r="AO408" s="49"/>
    </row>
    <row r="409" spans="3:41" ht="12.75" customHeight="1">
      <c r="C409" s="49"/>
      <c r="D409" s="49"/>
      <c r="E409" s="49"/>
      <c r="F409" s="49"/>
      <c r="G409" s="49"/>
      <c r="H409" s="49"/>
      <c r="I409" s="49"/>
      <c r="J409" s="49"/>
      <c r="K409" s="49"/>
      <c r="L409" s="49"/>
      <c r="M409" s="49"/>
      <c r="S409" s="49"/>
      <c r="T409" s="49"/>
      <c r="U409" s="49"/>
      <c r="W409" s="49"/>
      <c r="X409" s="49"/>
      <c r="Y409" s="49"/>
      <c r="Z409" s="49"/>
      <c r="AA409" s="49"/>
      <c r="AB409" s="49"/>
      <c r="AC409" s="49"/>
      <c r="AD409" s="49"/>
      <c r="AE409" s="49"/>
      <c r="AF409" s="49"/>
      <c r="AG409" s="49"/>
      <c r="AH409" s="49"/>
      <c r="AI409" s="49"/>
      <c r="AJ409" s="49"/>
      <c r="AK409" s="49"/>
      <c r="AL409" s="49"/>
      <c r="AM409" s="49"/>
      <c r="AN409" s="49"/>
      <c r="AO409" s="49"/>
    </row>
    <row r="410" spans="3:41" ht="12.75" customHeight="1">
      <c r="C410" s="49"/>
      <c r="D410" s="49"/>
      <c r="E410" s="49"/>
      <c r="F410" s="49"/>
      <c r="G410" s="49"/>
      <c r="H410" s="49"/>
      <c r="I410" s="49"/>
      <c r="J410" s="49"/>
      <c r="K410" s="49"/>
      <c r="L410" s="49"/>
      <c r="M410" s="49"/>
      <c r="S410" s="49"/>
      <c r="T410" s="49"/>
      <c r="U410" s="49"/>
      <c r="W410" s="49"/>
      <c r="X410" s="49"/>
      <c r="Y410" s="49"/>
      <c r="Z410" s="49"/>
      <c r="AA410" s="49"/>
      <c r="AB410" s="49"/>
      <c r="AC410" s="49"/>
      <c r="AD410" s="49"/>
      <c r="AE410" s="49"/>
      <c r="AF410" s="49"/>
      <c r="AG410" s="49"/>
      <c r="AH410" s="49"/>
      <c r="AI410" s="49"/>
      <c r="AJ410" s="49"/>
      <c r="AK410" s="49"/>
      <c r="AL410" s="49"/>
      <c r="AM410" s="49"/>
      <c r="AN410" s="49"/>
      <c r="AO410" s="49"/>
    </row>
    <row r="411" spans="3:41" ht="12.75" customHeight="1">
      <c r="C411" s="49"/>
      <c r="D411" s="49"/>
      <c r="E411" s="49"/>
      <c r="F411" s="49"/>
      <c r="G411" s="49"/>
      <c r="H411" s="49"/>
      <c r="I411" s="49"/>
      <c r="J411" s="49"/>
      <c r="K411" s="49"/>
      <c r="L411" s="49"/>
      <c r="M411" s="49"/>
      <c r="S411" s="49"/>
      <c r="T411" s="49"/>
      <c r="U411" s="49"/>
      <c r="W411" s="49"/>
      <c r="X411" s="49"/>
      <c r="Y411" s="49"/>
      <c r="Z411" s="49"/>
      <c r="AA411" s="49"/>
      <c r="AB411" s="49"/>
      <c r="AC411" s="49"/>
      <c r="AD411" s="49"/>
      <c r="AE411" s="49"/>
      <c r="AF411" s="49"/>
      <c r="AG411" s="49"/>
      <c r="AH411" s="49"/>
      <c r="AI411" s="49"/>
      <c r="AJ411" s="49"/>
      <c r="AK411" s="49"/>
      <c r="AL411" s="49"/>
      <c r="AM411" s="49"/>
      <c r="AN411" s="49"/>
      <c r="AO411" s="49"/>
    </row>
    <row r="412" spans="3:41" ht="12.75" customHeight="1">
      <c r="C412" s="49"/>
      <c r="D412" s="49"/>
      <c r="E412" s="49"/>
      <c r="F412" s="49"/>
      <c r="G412" s="49"/>
      <c r="H412" s="49"/>
      <c r="I412" s="49"/>
      <c r="J412" s="49"/>
      <c r="K412" s="49"/>
      <c r="L412" s="49"/>
      <c r="M412" s="49"/>
      <c r="S412" s="49"/>
      <c r="T412" s="49"/>
      <c r="U412" s="49"/>
      <c r="W412" s="49"/>
      <c r="X412" s="49"/>
      <c r="Y412" s="49"/>
      <c r="Z412" s="49"/>
      <c r="AA412" s="49"/>
      <c r="AB412" s="49"/>
      <c r="AC412" s="49"/>
      <c r="AD412" s="49"/>
      <c r="AE412" s="49"/>
      <c r="AF412" s="49"/>
      <c r="AG412" s="49"/>
      <c r="AH412" s="49"/>
      <c r="AI412" s="49"/>
      <c r="AJ412" s="49"/>
      <c r="AK412" s="49"/>
      <c r="AL412" s="49"/>
      <c r="AM412" s="49"/>
      <c r="AN412" s="49"/>
      <c r="AO412" s="49"/>
    </row>
    <row r="413" spans="3:41" ht="12.75" customHeight="1">
      <c r="C413" s="49"/>
      <c r="D413" s="49"/>
      <c r="E413" s="49"/>
      <c r="F413" s="49"/>
      <c r="G413" s="49"/>
      <c r="H413" s="49"/>
      <c r="I413" s="49"/>
      <c r="J413" s="49"/>
      <c r="K413" s="49"/>
      <c r="L413" s="49"/>
      <c r="M413" s="49"/>
      <c r="S413" s="49"/>
      <c r="T413" s="49"/>
      <c r="U413" s="49"/>
      <c r="W413" s="49"/>
      <c r="X413" s="49"/>
      <c r="Y413" s="49"/>
      <c r="Z413" s="49"/>
      <c r="AA413" s="49"/>
      <c r="AB413" s="49"/>
      <c r="AC413" s="49"/>
      <c r="AD413" s="49"/>
      <c r="AE413" s="49"/>
      <c r="AF413" s="49"/>
      <c r="AG413" s="49"/>
      <c r="AH413" s="49"/>
      <c r="AI413" s="49"/>
      <c r="AJ413" s="49"/>
      <c r="AK413" s="49"/>
      <c r="AL413" s="49"/>
      <c r="AM413" s="49"/>
      <c r="AN413" s="49"/>
      <c r="AO413" s="49"/>
    </row>
    <row r="414" spans="3:41" ht="12.75" customHeight="1">
      <c r="C414" s="49"/>
      <c r="D414" s="49"/>
      <c r="E414" s="49"/>
      <c r="F414" s="49"/>
      <c r="G414" s="49"/>
      <c r="H414" s="49"/>
      <c r="I414" s="49"/>
      <c r="J414" s="49"/>
      <c r="K414" s="49"/>
      <c r="L414" s="49"/>
      <c r="M414" s="49"/>
      <c r="S414" s="49"/>
      <c r="T414" s="49"/>
      <c r="U414" s="49"/>
      <c r="W414" s="49"/>
      <c r="X414" s="49"/>
      <c r="Y414" s="49"/>
      <c r="Z414" s="49"/>
      <c r="AA414" s="49"/>
      <c r="AB414" s="49"/>
      <c r="AC414" s="49"/>
      <c r="AD414" s="49"/>
      <c r="AE414" s="49"/>
      <c r="AF414" s="49"/>
      <c r="AG414" s="49"/>
      <c r="AH414" s="49"/>
      <c r="AI414" s="49"/>
      <c r="AJ414" s="49"/>
      <c r="AK414" s="49"/>
      <c r="AL414" s="49"/>
      <c r="AM414" s="49"/>
      <c r="AN414" s="49"/>
      <c r="AO414" s="49"/>
    </row>
    <row r="415" spans="3:41" ht="12.75" customHeight="1">
      <c r="C415" s="49"/>
      <c r="D415" s="49"/>
      <c r="E415" s="49"/>
      <c r="F415" s="49"/>
      <c r="G415" s="49"/>
      <c r="H415" s="49"/>
      <c r="I415" s="49"/>
      <c r="J415" s="49"/>
      <c r="K415" s="49"/>
      <c r="L415" s="49"/>
      <c r="M415" s="49"/>
      <c r="S415" s="49"/>
      <c r="T415" s="49"/>
      <c r="U415" s="49"/>
      <c r="W415" s="49"/>
      <c r="X415" s="49"/>
      <c r="Y415" s="49"/>
      <c r="Z415" s="49"/>
      <c r="AA415" s="49"/>
      <c r="AB415" s="49"/>
      <c r="AC415" s="49"/>
      <c r="AD415" s="49"/>
      <c r="AE415" s="49"/>
      <c r="AF415" s="49"/>
      <c r="AG415" s="49"/>
      <c r="AH415" s="49"/>
      <c r="AI415" s="49"/>
      <c r="AJ415" s="49"/>
      <c r="AK415" s="49"/>
      <c r="AL415" s="49"/>
      <c r="AM415" s="49"/>
      <c r="AN415" s="49"/>
      <c r="AO415" s="49"/>
    </row>
    <row r="416" spans="3:41" ht="12.75" customHeight="1">
      <c r="C416" s="49"/>
      <c r="D416" s="49"/>
      <c r="E416" s="49"/>
      <c r="F416" s="49"/>
      <c r="G416" s="49"/>
      <c r="H416" s="49"/>
      <c r="I416" s="49"/>
      <c r="J416" s="49"/>
      <c r="K416" s="49"/>
      <c r="L416" s="49"/>
      <c r="M416" s="49"/>
      <c r="S416" s="49"/>
      <c r="T416" s="49"/>
      <c r="U416" s="49"/>
      <c r="W416" s="49"/>
      <c r="X416" s="49"/>
      <c r="Y416" s="49"/>
      <c r="Z416" s="49"/>
      <c r="AA416" s="49"/>
      <c r="AB416" s="49"/>
      <c r="AC416" s="49"/>
      <c r="AD416" s="49"/>
      <c r="AE416" s="49"/>
      <c r="AF416" s="49"/>
      <c r="AG416" s="49"/>
      <c r="AH416" s="49"/>
      <c r="AI416" s="49"/>
      <c r="AJ416" s="49"/>
      <c r="AK416" s="49"/>
      <c r="AL416" s="49"/>
      <c r="AM416" s="49"/>
      <c r="AN416" s="49"/>
      <c r="AO416" s="49"/>
    </row>
    <row r="417" spans="3:41" ht="12.75" customHeight="1">
      <c r="C417" s="49"/>
      <c r="D417" s="49"/>
      <c r="E417" s="49"/>
      <c r="F417" s="49"/>
      <c r="G417" s="49"/>
      <c r="H417" s="49"/>
      <c r="I417" s="49"/>
      <c r="J417" s="49"/>
      <c r="K417" s="49"/>
      <c r="L417" s="49"/>
      <c r="M417" s="49"/>
      <c r="S417" s="49"/>
      <c r="T417" s="49"/>
      <c r="U417" s="49"/>
      <c r="W417" s="49"/>
      <c r="X417" s="49"/>
      <c r="Y417" s="49"/>
      <c r="Z417" s="49"/>
      <c r="AA417" s="49"/>
      <c r="AB417" s="49"/>
      <c r="AC417" s="49"/>
      <c r="AD417" s="49"/>
      <c r="AE417" s="49"/>
      <c r="AF417" s="49"/>
      <c r="AG417" s="49"/>
      <c r="AH417" s="49"/>
      <c r="AI417" s="49"/>
      <c r="AJ417" s="49"/>
      <c r="AK417" s="49"/>
      <c r="AL417" s="49"/>
      <c r="AM417" s="49"/>
      <c r="AN417" s="49"/>
      <c r="AO417" s="49"/>
    </row>
    <row r="418" spans="3:41" ht="12.75" customHeight="1">
      <c r="C418" s="49"/>
      <c r="D418" s="49"/>
      <c r="E418" s="49"/>
      <c r="F418" s="49"/>
      <c r="G418" s="49"/>
      <c r="H418" s="49"/>
      <c r="I418" s="49"/>
      <c r="J418" s="49"/>
      <c r="K418" s="49"/>
      <c r="L418" s="49"/>
      <c r="M418" s="49"/>
      <c r="S418" s="49"/>
      <c r="T418" s="49"/>
      <c r="U418" s="49"/>
      <c r="W418" s="49"/>
      <c r="X418" s="49"/>
      <c r="Y418" s="49"/>
      <c r="Z418" s="49"/>
      <c r="AA418" s="49"/>
      <c r="AB418" s="49"/>
      <c r="AC418" s="49"/>
      <c r="AD418" s="49"/>
      <c r="AE418" s="49"/>
      <c r="AF418" s="49"/>
      <c r="AG418" s="49"/>
      <c r="AH418" s="49"/>
      <c r="AI418" s="49"/>
      <c r="AJ418" s="49"/>
      <c r="AK418" s="49"/>
      <c r="AL418" s="49"/>
      <c r="AM418" s="49"/>
      <c r="AN418" s="49"/>
      <c r="AO418" s="49"/>
    </row>
    <row r="419" spans="3:41" ht="12.75" customHeight="1">
      <c r="C419" s="49"/>
      <c r="D419" s="49"/>
      <c r="E419" s="49"/>
      <c r="F419" s="49"/>
      <c r="G419" s="49"/>
      <c r="H419" s="49"/>
      <c r="I419" s="49"/>
      <c r="J419" s="49"/>
      <c r="K419" s="49"/>
      <c r="L419" s="49"/>
      <c r="M419" s="49"/>
      <c r="S419" s="49"/>
      <c r="T419" s="49"/>
      <c r="U419" s="49"/>
      <c r="W419" s="49"/>
      <c r="X419" s="49"/>
      <c r="Y419" s="49"/>
      <c r="Z419" s="49"/>
      <c r="AA419" s="49"/>
      <c r="AB419" s="49"/>
      <c r="AC419" s="49"/>
      <c r="AD419" s="49"/>
      <c r="AE419" s="49"/>
      <c r="AF419" s="49"/>
      <c r="AG419" s="49"/>
      <c r="AH419" s="49"/>
      <c r="AI419" s="49"/>
      <c r="AJ419" s="49"/>
      <c r="AK419" s="49"/>
      <c r="AL419" s="49"/>
      <c r="AM419" s="49"/>
      <c r="AN419" s="49"/>
      <c r="AO419" s="49"/>
    </row>
    <row r="420" spans="3:41" ht="12.75" customHeight="1">
      <c r="C420" s="49"/>
      <c r="D420" s="49"/>
      <c r="E420" s="49"/>
      <c r="F420" s="49"/>
      <c r="G420" s="49"/>
      <c r="H420" s="49"/>
      <c r="I420" s="49"/>
      <c r="J420" s="49"/>
      <c r="K420" s="49"/>
      <c r="L420" s="49"/>
      <c r="M420" s="49"/>
      <c r="S420" s="49"/>
      <c r="T420" s="49"/>
      <c r="U420" s="49"/>
      <c r="W420" s="49"/>
      <c r="X420" s="49"/>
      <c r="Y420" s="49"/>
      <c r="Z420" s="49"/>
      <c r="AA420" s="49"/>
      <c r="AB420" s="49"/>
      <c r="AC420" s="49"/>
      <c r="AD420" s="49"/>
      <c r="AE420" s="49"/>
      <c r="AF420" s="49"/>
      <c r="AG420" s="49"/>
      <c r="AH420" s="49"/>
      <c r="AI420" s="49"/>
      <c r="AJ420" s="49"/>
      <c r="AK420" s="49"/>
      <c r="AL420" s="49"/>
      <c r="AM420" s="49"/>
      <c r="AN420" s="49"/>
      <c r="AO420" s="49"/>
    </row>
    <row r="421" spans="3:41" ht="12.75" customHeight="1">
      <c r="C421" s="49"/>
      <c r="D421" s="49"/>
      <c r="E421" s="49"/>
      <c r="F421" s="49"/>
      <c r="G421" s="49"/>
      <c r="H421" s="49"/>
      <c r="I421" s="49"/>
      <c r="J421" s="49"/>
      <c r="K421" s="49"/>
      <c r="L421" s="49"/>
      <c r="M421" s="49"/>
      <c r="S421" s="49"/>
      <c r="T421" s="49"/>
      <c r="U421" s="49"/>
      <c r="W421" s="49"/>
      <c r="X421" s="49"/>
      <c r="Y421" s="49"/>
      <c r="Z421" s="49"/>
      <c r="AA421" s="49"/>
      <c r="AB421" s="49"/>
      <c r="AC421" s="49"/>
      <c r="AD421" s="49"/>
      <c r="AE421" s="49"/>
      <c r="AF421" s="49"/>
      <c r="AG421" s="49"/>
      <c r="AH421" s="49"/>
      <c r="AI421" s="49"/>
      <c r="AJ421" s="49"/>
      <c r="AK421" s="49"/>
      <c r="AL421" s="49"/>
      <c r="AM421" s="49"/>
      <c r="AN421" s="49"/>
      <c r="AO421" s="49"/>
    </row>
    <row r="422" spans="3:41" ht="12.75" customHeight="1">
      <c r="C422" s="49"/>
      <c r="D422" s="49"/>
      <c r="E422" s="49"/>
      <c r="F422" s="49"/>
      <c r="G422" s="49"/>
      <c r="H422" s="49"/>
      <c r="I422" s="49"/>
      <c r="J422" s="49"/>
      <c r="K422" s="49"/>
      <c r="L422" s="49"/>
      <c r="M422" s="49"/>
      <c r="S422" s="49"/>
      <c r="T422" s="49"/>
      <c r="U422" s="49"/>
      <c r="W422" s="49"/>
      <c r="X422" s="49"/>
      <c r="Y422" s="49"/>
      <c r="Z422" s="49"/>
      <c r="AA422" s="49"/>
      <c r="AB422" s="49"/>
      <c r="AC422" s="49"/>
      <c r="AD422" s="49"/>
      <c r="AE422" s="49"/>
      <c r="AF422" s="49"/>
      <c r="AG422" s="49"/>
      <c r="AH422" s="49"/>
      <c r="AI422" s="49"/>
      <c r="AJ422" s="49"/>
      <c r="AK422" s="49"/>
      <c r="AL422" s="49"/>
      <c r="AM422" s="49"/>
      <c r="AN422" s="49"/>
      <c r="AO422" s="49"/>
    </row>
    <row r="423" spans="3:41" ht="12.75" customHeight="1">
      <c r="C423" s="49"/>
      <c r="D423" s="49"/>
      <c r="E423" s="49"/>
      <c r="F423" s="49"/>
      <c r="G423" s="49"/>
      <c r="H423" s="49"/>
      <c r="I423" s="49"/>
      <c r="J423" s="49"/>
      <c r="K423" s="49"/>
      <c r="L423" s="49"/>
      <c r="M423" s="49"/>
      <c r="S423" s="49"/>
      <c r="T423" s="49"/>
      <c r="U423" s="49"/>
      <c r="W423" s="49"/>
      <c r="X423" s="49"/>
      <c r="Y423" s="49"/>
      <c r="Z423" s="49"/>
      <c r="AA423" s="49"/>
      <c r="AB423" s="49"/>
      <c r="AC423" s="49"/>
      <c r="AD423" s="49"/>
      <c r="AE423" s="49"/>
      <c r="AF423" s="49"/>
      <c r="AG423" s="49"/>
      <c r="AH423" s="49"/>
      <c r="AI423" s="49"/>
      <c r="AJ423" s="49"/>
      <c r="AK423" s="49"/>
      <c r="AL423" s="49"/>
      <c r="AM423" s="49"/>
      <c r="AN423" s="49"/>
      <c r="AO423" s="49"/>
    </row>
    <row r="424" spans="3:41" ht="12.75" customHeight="1">
      <c r="C424" s="49"/>
      <c r="D424" s="49"/>
      <c r="E424" s="49"/>
      <c r="F424" s="49"/>
      <c r="G424" s="49"/>
      <c r="H424" s="49"/>
      <c r="I424" s="49"/>
      <c r="J424" s="49"/>
      <c r="K424" s="49"/>
      <c r="L424" s="49"/>
      <c r="M424" s="49"/>
      <c r="S424" s="49"/>
      <c r="T424" s="49"/>
      <c r="U424" s="49"/>
      <c r="W424" s="49"/>
      <c r="X424" s="49"/>
      <c r="Y424" s="49"/>
      <c r="Z424" s="49"/>
      <c r="AA424" s="49"/>
      <c r="AB424" s="49"/>
      <c r="AC424" s="49"/>
      <c r="AD424" s="49"/>
      <c r="AE424" s="49"/>
      <c r="AF424" s="49"/>
      <c r="AG424" s="49"/>
      <c r="AH424" s="49"/>
      <c r="AI424" s="49"/>
      <c r="AJ424" s="49"/>
      <c r="AK424" s="49"/>
      <c r="AL424" s="49"/>
      <c r="AM424" s="49"/>
      <c r="AN424" s="49"/>
      <c r="AO424" s="49"/>
    </row>
    <row r="425" spans="3:41" ht="12.75" customHeight="1">
      <c r="C425" s="49"/>
      <c r="D425" s="49"/>
      <c r="E425" s="49"/>
      <c r="F425" s="49"/>
      <c r="G425" s="49"/>
      <c r="H425" s="49"/>
      <c r="I425" s="49"/>
      <c r="J425" s="49"/>
      <c r="K425" s="49"/>
      <c r="L425" s="49"/>
      <c r="M425" s="49"/>
      <c r="S425" s="49"/>
      <c r="T425" s="49"/>
      <c r="U425" s="49"/>
      <c r="W425" s="49"/>
      <c r="X425" s="49"/>
      <c r="Y425" s="49"/>
      <c r="Z425" s="49"/>
      <c r="AA425" s="49"/>
      <c r="AB425" s="49"/>
      <c r="AC425" s="49"/>
      <c r="AD425" s="49"/>
      <c r="AE425" s="49"/>
      <c r="AF425" s="49"/>
      <c r="AG425" s="49"/>
      <c r="AH425" s="49"/>
      <c r="AI425" s="49"/>
      <c r="AJ425" s="49"/>
      <c r="AK425" s="49"/>
      <c r="AL425" s="49"/>
      <c r="AM425" s="49"/>
      <c r="AN425" s="49"/>
      <c r="AO425" s="49"/>
    </row>
    <row r="426" spans="3:41" ht="12.75" customHeight="1">
      <c r="C426" s="49"/>
      <c r="D426" s="49"/>
      <c r="E426" s="49"/>
      <c r="F426" s="49"/>
      <c r="G426" s="49"/>
      <c r="H426" s="49"/>
      <c r="I426" s="49"/>
      <c r="J426" s="49"/>
      <c r="K426" s="49"/>
      <c r="L426" s="49"/>
      <c r="M426" s="49"/>
      <c r="S426" s="49"/>
      <c r="T426" s="49"/>
      <c r="U426" s="49"/>
      <c r="W426" s="49"/>
      <c r="X426" s="49"/>
      <c r="Y426" s="49"/>
      <c r="Z426" s="49"/>
      <c r="AA426" s="49"/>
      <c r="AB426" s="49"/>
      <c r="AC426" s="49"/>
      <c r="AD426" s="49"/>
      <c r="AE426" s="49"/>
      <c r="AF426" s="49"/>
      <c r="AG426" s="49"/>
      <c r="AH426" s="49"/>
      <c r="AI426" s="49"/>
      <c r="AJ426" s="49"/>
      <c r="AK426" s="49"/>
      <c r="AL426" s="49"/>
      <c r="AM426" s="49"/>
      <c r="AN426" s="49"/>
      <c r="AO426" s="49"/>
    </row>
    <row r="427" spans="3:41" ht="12.75" customHeight="1">
      <c r="C427" s="49"/>
      <c r="D427" s="49"/>
      <c r="E427" s="49"/>
      <c r="F427" s="49"/>
      <c r="G427" s="49"/>
      <c r="H427" s="49"/>
      <c r="I427" s="49"/>
      <c r="J427" s="49"/>
      <c r="K427" s="49"/>
      <c r="L427" s="49"/>
      <c r="M427" s="49"/>
      <c r="S427" s="49"/>
      <c r="T427" s="49"/>
      <c r="U427" s="49"/>
      <c r="W427" s="49"/>
      <c r="X427" s="49"/>
      <c r="Y427" s="49"/>
      <c r="Z427" s="49"/>
      <c r="AA427" s="49"/>
      <c r="AB427" s="49"/>
      <c r="AC427" s="49"/>
      <c r="AD427" s="49"/>
      <c r="AE427" s="49"/>
      <c r="AF427" s="49"/>
      <c r="AG427" s="49"/>
      <c r="AH427" s="49"/>
      <c r="AI427" s="49"/>
      <c r="AJ427" s="49"/>
      <c r="AK427" s="49"/>
      <c r="AL427" s="49"/>
      <c r="AM427" s="49"/>
      <c r="AN427" s="49"/>
      <c r="AO427" s="49"/>
    </row>
    <row r="428" spans="3:41" ht="12.75" customHeight="1">
      <c r="C428" s="49"/>
      <c r="D428" s="49"/>
      <c r="E428" s="49"/>
      <c r="F428" s="49"/>
      <c r="G428" s="49"/>
      <c r="H428" s="49"/>
      <c r="I428" s="49"/>
      <c r="J428" s="49"/>
      <c r="K428" s="49"/>
      <c r="L428" s="49"/>
      <c r="M428" s="49"/>
      <c r="S428" s="49"/>
      <c r="T428" s="49"/>
      <c r="U428" s="49"/>
      <c r="W428" s="49"/>
      <c r="X428" s="49"/>
      <c r="Y428" s="49"/>
      <c r="Z428" s="49"/>
      <c r="AA428" s="49"/>
      <c r="AB428" s="49"/>
      <c r="AC428" s="49"/>
      <c r="AD428" s="49"/>
      <c r="AE428" s="49"/>
      <c r="AF428" s="49"/>
      <c r="AG428" s="49"/>
      <c r="AH428" s="49"/>
      <c r="AI428" s="49"/>
      <c r="AJ428" s="49"/>
      <c r="AK428" s="49"/>
      <c r="AL428" s="49"/>
      <c r="AM428" s="49"/>
      <c r="AN428" s="49"/>
      <c r="AO428" s="49"/>
    </row>
    <row r="429" spans="3:41" ht="12.75" customHeight="1">
      <c r="C429" s="49"/>
      <c r="D429" s="49"/>
      <c r="E429" s="49"/>
      <c r="F429" s="49"/>
      <c r="G429" s="49"/>
      <c r="H429" s="49"/>
      <c r="I429" s="49"/>
      <c r="J429" s="49"/>
      <c r="K429" s="49"/>
      <c r="L429" s="49"/>
      <c r="M429" s="49"/>
      <c r="S429" s="49"/>
      <c r="T429" s="49"/>
      <c r="U429" s="49"/>
      <c r="W429" s="49"/>
      <c r="X429" s="49"/>
      <c r="Y429" s="49"/>
      <c r="Z429" s="49"/>
      <c r="AA429" s="49"/>
      <c r="AB429" s="49"/>
      <c r="AC429" s="49"/>
      <c r="AD429" s="49"/>
      <c r="AE429" s="49"/>
      <c r="AF429" s="49"/>
      <c r="AG429" s="49"/>
      <c r="AH429" s="49"/>
      <c r="AI429" s="49"/>
      <c r="AJ429" s="49"/>
      <c r="AK429" s="49"/>
      <c r="AL429" s="49"/>
      <c r="AM429" s="49"/>
      <c r="AN429" s="49"/>
      <c r="AO429" s="49"/>
    </row>
    <row r="430" spans="3:41" ht="12.75" customHeight="1">
      <c r="C430" s="49"/>
      <c r="D430" s="49"/>
      <c r="E430" s="49"/>
      <c r="F430" s="49"/>
      <c r="G430" s="49"/>
      <c r="H430" s="49"/>
      <c r="I430" s="49"/>
      <c r="J430" s="49"/>
      <c r="K430" s="49"/>
      <c r="L430" s="49"/>
      <c r="M430" s="49"/>
      <c r="S430" s="49"/>
      <c r="T430" s="49"/>
      <c r="U430" s="49"/>
      <c r="W430" s="49"/>
      <c r="X430" s="49"/>
      <c r="Y430" s="49"/>
      <c r="Z430" s="49"/>
      <c r="AA430" s="49"/>
      <c r="AB430" s="49"/>
      <c r="AC430" s="49"/>
      <c r="AD430" s="49"/>
      <c r="AE430" s="49"/>
      <c r="AF430" s="49"/>
      <c r="AG430" s="49"/>
      <c r="AH430" s="49"/>
      <c r="AI430" s="49"/>
      <c r="AJ430" s="49"/>
      <c r="AK430" s="49"/>
      <c r="AL430" s="49"/>
      <c r="AM430" s="49"/>
      <c r="AN430" s="49"/>
      <c r="AO430" s="49"/>
    </row>
    <row r="431" spans="3:41" ht="12.75" customHeight="1">
      <c r="C431" s="49"/>
      <c r="D431" s="49"/>
      <c r="E431" s="49"/>
      <c r="F431" s="49"/>
      <c r="G431" s="49"/>
      <c r="H431" s="49"/>
      <c r="I431" s="49"/>
      <c r="J431" s="49"/>
      <c r="K431" s="49"/>
      <c r="L431" s="49"/>
      <c r="M431" s="49"/>
      <c r="S431" s="49"/>
      <c r="T431" s="49"/>
      <c r="U431" s="49"/>
      <c r="W431" s="49"/>
      <c r="X431" s="49"/>
      <c r="Y431" s="49"/>
      <c r="Z431" s="49"/>
      <c r="AA431" s="49"/>
      <c r="AB431" s="49"/>
      <c r="AC431" s="49"/>
      <c r="AD431" s="49"/>
      <c r="AE431" s="49"/>
      <c r="AF431" s="49"/>
      <c r="AG431" s="49"/>
      <c r="AH431" s="49"/>
      <c r="AI431" s="49"/>
      <c r="AJ431" s="49"/>
      <c r="AK431" s="49"/>
      <c r="AL431" s="49"/>
      <c r="AM431" s="49"/>
      <c r="AN431" s="49"/>
      <c r="AO431" s="49"/>
    </row>
    <row r="432" spans="3:41" ht="12.75" customHeight="1">
      <c r="C432" s="49"/>
      <c r="D432" s="49"/>
      <c r="E432" s="49"/>
      <c r="F432" s="49"/>
      <c r="G432" s="49"/>
      <c r="H432" s="49"/>
      <c r="I432" s="49"/>
      <c r="J432" s="49"/>
      <c r="K432" s="49"/>
      <c r="L432" s="49"/>
      <c r="M432" s="49"/>
      <c r="S432" s="49"/>
      <c r="T432" s="49"/>
      <c r="U432" s="49"/>
      <c r="W432" s="49"/>
      <c r="X432" s="49"/>
      <c r="Y432" s="49"/>
      <c r="Z432" s="49"/>
      <c r="AA432" s="49"/>
      <c r="AB432" s="49"/>
      <c r="AC432" s="49"/>
      <c r="AD432" s="49"/>
      <c r="AE432" s="49"/>
      <c r="AF432" s="49"/>
      <c r="AG432" s="49"/>
      <c r="AH432" s="49"/>
      <c r="AI432" s="49"/>
      <c r="AJ432" s="49"/>
      <c r="AK432" s="49"/>
      <c r="AL432" s="49"/>
      <c r="AM432" s="49"/>
      <c r="AN432" s="49"/>
      <c r="AO432" s="49"/>
    </row>
    <row r="433" spans="3:41" ht="12.75" customHeight="1">
      <c r="C433" s="49"/>
      <c r="D433" s="49"/>
      <c r="E433" s="49"/>
      <c r="F433" s="49"/>
      <c r="G433" s="49"/>
      <c r="H433" s="49"/>
      <c r="I433" s="49"/>
      <c r="J433" s="49"/>
      <c r="K433" s="49"/>
      <c r="L433" s="49"/>
      <c r="M433" s="49"/>
      <c r="S433" s="49"/>
      <c r="T433" s="49"/>
      <c r="U433" s="49"/>
      <c r="W433" s="49"/>
      <c r="X433" s="49"/>
      <c r="Y433" s="49"/>
      <c r="Z433" s="49"/>
      <c r="AA433" s="49"/>
      <c r="AB433" s="49"/>
      <c r="AC433" s="49"/>
      <c r="AD433" s="49"/>
      <c r="AE433" s="49"/>
      <c r="AF433" s="49"/>
      <c r="AG433" s="49"/>
      <c r="AH433" s="49"/>
      <c r="AI433" s="49"/>
      <c r="AJ433" s="49"/>
      <c r="AK433" s="49"/>
      <c r="AL433" s="49"/>
      <c r="AM433" s="49"/>
      <c r="AN433" s="49"/>
      <c r="AO433" s="49"/>
    </row>
    <row r="434" spans="3:41" ht="12.75" customHeight="1">
      <c r="C434" s="49"/>
      <c r="D434" s="49"/>
      <c r="E434" s="49"/>
      <c r="F434" s="49"/>
      <c r="G434" s="49"/>
      <c r="H434" s="49"/>
      <c r="I434" s="49"/>
      <c r="J434" s="49"/>
      <c r="K434" s="49"/>
      <c r="L434" s="49"/>
      <c r="M434" s="49"/>
      <c r="S434" s="49"/>
      <c r="T434" s="49"/>
      <c r="U434" s="49"/>
      <c r="W434" s="49"/>
      <c r="X434" s="49"/>
      <c r="Y434" s="49"/>
      <c r="Z434" s="49"/>
      <c r="AA434" s="49"/>
      <c r="AB434" s="49"/>
      <c r="AC434" s="49"/>
      <c r="AD434" s="49"/>
      <c r="AE434" s="49"/>
      <c r="AF434" s="49"/>
      <c r="AG434" s="49"/>
      <c r="AH434" s="49"/>
      <c r="AI434" s="49"/>
      <c r="AJ434" s="49"/>
      <c r="AK434" s="49"/>
      <c r="AL434" s="49"/>
      <c r="AM434" s="49"/>
      <c r="AN434" s="49"/>
      <c r="AO434" s="49"/>
    </row>
    <row r="435" spans="3:41" ht="12.75" customHeight="1">
      <c r="C435" s="49"/>
      <c r="D435" s="49"/>
      <c r="E435" s="49"/>
      <c r="F435" s="49"/>
      <c r="G435" s="49"/>
      <c r="H435" s="49"/>
      <c r="I435" s="49"/>
      <c r="J435" s="49"/>
      <c r="K435" s="49"/>
      <c r="L435" s="49"/>
      <c r="M435" s="49"/>
      <c r="S435" s="49"/>
      <c r="T435" s="49"/>
      <c r="U435" s="49"/>
      <c r="W435" s="49"/>
      <c r="X435" s="49"/>
      <c r="Y435" s="49"/>
      <c r="Z435" s="49"/>
      <c r="AA435" s="49"/>
      <c r="AB435" s="49"/>
      <c r="AC435" s="49"/>
      <c r="AD435" s="49"/>
      <c r="AE435" s="49"/>
      <c r="AF435" s="49"/>
      <c r="AG435" s="49"/>
      <c r="AH435" s="49"/>
      <c r="AI435" s="49"/>
      <c r="AJ435" s="49"/>
      <c r="AK435" s="49"/>
      <c r="AL435" s="49"/>
      <c r="AM435" s="49"/>
      <c r="AN435" s="49"/>
      <c r="AO435" s="49"/>
    </row>
    <row r="436" spans="3:41" ht="12.75" customHeight="1">
      <c r="C436" s="49"/>
      <c r="D436" s="49"/>
      <c r="E436" s="49"/>
      <c r="F436" s="49"/>
      <c r="G436" s="49"/>
      <c r="H436" s="49"/>
      <c r="I436" s="49"/>
      <c r="J436" s="49"/>
      <c r="K436" s="49"/>
      <c r="L436" s="49"/>
      <c r="M436" s="49"/>
      <c r="S436" s="49"/>
      <c r="T436" s="49"/>
      <c r="U436" s="49"/>
      <c r="W436" s="49"/>
      <c r="X436" s="49"/>
      <c r="Y436" s="49"/>
      <c r="Z436" s="49"/>
      <c r="AA436" s="49"/>
      <c r="AB436" s="49"/>
      <c r="AC436" s="49"/>
      <c r="AD436" s="49"/>
      <c r="AE436" s="49"/>
      <c r="AF436" s="49"/>
      <c r="AG436" s="49"/>
      <c r="AH436" s="49"/>
      <c r="AI436" s="49"/>
      <c r="AJ436" s="49"/>
      <c r="AK436" s="49"/>
      <c r="AL436" s="49"/>
      <c r="AM436" s="49"/>
      <c r="AN436" s="49"/>
      <c r="AO436" s="49"/>
    </row>
    <row r="437" spans="3:41" ht="12.75" customHeight="1">
      <c r="C437" s="49"/>
      <c r="D437" s="49"/>
      <c r="E437" s="49"/>
      <c r="F437" s="49"/>
      <c r="G437" s="49"/>
      <c r="H437" s="49"/>
      <c r="I437" s="49"/>
      <c r="J437" s="49"/>
      <c r="K437" s="49"/>
      <c r="L437" s="49"/>
      <c r="M437" s="49"/>
      <c r="S437" s="49"/>
      <c r="T437" s="49"/>
      <c r="U437" s="49"/>
      <c r="W437" s="49"/>
      <c r="X437" s="49"/>
      <c r="Y437" s="49"/>
      <c r="Z437" s="49"/>
      <c r="AA437" s="49"/>
      <c r="AB437" s="49"/>
      <c r="AC437" s="49"/>
      <c r="AD437" s="49"/>
      <c r="AE437" s="49"/>
      <c r="AF437" s="49"/>
      <c r="AG437" s="49"/>
      <c r="AH437" s="49"/>
      <c r="AI437" s="49"/>
      <c r="AJ437" s="49"/>
      <c r="AK437" s="49"/>
      <c r="AL437" s="49"/>
      <c r="AM437" s="49"/>
      <c r="AN437" s="49"/>
      <c r="AO437" s="49"/>
    </row>
    <row r="438" spans="3:41" ht="12.75" customHeight="1">
      <c r="C438" s="49"/>
      <c r="D438" s="49"/>
      <c r="E438" s="49"/>
      <c r="F438" s="49"/>
      <c r="G438" s="49"/>
      <c r="H438" s="49"/>
      <c r="I438" s="49"/>
      <c r="J438" s="49"/>
      <c r="K438" s="49"/>
      <c r="L438" s="49"/>
      <c r="M438" s="49"/>
      <c r="S438" s="49"/>
      <c r="T438" s="49"/>
      <c r="U438" s="49"/>
      <c r="W438" s="49"/>
      <c r="X438" s="49"/>
      <c r="Y438" s="49"/>
      <c r="Z438" s="49"/>
      <c r="AA438" s="49"/>
      <c r="AB438" s="49"/>
      <c r="AC438" s="49"/>
      <c r="AD438" s="49"/>
      <c r="AE438" s="49"/>
      <c r="AF438" s="49"/>
      <c r="AG438" s="49"/>
      <c r="AH438" s="49"/>
      <c r="AI438" s="49"/>
      <c r="AJ438" s="49"/>
      <c r="AK438" s="49"/>
      <c r="AL438" s="49"/>
      <c r="AM438" s="49"/>
      <c r="AN438" s="49"/>
      <c r="AO438" s="49"/>
    </row>
    <row r="439" spans="3:41" ht="12.75" customHeight="1">
      <c r="C439" s="49"/>
      <c r="D439" s="49"/>
      <c r="E439" s="49"/>
      <c r="F439" s="49"/>
      <c r="G439" s="49"/>
      <c r="H439" s="49"/>
      <c r="I439" s="49"/>
      <c r="J439" s="49"/>
      <c r="K439" s="49"/>
      <c r="L439" s="49"/>
      <c r="M439" s="49"/>
      <c r="S439" s="49"/>
      <c r="T439" s="49"/>
      <c r="U439" s="49"/>
      <c r="W439" s="49"/>
      <c r="X439" s="49"/>
      <c r="Y439" s="49"/>
      <c r="Z439" s="49"/>
      <c r="AA439" s="49"/>
      <c r="AB439" s="49"/>
      <c r="AC439" s="49"/>
      <c r="AD439" s="49"/>
      <c r="AE439" s="49"/>
      <c r="AF439" s="49"/>
      <c r="AG439" s="49"/>
      <c r="AH439" s="49"/>
      <c r="AI439" s="49"/>
      <c r="AJ439" s="49"/>
      <c r="AK439" s="49"/>
      <c r="AL439" s="49"/>
      <c r="AM439" s="49"/>
      <c r="AN439" s="49"/>
      <c r="AO439" s="49"/>
    </row>
    <row r="440" spans="3:41" ht="12.75" customHeight="1">
      <c r="C440" s="49"/>
      <c r="D440" s="49"/>
      <c r="E440" s="49"/>
      <c r="F440" s="49"/>
      <c r="G440" s="49"/>
      <c r="H440" s="49"/>
      <c r="I440" s="49"/>
      <c r="J440" s="49"/>
      <c r="K440" s="49"/>
      <c r="L440" s="49"/>
      <c r="M440" s="49"/>
      <c r="S440" s="49"/>
      <c r="T440" s="49"/>
      <c r="U440" s="49"/>
      <c r="W440" s="49"/>
      <c r="X440" s="49"/>
      <c r="Y440" s="49"/>
      <c r="Z440" s="49"/>
      <c r="AA440" s="49"/>
      <c r="AB440" s="49"/>
      <c r="AC440" s="49"/>
      <c r="AD440" s="49"/>
      <c r="AE440" s="49"/>
      <c r="AF440" s="49"/>
      <c r="AG440" s="49"/>
      <c r="AH440" s="49"/>
      <c r="AI440" s="49"/>
      <c r="AJ440" s="49"/>
      <c r="AK440" s="49"/>
      <c r="AL440" s="49"/>
      <c r="AM440" s="49"/>
      <c r="AN440" s="49"/>
      <c r="AO440" s="49"/>
    </row>
    <row r="441" spans="3:41" ht="12.75" customHeight="1">
      <c r="C441" s="49"/>
      <c r="D441" s="49"/>
      <c r="E441" s="49"/>
      <c r="F441" s="49"/>
      <c r="G441" s="49"/>
      <c r="H441" s="49"/>
      <c r="I441" s="49"/>
      <c r="J441" s="49"/>
      <c r="K441" s="49"/>
      <c r="L441" s="49"/>
      <c r="M441" s="49"/>
      <c r="S441" s="49"/>
      <c r="T441" s="49"/>
      <c r="U441" s="49"/>
      <c r="W441" s="49"/>
      <c r="X441" s="49"/>
      <c r="Y441" s="49"/>
      <c r="Z441" s="49"/>
      <c r="AA441" s="49"/>
      <c r="AB441" s="49"/>
      <c r="AC441" s="49"/>
      <c r="AD441" s="49"/>
      <c r="AE441" s="49"/>
      <c r="AF441" s="49"/>
      <c r="AG441" s="49"/>
      <c r="AH441" s="49"/>
      <c r="AI441" s="49"/>
      <c r="AJ441" s="49"/>
      <c r="AK441" s="49"/>
      <c r="AL441" s="49"/>
      <c r="AM441" s="49"/>
      <c r="AN441" s="49"/>
      <c r="AO441" s="49"/>
    </row>
    <row r="442" spans="3:41" ht="12.75" customHeight="1">
      <c r="C442" s="49"/>
      <c r="D442" s="49"/>
      <c r="E442" s="49"/>
      <c r="F442" s="49"/>
      <c r="G442" s="49"/>
      <c r="H442" s="49"/>
      <c r="I442" s="49"/>
      <c r="J442" s="49"/>
      <c r="K442" s="49"/>
      <c r="L442" s="49"/>
      <c r="M442" s="49"/>
      <c r="S442" s="49"/>
      <c r="T442" s="49"/>
      <c r="U442" s="49"/>
      <c r="W442" s="49"/>
      <c r="X442" s="49"/>
      <c r="Y442" s="49"/>
      <c r="Z442" s="49"/>
      <c r="AA442" s="49"/>
      <c r="AB442" s="49"/>
      <c r="AC442" s="49"/>
      <c r="AD442" s="49"/>
      <c r="AE442" s="49"/>
      <c r="AF442" s="49"/>
      <c r="AG442" s="49"/>
      <c r="AH442" s="49"/>
      <c r="AI442" s="49"/>
      <c r="AJ442" s="49"/>
      <c r="AK442" s="49"/>
      <c r="AL442" s="49"/>
      <c r="AM442" s="49"/>
      <c r="AN442" s="49"/>
      <c r="AO442" s="49"/>
    </row>
    <row r="443" spans="3:41" ht="12.75" customHeight="1">
      <c r="C443" s="49"/>
      <c r="D443" s="49"/>
      <c r="E443" s="49"/>
      <c r="F443" s="49"/>
      <c r="G443" s="49"/>
      <c r="H443" s="49"/>
      <c r="I443" s="49"/>
      <c r="J443" s="49"/>
      <c r="K443" s="49"/>
      <c r="L443" s="49"/>
      <c r="M443" s="49"/>
      <c r="S443" s="49"/>
      <c r="T443" s="49"/>
      <c r="U443" s="49"/>
      <c r="W443" s="49"/>
      <c r="X443" s="49"/>
      <c r="Y443" s="49"/>
      <c r="Z443" s="49"/>
      <c r="AA443" s="49"/>
      <c r="AB443" s="49"/>
      <c r="AC443" s="49"/>
      <c r="AD443" s="49"/>
      <c r="AE443" s="49"/>
      <c r="AF443" s="49"/>
      <c r="AG443" s="49"/>
      <c r="AH443" s="49"/>
      <c r="AI443" s="49"/>
      <c r="AJ443" s="49"/>
      <c r="AK443" s="49"/>
      <c r="AL443" s="49"/>
      <c r="AM443" s="49"/>
      <c r="AN443" s="49"/>
      <c r="AO443" s="49"/>
    </row>
    <row r="444" spans="3:41" ht="12.75" customHeight="1">
      <c r="C444" s="49"/>
      <c r="D444" s="49"/>
      <c r="E444" s="49"/>
      <c r="F444" s="49"/>
      <c r="G444" s="49"/>
      <c r="H444" s="49"/>
      <c r="I444" s="49"/>
      <c r="J444" s="49"/>
      <c r="K444" s="49"/>
      <c r="L444" s="49"/>
      <c r="M444" s="49"/>
      <c r="S444" s="49"/>
      <c r="T444" s="49"/>
      <c r="U444" s="49"/>
      <c r="W444" s="49"/>
      <c r="X444" s="49"/>
      <c r="Y444" s="49"/>
      <c r="Z444" s="49"/>
      <c r="AA444" s="49"/>
      <c r="AB444" s="49"/>
      <c r="AC444" s="49"/>
      <c r="AD444" s="49"/>
      <c r="AE444" s="49"/>
      <c r="AF444" s="49"/>
      <c r="AG444" s="49"/>
      <c r="AH444" s="49"/>
      <c r="AI444" s="49"/>
      <c r="AJ444" s="49"/>
      <c r="AK444" s="49"/>
      <c r="AL444" s="49"/>
      <c r="AM444" s="49"/>
      <c r="AN444" s="49"/>
      <c r="AO444" s="49"/>
    </row>
    <row r="445" spans="3:41" ht="12.75" customHeight="1">
      <c r="C445" s="49"/>
      <c r="D445" s="49"/>
      <c r="E445" s="49"/>
      <c r="F445" s="49"/>
      <c r="G445" s="49"/>
      <c r="H445" s="49"/>
      <c r="I445" s="49"/>
      <c r="J445" s="49"/>
      <c r="K445" s="49"/>
      <c r="L445" s="49"/>
      <c r="M445" s="49"/>
      <c r="S445" s="49"/>
      <c r="T445" s="49"/>
      <c r="U445" s="49"/>
      <c r="W445" s="49"/>
      <c r="X445" s="49"/>
      <c r="Y445" s="49"/>
      <c r="Z445" s="49"/>
      <c r="AA445" s="49"/>
      <c r="AB445" s="49"/>
      <c r="AC445" s="49"/>
      <c r="AD445" s="49"/>
      <c r="AE445" s="49"/>
      <c r="AF445" s="49"/>
      <c r="AG445" s="49"/>
      <c r="AH445" s="49"/>
      <c r="AI445" s="49"/>
      <c r="AJ445" s="49"/>
      <c r="AK445" s="49"/>
      <c r="AL445" s="49"/>
      <c r="AM445" s="49"/>
      <c r="AN445" s="49"/>
      <c r="AO445" s="49"/>
    </row>
    <row r="446" spans="3:41" ht="12.75" customHeight="1">
      <c r="C446" s="49"/>
      <c r="D446" s="49"/>
      <c r="E446" s="49"/>
      <c r="F446" s="49"/>
      <c r="G446" s="49"/>
      <c r="H446" s="49"/>
      <c r="I446" s="49"/>
      <c r="J446" s="49"/>
      <c r="K446" s="49"/>
      <c r="L446" s="49"/>
      <c r="M446" s="49"/>
      <c r="S446" s="49"/>
      <c r="T446" s="49"/>
      <c r="U446" s="49"/>
      <c r="W446" s="49"/>
      <c r="X446" s="49"/>
      <c r="Y446" s="49"/>
      <c r="Z446" s="49"/>
      <c r="AA446" s="49"/>
      <c r="AB446" s="49"/>
      <c r="AC446" s="49"/>
      <c r="AD446" s="49"/>
      <c r="AE446" s="49"/>
      <c r="AF446" s="49"/>
      <c r="AG446" s="49"/>
      <c r="AH446" s="49"/>
      <c r="AI446" s="49"/>
      <c r="AJ446" s="49"/>
      <c r="AK446" s="49"/>
      <c r="AL446" s="49"/>
      <c r="AM446" s="49"/>
      <c r="AN446" s="49"/>
      <c r="AO446" s="49"/>
    </row>
    <row r="447" spans="3:41" ht="12.75" customHeight="1">
      <c r="C447" s="49"/>
      <c r="D447" s="49"/>
      <c r="E447" s="49"/>
      <c r="F447" s="49"/>
      <c r="G447" s="49"/>
      <c r="H447" s="49"/>
      <c r="I447" s="49"/>
      <c r="J447" s="49"/>
      <c r="K447" s="49"/>
      <c r="L447" s="49"/>
      <c r="M447" s="49"/>
      <c r="S447" s="49"/>
      <c r="T447" s="49"/>
      <c r="U447" s="49"/>
      <c r="W447" s="49"/>
      <c r="X447" s="49"/>
      <c r="Y447" s="49"/>
      <c r="Z447" s="49"/>
      <c r="AA447" s="49"/>
      <c r="AB447" s="49"/>
      <c r="AC447" s="49"/>
      <c r="AD447" s="49"/>
      <c r="AE447" s="49"/>
      <c r="AF447" s="49"/>
      <c r="AG447" s="49"/>
      <c r="AH447" s="49"/>
      <c r="AI447" s="49"/>
      <c r="AJ447" s="49"/>
      <c r="AK447" s="49"/>
      <c r="AL447" s="49"/>
      <c r="AM447" s="49"/>
      <c r="AN447" s="49"/>
      <c r="AO447" s="49"/>
    </row>
    <row r="448" spans="3:41" ht="12.75" customHeight="1">
      <c r="C448" s="49"/>
      <c r="D448" s="49"/>
      <c r="E448" s="49"/>
      <c r="F448" s="49"/>
      <c r="G448" s="49"/>
      <c r="H448" s="49"/>
      <c r="I448" s="49"/>
      <c r="J448" s="49"/>
      <c r="K448" s="49"/>
      <c r="L448" s="49"/>
      <c r="M448" s="49"/>
      <c r="S448" s="49"/>
      <c r="T448" s="49"/>
      <c r="U448" s="49"/>
      <c r="W448" s="49"/>
      <c r="X448" s="49"/>
      <c r="Y448" s="49"/>
      <c r="Z448" s="49"/>
      <c r="AA448" s="49"/>
      <c r="AB448" s="49"/>
      <c r="AC448" s="49"/>
      <c r="AD448" s="49"/>
      <c r="AE448" s="49"/>
      <c r="AF448" s="49"/>
      <c r="AG448" s="49"/>
      <c r="AH448" s="49"/>
      <c r="AI448" s="49"/>
      <c r="AJ448" s="49"/>
      <c r="AK448" s="49"/>
      <c r="AL448" s="49"/>
      <c r="AM448" s="49"/>
      <c r="AN448" s="49"/>
      <c r="AO448" s="49"/>
    </row>
    <row r="449" spans="3:41" ht="12.75" customHeight="1">
      <c r="C449" s="49"/>
      <c r="D449" s="49"/>
      <c r="E449" s="49"/>
      <c r="F449" s="49"/>
      <c r="G449" s="49"/>
      <c r="H449" s="49"/>
      <c r="I449" s="49"/>
      <c r="J449" s="49"/>
      <c r="K449" s="49"/>
      <c r="L449" s="49"/>
      <c r="M449" s="49"/>
      <c r="S449" s="49"/>
      <c r="T449" s="49"/>
      <c r="U449" s="49"/>
      <c r="W449" s="49"/>
      <c r="X449" s="49"/>
      <c r="Y449" s="49"/>
      <c r="Z449" s="49"/>
      <c r="AA449" s="49"/>
      <c r="AB449" s="49"/>
      <c r="AC449" s="49"/>
      <c r="AD449" s="49"/>
      <c r="AE449" s="49"/>
      <c r="AF449" s="49"/>
      <c r="AG449" s="49"/>
      <c r="AH449" s="49"/>
      <c r="AI449" s="49"/>
      <c r="AJ449" s="49"/>
      <c r="AK449" s="49"/>
      <c r="AL449" s="49"/>
      <c r="AM449" s="49"/>
      <c r="AN449" s="49"/>
      <c r="AO449" s="49"/>
    </row>
    <row r="450" spans="3:41" ht="12.75" customHeight="1">
      <c r="C450" s="49"/>
      <c r="D450" s="49"/>
      <c r="E450" s="49"/>
      <c r="F450" s="49"/>
      <c r="G450" s="49"/>
      <c r="H450" s="49"/>
      <c r="I450" s="49"/>
      <c r="J450" s="49"/>
      <c r="K450" s="49"/>
      <c r="L450" s="49"/>
      <c r="M450" s="49"/>
      <c r="S450" s="49"/>
      <c r="T450" s="49"/>
      <c r="U450" s="49"/>
      <c r="W450" s="49"/>
      <c r="X450" s="49"/>
      <c r="Y450" s="49"/>
      <c r="Z450" s="49"/>
      <c r="AA450" s="49"/>
      <c r="AB450" s="49"/>
      <c r="AC450" s="49"/>
      <c r="AD450" s="49"/>
      <c r="AE450" s="49"/>
      <c r="AF450" s="49"/>
      <c r="AG450" s="49"/>
      <c r="AH450" s="49"/>
      <c r="AI450" s="49"/>
      <c r="AJ450" s="49"/>
      <c r="AK450" s="49"/>
      <c r="AL450" s="49"/>
      <c r="AM450" s="49"/>
      <c r="AN450" s="49"/>
      <c r="AO450" s="49"/>
    </row>
    <row r="451" spans="3:41" ht="12.75" customHeight="1">
      <c r="C451" s="49"/>
      <c r="D451" s="49"/>
      <c r="E451" s="49"/>
      <c r="F451" s="49"/>
      <c r="G451" s="49"/>
      <c r="H451" s="49"/>
      <c r="I451" s="49"/>
      <c r="J451" s="49"/>
      <c r="K451" s="49"/>
      <c r="L451" s="49"/>
      <c r="M451" s="49"/>
      <c r="S451" s="49"/>
      <c r="T451" s="49"/>
      <c r="U451" s="49"/>
      <c r="W451" s="49"/>
      <c r="X451" s="49"/>
      <c r="Y451" s="49"/>
      <c r="Z451" s="49"/>
      <c r="AA451" s="49"/>
      <c r="AB451" s="49"/>
      <c r="AC451" s="49"/>
      <c r="AD451" s="49"/>
      <c r="AE451" s="49"/>
      <c r="AF451" s="49"/>
      <c r="AG451" s="49"/>
      <c r="AH451" s="49"/>
      <c r="AI451" s="49"/>
      <c r="AJ451" s="49"/>
      <c r="AK451" s="49"/>
      <c r="AL451" s="49"/>
      <c r="AM451" s="49"/>
      <c r="AN451" s="49"/>
      <c r="AO451" s="49"/>
    </row>
    <row r="452" spans="3:41" ht="12.75" customHeight="1">
      <c r="C452" s="49"/>
      <c r="D452" s="49"/>
      <c r="E452" s="49"/>
      <c r="F452" s="49"/>
      <c r="G452" s="49"/>
      <c r="H452" s="49"/>
      <c r="I452" s="49"/>
      <c r="J452" s="49"/>
      <c r="K452" s="49"/>
      <c r="L452" s="49"/>
      <c r="M452" s="49"/>
      <c r="S452" s="49"/>
      <c r="T452" s="49"/>
      <c r="U452" s="49"/>
      <c r="W452" s="49"/>
      <c r="X452" s="49"/>
      <c r="Y452" s="49"/>
      <c r="Z452" s="49"/>
      <c r="AA452" s="49"/>
      <c r="AB452" s="49"/>
      <c r="AC452" s="49"/>
      <c r="AD452" s="49"/>
      <c r="AE452" s="49"/>
      <c r="AF452" s="49"/>
      <c r="AG452" s="49"/>
      <c r="AH452" s="49"/>
      <c r="AI452" s="49"/>
      <c r="AJ452" s="49"/>
      <c r="AK452" s="49"/>
      <c r="AL452" s="49"/>
      <c r="AM452" s="49"/>
      <c r="AN452" s="49"/>
      <c r="AO452" s="49"/>
    </row>
    <row r="453" spans="3:41" ht="12.75" customHeight="1">
      <c r="C453" s="49"/>
      <c r="D453" s="49"/>
      <c r="E453" s="49"/>
      <c r="F453" s="49"/>
      <c r="G453" s="49"/>
      <c r="H453" s="49"/>
      <c r="I453" s="49"/>
      <c r="J453" s="49"/>
      <c r="K453" s="49"/>
      <c r="L453" s="49"/>
      <c r="M453" s="49"/>
      <c r="S453" s="49"/>
      <c r="T453" s="49"/>
      <c r="U453" s="49"/>
      <c r="W453" s="49"/>
      <c r="X453" s="49"/>
      <c r="Y453" s="49"/>
      <c r="Z453" s="49"/>
      <c r="AA453" s="49"/>
      <c r="AB453" s="49"/>
      <c r="AC453" s="49"/>
      <c r="AD453" s="49"/>
      <c r="AE453" s="49"/>
      <c r="AF453" s="49"/>
      <c r="AG453" s="49"/>
      <c r="AH453" s="49"/>
      <c r="AI453" s="49"/>
      <c r="AJ453" s="49"/>
      <c r="AK453" s="49"/>
      <c r="AL453" s="49"/>
      <c r="AM453" s="49"/>
      <c r="AN453" s="49"/>
      <c r="AO453" s="49"/>
    </row>
    <row r="454" spans="3:41" ht="12.75" customHeight="1">
      <c r="C454" s="49"/>
      <c r="D454" s="49"/>
      <c r="E454" s="49"/>
      <c r="F454" s="49"/>
      <c r="G454" s="49"/>
      <c r="H454" s="49"/>
      <c r="I454" s="49"/>
      <c r="J454" s="49"/>
      <c r="K454" s="49"/>
      <c r="L454" s="49"/>
      <c r="M454" s="49"/>
      <c r="S454" s="49"/>
      <c r="T454" s="49"/>
      <c r="U454" s="49"/>
      <c r="W454" s="49"/>
      <c r="X454" s="49"/>
      <c r="Y454" s="49"/>
      <c r="Z454" s="49"/>
      <c r="AA454" s="49"/>
      <c r="AB454" s="49"/>
      <c r="AC454" s="49"/>
      <c r="AD454" s="49"/>
      <c r="AE454" s="49"/>
      <c r="AF454" s="49"/>
      <c r="AG454" s="49"/>
      <c r="AH454" s="49"/>
      <c r="AI454" s="49"/>
      <c r="AJ454" s="49"/>
      <c r="AK454" s="49"/>
      <c r="AL454" s="49"/>
      <c r="AM454" s="49"/>
      <c r="AN454" s="49"/>
      <c r="AO454" s="49"/>
    </row>
    <row r="455" spans="3:41" ht="12.75" customHeight="1">
      <c r="C455" s="49"/>
      <c r="D455" s="49"/>
      <c r="E455" s="49"/>
      <c r="F455" s="49"/>
      <c r="G455" s="49"/>
      <c r="H455" s="49"/>
      <c r="I455" s="49"/>
      <c r="J455" s="49"/>
      <c r="K455" s="49"/>
      <c r="L455" s="49"/>
      <c r="M455" s="49"/>
      <c r="S455" s="49"/>
      <c r="T455" s="49"/>
      <c r="U455" s="49"/>
      <c r="W455" s="49"/>
      <c r="X455" s="49"/>
      <c r="Y455" s="49"/>
      <c r="Z455" s="49"/>
      <c r="AA455" s="49"/>
      <c r="AB455" s="49"/>
      <c r="AC455" s="49"/>
      <c r="AD455" s="49"/>
      <c r="AE455" s="49"/>
      <c r="AF455" s="49"/>
      <c r="AG455" s="49"/>
      <c r="AH455" s="49"/>
      <c r="AI455" s="49"/>
      <c r="AJ455" s="49"/>
      <c r="AK455" s="49"/>
      <c r="AL455" s="49"/>
      <c r="AM455" s="49"/>
      <c r="AN455" s="49"/>
      <c r="AO455" s="49"/>
    </row>
    <row r="456" spans="3:41" ht="12.75" customHeight="1">
      <c r="C456" s="49"/>
      <c r="D456" s="49"/>
      <c r="E456" s="49"/>
      <c r="F456" s="49"/>
      <c r="G456" s="49"/>
      <c r="H456" s="49"/>
      <c r="I456" s="49"/>
      <c r="J456" s="49"/>
      <c r="K456" s="49"/>
      <c r="L456" s="49"/>
      <c r="M456" s="49"/>
      <c r="S456" s="49"/>
      <c r="T456" s="49"/>
      <c r="U456" s="49"/>
      <c r="W456" s="49"/>
      <c r="X456" s="49"/>
      <c r="Y456" s="49"/>
      <c r="Z456" s="49"/>
      <c r="AA456" s="49"/>
      <c r="AB456" s="49"/>
      <c r="AC456" s="49"/>
      <c r="AD456" s="49"/>
      <c r="AE456" s="49"/>
      <c r="AF456" s="49"/>
      <c r="AG456" s="49"/>
      <c r="AH456" s="49"/>
      <c r="AI456" s="49"/>
      <c r="AJ456" s="49"/>
      <c r="AK456" s="49"/>
      <c r="AL456" s="49"/>
      <c r="AM456" s="49"/>
      <c r="AN456" s="49"/>
      <c r="AO456" s="49"/>
    </row>
    <row r="457" spans="3:41" ht="12.75" customHeight="1">
      <c r="C457" s="49"/>
      <c r="D457" s="49"/>
      <c r="E457" s="49"/>
      <c r="F457" s="49"/>
      <c r="G457" s="49"/>
      <c r="H457" s="49"/>
      <c r="I457" s="49"/>
      <c r="J457" s="49"/>
      <c r="K457" s="49"/>
      <c r="L457" s="49"/>
      <c r="M457" s="49"/>
      <c r="S457" s="49"/>
      <c r="T457" s="49"/>
      <c r="U457" s="49"/>
      <c r="W457" s="49"/>
      <c r="X457" s="49"/>
      <c r="Y457" s="49"/>
      <c r="Z457" s="49"/>
      <c r="AA457" s="49"/>
      <c r="AB457" s="49"/>
      <c r="AC457" s="49"/>
      <c r="AD457" s="49"/>
      <c r="AE457" s="49"/>
      <c r="AF457" s="49"/>
      <c r="AG457" s="49"/>
      <c r="AH457" s="49"/>
      <c r="AI457" s="49"/>
      <c r="AJ457" s="49"/>
      <c r="AK457" s="49"/>
      <c r="AL457" s="49"/>
      <c r="AM457" s="49"/>
      <c r="AN457" s="49"/>
      <c r="AO457" s="49"/>
    </row>
    <row r="458" spans="3:41" ht="12.75" customHeight="1">
      <c r="C458" s="49"/>
      <c r="D458" s="49"/>
      <c r="E458" s="49"/>
      <c r="F458" s="49"/>
      <c r="G458" s="49"/>
      <c r="H458" s="49"/>
      <c r="I458" s="49"/>
      <c r="J458" s="49"/>
      <c r="K458" s="49"/>
      <c r="L458" s="49"/>
      <c r="M458" s="49"/>
      <c r="S458" s="49"/>
      <c r="T458" s="49"/>
      <c r="U458" s="49"/>
      <c r="W458" s="49"/>
      <c r="X458" s="49"/>
      <c r="Y458" s="49"/>
      <c r="Z458" s="49"/>
      <c r="AA458" s="49"/>
      <c r="AB458" s="49"/>
      <c r="AC458" s="49"/>
      <c r="AD458" s="49"/>
      <c r="AE458" s="49"/>
      <c r="AF458" s="49"/>
      <c r="AG458" s="49"/>
      <c r="AH458" s="49"/>
      <c r="AI458" s="49"/>
      <c r="AJ458" s="49"/>
      <c r="AK458" s="49"/>
      <c r="AL458" s="49"/>
      <c r="AM458" s="49"/>
      <c r="AN458" s="49"/>
      <c r="AO458" s="49"/>
    </row>
    <row r="459" spans="3:41" ht="12.75" customHeight="1">
      <c r="C459" s="49"/>
      <c r="D459" s="49"/>
      <c r="E459" s="49"/>
      <c r="F459" s="49"/>
      <c r="G459" s="49"/>
      <c r="H459" s="49"/>
      <c r="I459" s="49"/>
      <c r="J459" s="49"/>
      <c r="K459" s="49"/>
      <c r="L459" s="49"/>
      <c r="M459" s="49"/>
      <c r="S459" s="49"/>
      <c r="T459" s="49"/>
      <c r="U459" s="49"/>
      <c r="W459" s="49"/>
      <c r="X459" s="49"/>
      <c r="Y459" s="49"/>
      <c r="Z459" s="49"/>
      <c r="AA459" s="49"/>
      <c r="AB459" s="49"/>
      <c r="AC459" s="49"/>
      <c r="AD459" s="49"/>
      <c r="AE459" s="49"/>
      <c r="AF459" s="49"/>
      <c r="AG459" s="49"/>
      <c r="AH459" s="49"/>
      <c r="AI459" s="49"/>
      <c r="AJ459" s="49"/>
      <c r="AK459" s="49"/>
      <c r="AL459" s="49"/>
      <c r="AM459" s="49"/>
      <c r="AN459" s="49"/>
      <c r="AO459" s="49"/>
    </row>
    <row r="460" spans="3:41" ht="12.75" customHeight="1">
      <c r="C460" s="49"/>
      <c r="D460" s="49"/>
      <c r="E460" s="49"/>
      <c r="F460" s="49"/>
      <c r="G460" s="49"/>
      <c r="H460" s="49"/>
      <c r="I460" s="49"/>
      <c r="J460" s="49"/>
      <c r="K460" s="49"/>
      <c r="L460" s="49"/>
      <c r="M460" s="49"/>
      <c r="S460" s="49"/>
      <c r="T460" s="49"/>
      <c r="U460" s="49"/>
      <c r="W460" s="49"/>
      <c r="X460" s="49"/>
      <c r="Y460" s="49"/>
      <c r="Z460" s="49"/>
      <c r="AA460" s="49"/>
      <c r="AB460" s="49"/>
      <c r="AC460" s="49"/>
      <c r="AD460" s="49"/>
      <c r="AE460" s="49"/>
      <c r="AF460" s="49"/>
      <c r="AG460" s="49"/>
      <c r="AH460" s="49"/>
      <c r="AI460" s="49"/>
      <c r="AJ460" s="49"/>
      <c r="AK460" s="49"/>
      <c r="AL460" s="49"/>
      <c r="AM460" s="49"/>
      <c r="AN460" s="49"/>
      <c r="AO460" s="49"/>
    </row>
    <row r="461" spans="3:41" ht="12.75" customHeight="1">
      <c r="C461" s="49"/>
      <c r="D461" s="49"/>
      <c r="E461" s="49"/>
      <c r="F461" s="49"/>
      <c r="G461" s="49"/>
      <c r="H461" s="49"/>
      <c r="I461" s="49"/>
      <c r="J461" s="49"/>
      <c r="K461" s="49"/>
      <c r="L461" s="49"/>
      <c r="M461" s="49"/>
      <c r="S461" s="49"/>
      <c r="T461" s="49"/>
      <c r="U461" s="49"/>
      <c r="W461" s="49"/>
      <c r="X461" s="49"/>
      <c r="Y461" s="49"/>
      <c r="Z461" s="49"/>
      <c r="AA461" s="49"/>
      <c r="AB461" s="49"/>
      <c r="AC461" s="49"/>
      <c r="AD461" s="49"/>
      <c r="AE461" s="49"/>
      <c r="AF461" s="49"/>
      <c r="AG461" s="49"/>
      <c r="AH461" s="49"/>
      <c r="AI461" s="49"/>
      <c r="AJ461" s="49"/>
      <c r="AK461" s="49"/>
      <c r="AL461" s="49"/>
      <c r="AM461" s="49"/>
      <c r="AN461" s="49"/>
      <c r="AO461" s="49"/>
    </row>
    <row r="462" spans="3:41" ht="12.75" customHeight="1">
      <c r="C462" s="49"/>
      <c r="D462" s="49"/>
      <c r="E462" s="49"/>
      <c r="F462" s="49"/>
      <c r="G462" s="49"/>
      <c r="H462" s="49"/>
      <c r="I462" s="49"/>
      <c r="J462" s="49"/>
      <c r="K462" s="49"/>
      <c r="L462" s="49"/>
      <c r="M462" s="49"/>
      <c r="S462" s="49"/>
      <c r="T462" s="49"/>
      <c r="U462" s="49"/>
      <c r="W462" s="49"/>
      <c r="X462" s="49"/>
      <c r="Y462" s="49"/>
      <c r="Z462" s="49"/>
      <c r="AA462" s="49"/>
      <c r="AB462" s="49"/>
      <c r="AC462" s="49"/>
      <c r="AD462" s="49"/>
      <c r="AE462" s="49"/>
      <c r="AF462" s="49"/>
      <c r="AG462" s="49"/>
      <c r="AH462" s="49"/>
      <c r="AI462" s="49"/>
      <c r="AJ462" s="49"/>
      <c r="AK462" s="49"/>
      <c r="AL462" s="49"/>
      <c r="AM462" s="49"/>
      <c r="AN462" s="49"/>
      <c r="AO462" s="49"/>
    </row>
    <row r="463" spans="3:41" ht="12.75" customHeight="1">
      <c r="C463" s="49"/>
      <c r="D463" s="49"/>
      <c r="E463" s="49"/>
      <c r="F463" s="49"/>
      <c r="G463" s="49"/>
      <c r="H463" s="49"/>
      <c r="I463" s="49"/>
      <c r="J463" s="49"/>
      <c r="K463" s="49"/>
      <c r="L463" s="49"/>
      <c r="M463" s="49"/>
      <c r="S463" s="49"/>
      <c r="T463" s="49"/>
      <c r="U463" s="49"/>
      <c r="W463" s="49"/>
      <c r="X463" s="49"/>
      <c r="Y463" s="49"/>
      <c r="Z463" s="49"/>
      <c r="AA463" s="49"/>
      <c r="AB463" s="49"/>
      <c r="AC463" s="49"/>
      <c r="AD463" s="49"/>
      <c r="AE463" s="49"/>
      <c r="AF463" s="49"/>
      <c r="AG463" s="49"/>
      <c r="AH463" s="49"/>
      <c r="AI463" s="49"/>
      <c r="AJ463" s="49"/>
      <c r="AK463" s="49"/>
      <c r="AL463" s="49"/>
      <c r="AM463" s="49"/>
      <c r="AN463" s="49"/>
      <c r="AO463" s="49"/>
    </row>
    <row r="464" spans="3:41" ht="12.75" customHeight="1">
      <c r="C464" s="49"/>
      <c r="D464" s="49"/>
      <c r="E464" s="49"/>
      <c r="F464" s="49"/>
      <c r="G464" s="49"/>
      <c r="H464" s="49"/>
      <c r="I464" s="49"/>
      <c r="J464" s="49"/>
      <c r="K464" s="49"/>
      <c r="L464" s="49"/>
      <c r="M464" s="49"/>
      <c r="S464" s="49"/>
      <c r="T464" s="49"/>
      <c r="U464" s="49"/>
      <c r="W464" s="49"/>
      <c r="X464" s="49"/>
      <c r="Y464" s="49"/>
      <c r="Z464" s="49"/>
      <c r="AA464" s="49"/>
      <c r="AB464" s="49"/>
      <c r="AC464" s="49"/>
      <c r="AD464" s="49"/>
      <c r="AE464" s="49"/>
      <c r="AF464" s="49"/>
      <c r="AG464" s="49"/>
      <c r="AH464" s="49"/>
      <c r="AI464" s="49"/>
      <c r="AJ464" s="49"/>
      <c r="AK464" s="49"/>
      <c r="AL464" s="49"/>
      <c r="AM464" s="49"/>
      <c r="AN464" s="49"/>
      <c r="AO464" s="49"/>
    </row>
    <row r="465" spans="3:41" ht="12.75" customHeight="1">
      <c r="C465" s="49"/>
      <c r="D465" s="49"/>
      <c r="E465" s="49"/>
      <c r="F465" s="49"/>
      <c r="G465" s="49"/>
      <c r="H465" s="49"/>
      <c r="I465" s="49"/>
      <c r="J465" s="49"/>
      <c r="K465" s="49"/>
      <c r="L465" s="49"/>
      <c r="M465" s="49"/>
      <c r="S465" s="49"/>
      <c r="T465" s="49"/>
      <c r="U465" s="49"/>
      <c r="W465" s="49"/>
      <c r="X465" s="49"/>
      <c r="Y465" s="49"/>
      <c r="Z465" s="49"/>
      <c r="AA465" s="49"/>
      <c r="AB465" s="49"/>
      <c r="AC465" s="49"/>
      <c r="AD465" s="49"/>
      <c r="AE465" s="49"/>
      <c r="AF465" s="49"/>
      <c r="AG465" s="49"/>
      <c r="AH465" s="49"/>
      <c r="AI465" s="49"/>
      <c r="AJ465" s="49"/>
      <c r="AK465" s="49"/>
      <c r="AL465" s="49"/>
      <c r="AM465" s="49"/>
      <c r="AN465" s="49"/>
      <c r="AO465" s="49"/>
    </row>
    <row r="466" spans="3:41" ht="12.75" customHeight="1">
      <c r="C466" s="49"/>
      <c r="D466" s="49"/>
      <c r="E466" s="49"/>
      <c r="F466" s="49"/>
      <c r="G466" s="49"/>
      <c r="H466" s="49"/>
      <c r="I466" s="49"/>
      <c r="J466" s="49"/>
      <c r="K466" s="49"/>
      <c r="L466" s="49"/>
      <c r="M466" s="49"/>
      <c r="S466" s="49"/>
      <c r="T466" s="49"/>
      <c r="U466" s="49"/>
      <c r="W466" s="49"/>
      <c r="X466" s="49"/>
      <c r="Y466" s="49"/>
      <c r="Z466" s="49"/>
      <c r="AA466" s="49"/>
      <c r="AB466" s="49"/>
      <c r="AC466" s="49"/>
      <c r="AD466" s="49"/>
      <c r="AE466" s="49"/>
      <c r="AF466" s="49"/>
      <c r="AG466" s="49"/>
      <c r="AH466" s="49"/>
      <c r="AI466" s="49"/>
      <c r="AJ466" s="49"/>
      <c r="AK466" s="49"/>
      <c r="AL466" s="49"/>
      <c r="AM466" s="49"/>
      <c r="AN466" s="49"/>
      <c r="AO466" s="49"/>
    </row>
    <row r="467" spans="3:41" ht="12.75" customHeight="1">
      <c r="C467" s="49"/>
      <c r="D467" s="49"/>
      <c r="E467" s="49"/>
      <c r="F467" s="49"/>
      <c r="G467" s="49"/>
      <c r="H467" s="49"/>
      <c r="I467" s="49"/>
      <c r="J467" s="49"/>
      <c r="K467" s="49"/>
      <c r="L467" s="49"/>
      <c r="M467" s="49"/>
      <c r="S467" s="49"/>
      <c r="T467" s="49"/>
      <c r="U467" s="49"/>
      <c r="W467" s="49"/>
      <c r="X467" s="49"/>
      <c r="Y467" s="49"/>
      <c r="Z467" s="49"/>
      <c r="AA467" s="49"/>
      <c r="AB467" s="49"/>
      <c r="AC467" s="49"/>
      <c r="AD467" s="49"/>
      <c r="AE467" s="49"/>
      <c r="AF467" s="49"/>
      <c r="AG467" s="49"/>
      <c r="AH467" s="49"/>
      <c r="AI467" s="49"/>
      <c r="AJ467" s="49"/>
      <c r="AK467" s="49"/>
      <c r="AL467" s="49"/>
      <c r="AM467" s="49"/>
      <c r="AN467" s="49"/>
      <c r="AO467" s="49"/>
    </row>
    <row r="468" spans="3:41" ht="12.75" customHeight="1">
      <c r="C468" s="49"/>
      <c r="D468" s="49"/>
      <c r="E468" s="49"/>
      <c r="F468" s="49"/>
      <c r="G468" s="49"/>
      <c r="H468" s="49"/>
      <c r="I468" s="49"/>
      <c r="J468" s="49"/>
      <c r="K468" s="49"/>
      <c r="L468" s="49"/>
      <c r="M468" s="49"/>
      <c r="S468" s="49"/>
      <c r="T468" s="49"/>
      <c r="U468" s="49"/>
      <c r="W468" s="49"/>
      <c r="X468" s="49"/>
      <c r="Y468" s="49"/>
      <c r="Z468" s="49"/>
      <c r="AA468" s="49"/>
      <c r="AB468" s="49"/>
      <c r="AC468" s="49"/>
      <c r="AD468" s="49"/>
      <c r="AE468" s="49"/>
      <c r="AF468" s="49"/>
      <c r="AG468" s="49"/>
      <c r="AH468" s="49"/>
      <c r="AI468" s="49"/>
      <c r="AJ468" s="49"/>
      <c r="AK468" s="49"/>
      <c r="AL468" s="49"/>
      <c r="AM468" s="49"/>
      <c r="AN468" s="49"/>
      <c r="AO468" s="49"/>
    </row>
    <row r="469" spans="3:41" ht="12.75" customHeight="1">
      <c r="C469" s="49"/>
      <c r="D469" s="49"/>
      <c r="E469" s="49"/>
      <c r="F469" s="49"/>
      <c r="G469" s="49"/>
      <c r="H469" s="49"/>
      <c r="I469" s="49"/>
      <c r="J469" s="49"/>
      <c r="K469" s="49"/>
      <c r="L469" s="49"/>
      <c r="M469" s="49"/>
      <c r="S469" s="49"/>
      <c r="T469" s="49"/>
      <c r="U469" s="49"/>
      <c r="W469" s="49"/>
      <c r="X469" s="49"/>
      <c r="Y469" s="49"/>
      <c r="Z469" s="49"/>
      <c r="AA469" s="49"/>
      <c r="AB469" s="49"/>
      <c r="AC469" s="49"/>
      <c r="AD469" s="49"/>
      <c r="AE469" s="49"/>
      <c r="AF469" s="49"/>
      <c r="AG469" s="49"/>
      <c r="AH469" s="49"/>
      <c r="AI469" s="49"/>
      <c r="AJ469" s="49"/>
      <c r="AK469" s="49"/>
      <c r="AL469" s="49"/>
      <c r="AM469" s="49"/>
      <c r="AN469" s="49"/>
      <c r="AO469" s="49"/>
    </row>
    <row r="470" spans="3:41" ht="12.75" customHeight="1">
      <c r="C470" s="49"/>
      <c r="D470" s="49"/>
      <c r="E470" s="49"/>
      <c r="F470" s="49"/>
      <c r="G470" s="49"/>
      <c r="H470" s="49"/>
      <c r="I470" s="49"/>
      <c r="J470" s="49"/>
      <c r="K470" s="49"/>
      <c r="L470" s="49"/>
      <c r="M470" s="49"/>
      <c r="S470" s="49"/>
      <c r="T470" s="49"/>
      <c r="U470" s="49"/>
      <c r="W470" s="49"/>
      <c r="X470" s="49"/>
      <c r="Y470" s="49"/>
      <c r="Z470" s="49"/>
      <c r="AA470" s="49"/>
      <c r="AB470" s="49"/>
      <c r="AC470" s="49"/>
      <c r="AD470" s="49"/>
      <c r="AE470" s="49"/>
      <c r="AF470" s="49"/>
      <c r="AG470" s="49"/>
      <c r="AH470" s="49"/>
      <c r="AI470" s="49"/>
      <c r="AJ470" s="49"/>
      <c r="AK470" s="49"/>
      <c r="AL470" s="49"/>
      <c r="AM470" s="49"/>
      <c r="AN470" s="49"/>
      <c r="AO470" s="49"/>
    </row>
    <row r="471" spans="3:41" ht="12.75" customHeight="1">
      <c r="C471" s="49"/>
      <c r="D471" s="49"/>
      <c r="E471" s="49"/>
      <c r="F471" s="49"/>
      <c r="G471" s="49"/>
      <c r="H471" s="49"/>
      <c r="I471" s="49"/>
      <c r="J471" s="49"/>
      <c r="K471" s="49"/>
      <c r="L471" s="49"/>
      <c r="M471" s="49"/>
      <c r="S471" s="49"/>
      <c r="T471" s="49"/>
      <c r="U471" s="49"/>
      <c r="W471" s="49"/>
      <c r="X471" s="49"/>
      <c r="Y471" s="49"/>
      <c r="Z471" s="49"/>
      <c r="AA471" s="49"/>
      <c r="AB471" s="49"/>
      <c r="AC471" s="49"/>
      <c r="AD471" s="49"/>
      <c r="AE471" s="49"/>
      <c r="AF471" s="49"/>
      <c r="AG471" s="49"/>
      <c r="AH471" s="49"/>
      <c r="AI471" s="49"/>
      <c r="AJ471" s="49"/>
      <c r="AK471" s="49"/>
      <c r="AL471" s="49"/>
      <c r="AM471" s="49"/>
      <c r="AN471" s="49"/>
      <c r="AO471" s="49"/>
    </row>
    <row r="472" spans="3:41" ht="12.75" customHeight="1">
      <c r="C472" s="49"/>
      <c r="D472" s="49"/>
      <c r="E472" s="49"/>
      <c r="F472" s="49"/>
      <c r="G472" s="49"/>
      <c r="H472" s="49"/>
      <c r="I472" s="49"/>
      <c r="J472" s="49"/>
      <c r="K472" s="49"/>
      <c r="L472" s="49"/>
      <c r="M472" s="49"/>
      <c r="S472" s="49"/>
      <c r="T472" s="49"/>
      <c r="U472" s="49"/>
      <c r="W472" s="49"/>
      <c r="X472" s="49"/>
      <c r="Y472" s="49"/>
      <c r="Z472" s="49"/>
      <c r="AA472" s="49"/>
      <c r="AB472" s="49"/>
      <c r="AC472" s="49"/>
      <c r="AD472" s="49"/>
      <c r="AE472" s="49"/>
      <c r="AF472" s="49"/>
      <c r="AG472" s="49"/>
      <c r="AH472" s="49"/>
      <c r="AI472" s="49"/>
      <c r="AJ472" s="49"/>
      <c r="AK472" s="49"/>
      <c r="AL472" s="49"/>
      <c r="AM472" s="49"/>
      <c r="AN472" s="49"/>
      <c r="AO472" s="49"/>
    </row>
    <row r="473" spans="3:41" ht="12.75" customHeight="1">
      <c r="C473" s="49"/>
      <c r="D473" s="49"/>
      <c r="E473" s="49"/>
      <c r="F473" s="49"/>
      <c r="G473" s="49"/>
      <c r="H473" s="49"/>
      <c r="I473" s="49"/>
      <c r="J473" s="49"/>
      <c r="K473" s="49"/>
      <c r="L473" s="49"/>
      <c r="M473" s="49"/>
      <c r="S473" s="49"/>
      <c r="T473" s="49"/>
      <c r="U473" s="49"/>
      <c r="W473" s="49"/>
      <c r="X473" s="49"/>
      <c r="Y473" s="49"/>
      <c r="Z473" s="49"/>
      <c r="AA473" s="49"/>
      <c r="AB473" s="49"/>
      <c r="AC473" s="49"/>
      <c r="AD473" s="49"/>
      <c r="AE473" s="49"/>
      <c r="AF473" s="49"/>
      <c r="AG473" s="49"/>
      <c r="AH473" s="49"/>
      <c r="AI473" s="49"/>
      <c r="AJ473" s="49"/>
      <c r="AK473" s="49"/>
      <c r="AL473" s="49"/>
      <c r="AM473" s="49"/>
      <c r="AN473" s="49"/>
      <c r="AO473" s="49"/>
    </row>
    <row r="474" spans="3:41" ht="12.75" customHeight="1">
      <c r="C474" s="49"/>
      <c r="D474" s="49"/>
      <c r="E474" s="49"/>
      <c r="F474" s="49"/>
      <c r="G474" s="49"/>
      <c r="H474" s="49"/>
      <c r="I474" s="49"/>
      <c r="J474" s="49"/>
      <c r="K474" s="49"/>
      <c r="L474" s="49"/>
      <c r="M474" s="49"/>
      <c r="S474" s="49"/>
      <c r="T474" s="49"/>
      <c r="U474" s="49"/>
      <c r="W474" s="49"/>
      <c r="X474" s="49"/>
      <c r="Y474" s="49"/>
      <c r="Z474" s="49"/>
      <c r="AA474" s="49"/>
      <c r="AB474" s="49"/>
      <c r="AC474" s="49"/>
      <c r="AD474" s="49"/>
      <c r="AE474" s="49"/>
      <c r="AF474" s="49"/>
      <c r="AG474" s="49"/>
      <c r="AH474" s="49"/>
      <c r="AI474" s="49"/>
      <c r="AJ474" s="49"/>
      <c r="AK474" s="49"/>
      <c r="AL474" s="49"/>
      <c r="AM474" s="49"/>
      <c r="AN474" s="49"/>
      <c r="AO474" s="49"/>
    </row>
    <row r="475" spans="3:41" ht="12.75" customHeight="1">
      <c r="C475" s="49"/>
      <c r="D475" s="49"/>
      <c r="E475" s="49"/>
      <c r="F475" s="49"/>
      <c r="G475" s="49"/>
      <c r="H475" s="49"/>
      <c r="I475" s="49"/>
      <c r="J475" s="49"/>
      <c r="K475" s="49"/>
      <c r="L475" s="49"/>
      <c r="M475" s="49"/>
      <c r="S475" s="49"/>
      <c r="T475" s="49"/>
      <c r="U475" s="49"/>
      <c r="W475" s="49"/>
      <c r="X475" s="49"/>
      <c r="Y475" s="49"/>
      <c r="Z475" s="49"/>
      <c r="AA475" s="49"/>
      <c r="AB475" s="49"/>
      <c r="AC475" s="49"/>
      <c r="AD475" s="49"/>
      <c r="AE475" s="49"/>
      <c r="AF475" s="49"/>
      <c r="AG475" s="49"/>
      <c r="AH475" s="49"/>
      <c r="AI475" s="49"/>
      <c r="AJ475" s="49"/>
      <c r="AK475" s="49"/>
      <c r="AL475" s="49"/>
      <c r="AM475" s="49"/>
      <c r="AN475" s="49"/>
      <c r="AO475" s="49"/>
    </row>
    <row r="476" spans="3:41" ht="12.75" customHeight="1">
      <c r="C476" s="49"/>
      <c r="D476" s="49"/>
      <c r="E476" s="49"/>
      <c r="F476" s="49"/>
      <c r="G476" s="49"/>
      <c r="H476" s="49"/>
      <c r="I476" s="49"/>
      <c r="J476" s="49"/>
      <c r="K476" s="49"/>
      <c r="L476" s="49"/>
      <c r="M476" s="49"/>
      <c r="S476" s="49"/>
      <c r="T476" s="49"/>
      <c r="U476" s="49"/>
      <c r="W476" s="49"/>
      <c r="X476" s="49"/>
      <c r="Y476" s="49"/>
      <c r="Z476" s="49"/>
      <c r="AA476" s="49"/>
      <c r="AB476" s="49"/>
      <c r="AC476" s="49"/>
      <c r="AD476" s="49"/>
      <c r="AE476" s="49"/>
      <c r="AF476" s="49"/>
      <c r="AG476" s="49"/>
      <c r="AH476" s="49"/>
      <c r="AI476" s="49"/>
      <c r="AJ476" s="49"/>
      <c r="AK476" s="49"/>
      <c r="AL476" s="49"/>
      <c r="AM476" s="49"/>
      <c r="AN476" s="49"/>
      <c r="AO476" s="49"/>
    </row>
    <row r="477" spans="3:41" ht="12.75" customHeight="1">
      <c r="C477" s="49"/>
      <c r="D477" s="49"/>
      <c r="E477" s="49"/>
      <c r="F477" s="49"/>
      <c r="G477" s="49"/>
      <c r="H477" s="49"/>
      <c r="I477" s="49"/>
      <c r="J477" s="49"/>
      <c r="K477" s="49"/>
      <c r="L477" s="49"/>
      <c r="M477" s="49"/>
      <c r="S477" s="49"/>
      <c r="T477" s="49"/>
      <c r="U477" s="49"/>
      <c r="W477" s="49"/>
      <c r="X477" s="49"/>
      <c r="Y477" s="49"/>
      <c r="Z477" s="49"/>
      <c r="AA477" s="49"/>
      <c r="AB477" s="49"/>
      <c r="AC477" s="49"/>
      <c r="AD477" s="49"/>
      <c r="AE477" s="49"/>
      <c r="AF477" s="49"/>
      <c r="AG477" s="49"/>
      <c r="AH477" s="49"/>
      <c r="AI477" s="49"/>
      <c r="AJ477" s="49"/>
      <c r="AK477" s="49"/>
      <c r="AL477" s="49"/>
      <c r="AM477" s="49"/>
      <c r="AN477" s="49"/>
      <c r="AO477" s="49"/>
    </row>
    <row r="478" spans="3:41" ht="12.75" customHeight="1">
      <c r="C478" s="49"/>
      <c r="D478" s="49"/>
      <c r="E478" s="49"/>
      <c r="F478" s="49"/>
      <c r="G478" s="49"/>
      <c r="H478" s="49"/>
      <c r="I478" s="49"/>
      <c r="J478" s="49"/>
      <c r="K478" s="49"/>
      <c r="L478" s="49"/>
      <c r="M478" s="49"/>
      <c r="S478" s="49"/>
      <c r="T478" s="49"/>
      <c r="U478" s="49"/>
      <c r="W478" s="49"/>
      <c r="X478" s="49"/>
      <c r="Y478" s="49"/>
      <c r="Z478" s="49"/>
      <c r="AA478" s="49"/>
      <c r="AB478" s="49"/>
      <c r="AC478" s="49"/>
      <c r="AD478" s="49"/>
      <c r="AE478" s="49"/>
      <c r="AF478" s="49"/>
      <c r="AG478" s="49"/>
      <c r="AH478" s="49"/>
      <c r="AI478" s="49"/>
      <c r="AJ478" s="49"/>
      <c r="AK478" s="49"/>
      <c r="AL478" s="49"/>
      <c r="AM478" s="49"/>
      <c r="AN478" s="49"/>
      <c r="AO478" s="49"/>
    </row>
    <row r="479" spans="3:41" ht="12.75" customHeight="1">
      <c r="C479" s="49"/>
      <c r="D479" s="49"/>
      <c r="E479" s="49"/>
      <c r="F479" s="49"/>
      <c r="G479" s="49"/>
      <c r="H479" s="49"/>
      <c r="I479" s="49"/>
      <c r="J479" s="49"/>
      <c r="K479" s="49"/>
      <c r="L479" s="49"/>
      <c r="M479" s="49"/>
      <c r="S479" s="49"/>
      <c r="T479" s="49"/>
      <c r="U479" s="49"/>
      <c r="W479" s="49"/>
      <c r="X479" s="49"/>
      <c r="Y479" s="49"/>
      <c r="Z479" s="49"/>
      <c r="AA479" s="49"/>
      <c r="AB479" s="49"/>
      <c r="AC479" s="49"/>
      <c r="AD479" s="49"/>
      <c r="AE479" s="49"/>
      <c r="AF479" s="49"/>
      <c r="AG479" s="49"/>
      <c r="AH479" s="49"/>
      <c r="AI479" s="49"/>
      <c r="AJ479" s="49"/>
      <c r="AK479" s="49"/>
      <c r="AL479" s="49"/>
      <c r="AM479" s="49"/>
      <c r="AN479" s="49"/>
      <c r="AO479" s="49"/>
    </row>
    <row r="480" spans="3:41" ht="12.75" customHeight="1">
      <c r="C480" s="49"/>
      <c r="D480" s="49"/>
      <c r="E480" s="49"/>
      <c r="F480" s="49"/>
      <c r="G480" s="49"/>
      <c r="H480" s="49"/>
      <c r="I480" s="49"/>
      <c r="J480" s="49"/>
      <c r="K480" s="49"/>
      <c r="L480" s="49"/>
      <c r="M480" s="49"/>
      <c r="S480" s="49"/>
      <c r="T480" s="49"/>
      <c r="U480" s="49"/>
      <c r="W480" s="49"/>
      <c r="X480" s="49"/>
      <c r="Y480" s="49"/>
      <c r="Z480" s="49"/>
      <c r="AA480" s="49"/>
      <c r="AB480" s="49"/>
      <c r="AC480" s="49"/>
      <c r="AD480" s="49"/>
      <c r="AE480" s="49"/>
      <c r="AF480" s="49"/>
      <c r="AG480" s="49"/>
      <c r="AH480" s="49"/>
      <c r="AI480" s="49"/>
      <c r="AJ480" s="49"/>
      <c r="AK480" s="49"/>
      <c r="AL480" s="49"/>
      <c r="AM480" s="49"/>
      <c r="AN480" s="49"/>
      <c r="AO480" s="49"/>
    </row>
    <row r="481" spans="3:41" ht="12.75" customHeight="1">
      <c r="C481" s="49"/>
      <c r="D481" s="49"/>
      <c r="E481" s="49"/>
      <c r="F481" s="49"/>
      <c r="G481" s="49"/>
      <c r="H481" s="49"/>
      <c r="I481" s="49"/>
      <c r="J481" s="49"/>
      <c r="K481" s="49"/>
      <c r="L481" s="49"/>
      <c r="M481" s="49"/>
      <c r="S481" s="49"/>
      <c r="T481" s="49"/>
      <c r="U481" s="49"/>
      <c r="W481" s="49"/>
      <c r="X481" s="49"/>
      <c r="Y481" s="49"/>
      <c r="Z481" s="49"/>
      <c r="AA481" s="49"/>
      <c r="AB481" s="49"/>
      <c r="AC481" s="49"/>
      <c r="AD481" s="49"/>
      <c r="AE481" s="49"/>
      <c r="AF481" s="49"/>
      <c r="AG481" s="49"/>
      <c r="AH481" s="49"/>
      <c r="AI481" s="49"/>
      <c r="AJ481" s="49"/>
      <c r="AK481" s="49"/>
      <c r="AL481" s="49"/>
      <c r="AM481" s="49"/>
      <c r="AN481" s="49"/>
      <c r="AO481" s="49"/>
    </row>
    <row r="482" spans="3:41" ht="12.75" customHeight="1">
      <c r="C482" s="49"/>
      <c r="D482" s="49"/>
      <c r="E482" s="49"/>
      <c r="F482" s="49"/>
      <c r="G482" s="49"/>
      <c r="H482" s="49"/>
      <c r="I482" s="49"/>
      <c r="J482" s="49"/>
      <c r="K482" s="49"/>
      <c r="L482" s="49"/>
      <c r="M482" s="49"/>
      <c r="S482" s="49"/>
      <c r="T482" s="49"/>
      <c r="U482" s="49"/>
      <c r="W482" s="49"/>
      <c r="X482" s="49"/>
      <c r="Y482" s="49"/>
      <c r="Z482" s="49"/>
      <c r="AA482" s="49"/>
      <c r="AB482" s="49"/>
      <c r="AC482" s="49"/>
      <c r="AD482" s="49"/>
      <c r="AE482" s="49"/>
      <c r="AF482" s="49"/>
      <c r="AG482" s="49"/>
      <c r="AH482" s="49"/>
      <c r="AI482" s="49"/>
      <c r="AJ482" s="49"/>
      <c r="AK482" s="49"/>
      <c r="AL482" s="49"/>
      <c r="AM482" s="49"/>
      <c r="AN482" s="49"/>
      <c r="AO482" s="49"/>
    </row>
    <row r="483" spans="3:41" ht="12.75" customHeight="1">
      <c r="C483" s="49"/>
      <c r="D483" s="49"/>
      <c r="E483" s="49"/>
      <c r="F483" s="49"/>
      <c r="G483" s="49"/>
      <c r="H483" s="49"/>
      <c r="I483" s="49"/>
      <c r="J483" s="49"/>
      <c r="K483" s="49"/>
      <c r="L483" s="49"/>
      <c r="M483" s="49"/>
      <c r="S483" s="49"/>
      <c r="T483" s="49"/>
      <c r="U483" s="49"/>
      <c r="W483" s="49"/>
      <c r="X483" s="49"/>
      <c r="Y483" s="49"/>
      <c r="Z483" s="49"/>
      <c r="AA483" s="49"/>
      <c r="AB483" s="49"/>
      <c r="AC483" s="49"/>
      <c r="AD483" s="49"/>
      <c r="AE483" s="49"/>
      <c r="AF483" s="49"/>
      <c r="AG483" s="49"/>
      <c r="AH483" s="49"/>
      <c r="AI483" s="49"/>
      <c r="AJ483" s="49"/>
      <c r="AK483" s="49"/>
      <c r="AL483" s="49"/>
      <c r="AM483" s="49"/>
      <c r="AN483" s="49"/>
      <c r="AO483" s="49"/>
    </row>
    <row r="484" spans="3:41" ht="12.75" customHeight="1">
      <c r="C484" s="49"/>
      <c r="D484" s="49"/>
      <c r="E484" s="49"/>
      <c r="F484" s="49"/>
      <c r="G484" s="49"/>
      <c r="H484" s="49"/>
      <c r="I484" s="49"/>
      <c r="J484" s="49"/>
      <c r="K484" s="49"/>
      <c r="L484" s="49"/>
      <c r="M484" s="49"/>
      <c r="S484" s="49"/>
      <c r="T484" s="49"/>
      <c r="U484" s="49"/>
      <c r="W484" s="49"/>
      <c r="X484" s="49"/>
      <c r="Y484" s="49"/>
      <c r="Z484" s="49"/>
      <c r="AA484" s="49"/>
      <c r="AB484" s="49"/>
      <c r="AC484" s="49"/>
      <c r="AD484" s="49"/>
      <c r="AE484" s="49"/>
      <c r="AF484" s="49"/>
      <c r="AG484" s="49"/>
      <c r="AH484" s="49"/>
      <c r="AI484" s="49"/>
      <c r="AJ484" s="49"/>
      <c r="AK484" s="49"/>
      <c r="AL484" s="49"/>
      <c r="AM484" s="49"/>
      <c r="AN484" s="49"/>
      <c r="AO484" s="49"/>
    </row>
    <row r="485" spans="3:41" ht="12.75" customHeight="1">
      <c r="C485" s="49"/>
      <c r="D485" s="49"/>
      <c r="E485" s="49"/>
      <c r="F485" s="49"/>
      <c r="G485" s="49"/>
      <c r="H485" s="49"/>
      <c r="I485" s="49"/>
      <c r="J485" s="49"/>
      <c r="K485" s="49"/>
      <c r="L485" s="49"/>
      <c r="M485" s="49"/>
      <c r="S485" s="49"/>
      <c r="T485" s="49"/>
      <c r="U485" s="49"/>
      <c r="W485" s="49"/>
      <c r="X485" s="49"/>
      <c r="Y485" s="49"/>
      <c r="Z485" s="49"/>
      <c r="AA485" s="49"/>
      <c r="AB485" s="49"/>
      <c r="AC485" s="49"/>
      <c r="AD485" s="49"/>
      <c r="AE485" s="49"/>
      <c r="AF485" s="49"/>
      <c r="AG485" s="49"/>
      <c r="AH485" s="49"/>
      <c r="AI485" s="49"/>
      <c r="AJ485" s="49"/>
      <c r="AK485" s="49"/>
      <c r="AL485" s="49"/>
      <c r="AM485" s="49"/>
      <c r="AN485" s="49"/>
      <c r="AO485" s="49"/>
    </row>
    <row r="486" spans="3:41" ht="12.75" customHeight="1">
      <c r="C486" s="49"/>
      <c r="D486" s="49"/>
      <c r="E486" s="49"/>
      <c r="F486" s="49"/>
      <c r="G486" s="49"/>
      <c r="H486" s="49"/>
      <c r="I486" s="49"/>
      <c r="J486" s="49"/>
      <c r="K486" s="49"/>
      <c r="L486" s="49"/>
      <c r="M486" s="49"/>
      <c r="S486" s="49"/>
      <c r="T486" s="49"/>
      <c r="U486" s="49"/>
      <c r="W486" s="49"/>
      <c r="X486" s="49"/>
      <c r="Y486" s="49"/>
      <c r="Z486" s="49"/>
      <c r="AA486" s="49"/>
      <c r="AB486" s="49"/>
      <c r="AC486" s="49"/>
      <c r="AD486" s="49"/>
      <c r="AE486" s="49"/>
      <c r="AF486" s="49"/>
      <c r="AG486" s="49"/>
      <c r="AH486" s="49"/>
      <c r="AI486" s="49"/>
      <c r="AJ486" s="49"/>
      <c r="AK486" s="49"/>
      <c r="AL486" s="49"/>
      <c r="AM486" s="49"/>
      <c r="AN486" s="49"/>
      <c r="AO486" s="49"/>
    </row>
    <row r="487" spans="3:41" ht="12.75" customHeight="1">
      <c r="C487" s="49"/>
      <c r="D487" s="49"/>
      <c r="E487" s="49"/>
      <c r="F487" s="49"/>
      <c r="G487" s="49"/>
      <c r="H487" s="49"/>
      <c r="I487" s="49"/>
      <c r="J487" s="49"/>
      <c r="K487" s="49"/>
      <c r="L487" s="49"/>
      <c r="M487" s="49"/>
      <c r="S487" s="49"/>
      <c r="T487" s="49"/>
      <c r="U487" s="49"/>
      <c r="W487" s="49"/>
      <c r="X487" s="49"/>
      <c r="Y487" s="49"/>
      <c r="Z487" s="49"/>
      <c r="AA487" s="49"/>
      <c r="AB487" s="49"/>
      <c r="AC487" s="49"/>
      <c r="AD487" s="49"/>
      <c r="AE487" s="49"/>
      <c r="AF487" s="49"/>
      <c r="AG487" s="49"/>
      <c r="AH487" s="49"/>
      <c r="AI487" s="49"/>
      <c r="AJ487" s="49"/>
      <c r="AK487" s="49"/>
      <c r="AL487" s="49"/>
      <c r="AM487" s="49"/>
      <c r="AN487" s="49"/>
      <c r="AO487" s="49"/>
    </row>
    <row r="488" spans="3:41" ht="12.75" customHeight="1">
      <c r="C488" s="49"/>
      <c r="D488" s="49"/>
      <c r="E488" s="49"/>
      <c r="F488" s="49"/>
      <c r="G488" s="49"/>
      <c r="H488" s="49"/>
      <c r="I488" s="49"/>
      <c r="J488" s="49"/>
      <c r="K488" s="49"/>
      <c r="L488" s="49"/>
      <c r="M488" s="49"/>
      <c r="S488" s="49"/>
      <c r="T488" s="49"/>
      <c r="U488" s="49"/>
      <c r="W488" s="49"/>
      <c r="X488" s="49"/>
      <c r="Y488" s="49"/>
      <c r="Z488" s="49"/>
      <c r="AA488" s="49"/>
      <c r="AB488" s="49"/>
      <c r="AC488" s="49"/>
      <c r="AD488" s="49"/>
      <c r="AE488" s="49"/>
      <c r="AF488" s="49"/>
      <c r="AG488" s="49"/>
      <c r="AH488" s="49"/>
      <c r="AI488" s="49"/>
      <c r="AJ488" s="49"/>
      <c r="AK488" s="49"/>
      <c r="AL488" s="49"/>
      <c r="AM488" s="49"/>
      <c r="AN488" s="49"/>
      <c r="AO488" s="49"/>
    </row>
    <row r="489" spans="3:41" ht="12.75" customHeight="1">
      <c r="C489" s="49"/>
      <c r="D489" s="49"/>
      <c r="E489" s="49"/>
      <c r="F489" s="49"/>
      <c r="G489" s="49"/>
      <c r="H489" s="49"/>
      <c r="I489" s="49"/>
      <c r="J489" s="49"/>
      <c r="K489" s="49"/>
      <c r="L489" s="49"/>
      <c r="M489" s="49"/>
      <c r="S489" s="49"/>
      <c r="T489" s="49"/>
      <c r="U489" s="49"/>
      <c r="W489" s="49"/>
      <c r="X489" s="49"/>
      <c r="Y489" s="49"/>
      <c r="Z489" s="49"/>
      <c r="AA489" s="49"/>
      <c r="AB489" s="49"/>
      <c r="AC489" s="49"/>
      <c r="AD489" s="49"/>
      <c r="AE489" s="49"/>
      <c r="AF489" s="49"/>
      <c r="AG489" s="49"/>
      <c r="AH489" s="49"/>
      <c r="AI489" s="49"/>
      <c r="AJ489" s="49"/>
      <c r="AK489" s="49"/>
      <c r="AL489" s="49"/>
      <c r="AM489" s="49"/>
      <c r="AN489" s="49"/>
      <c r="AO489" s="49"/>
    </row>
    <row r="490" spans="3:41" ht="12.75" customHeight="1">
      <c r="C490" s="49"/>
      <c r="D490" s="49"/>
      <c r="E490" s="49"/>
      <c r="F490" s="49"/>
      <c r="G490" s="49"/>
      <c r="H490" s="49"/>
      <c r="I490" s="49"/>
      <c r="J490" s="49"/>
      <c r="K490" s="49"/>
      <c r="L490" s="49"/>
      <c r="M490" s="49"/>
      <c r="S490" s="49"/>
      <c r="T490" s="49"/>
      <c r="U490" s="49"/>
      <c r="W490" s="49"/>
      <c r="X490" s="49"/>
      <c r="Y490" s="49"/>
      <c r="Z490" s="49"/>
      <c r="AA490" s="49"/>
      <c r="AB490" s="49"/>
      <c r="AC490" s="49"/>
      <c r="AD490" s="49"/>
      <c r="AE490" s="49"/>
      <c r="AF490" s="49"/>
      <c r="AG490" s="49"/>
      <c r="AH490" s="49"/>
      <c r="AI490" s="49"/>
      <c r="AJ490" s="49"/>
      <c r="AK490" s="49"/>
      <c r="AL490" s="49"/>
      <c r="AM490" s="49"/>
      <c r="AN490" s="49"/>
      <c r="AO490" s="49"/>
    </row>
    <row r="491" spans="3:41" ht="12.75" customHeight="1">
      <c r="C491" s="49"/>
      <c r="D491" s="49"/>
      <c r="E491" s="49"/>
      <c r="F491" s="49"/>
      <c r="G491" s="49"/>
      <c r="H491" s="49"/>
      <c r="I491" s="49"/>
      <c r="J491" s="49"/>
      <c r="K491" s="49"/>
      <c r="L491" s="49"/>
      <c r="M491" s="49"/>
      <c r="S491" s="49"/>
      <c r="T491" s="49"/>
      <c r="U491" s="49"/>
      <c r="W491" s="49"/>
      <c r="X491" s="49"/>
      <c r="Y491" s="49"/>
      <c r="Z491" s="49"/>
      <c r="AA491" s="49"/>
      <c r="AB491" s="49"/>
      <c r="AC491" s="49"/>
      <c r="AD491" s="49"/>
      <c r="AE491" s="49"/>
      <c r="AF491" s="49"/>
      <c r="AG491" s="49"/>
      <c r="AH491" s="49"/>
      <c r="AI491" s="49"/>
      <c r="AJ491" s="49"/>
      <c r="AK491" s="49"/>
      <c r="AL491" s="49"/>
      <c r="AM491" s="49"/>
      <c r="AN491" s="49"/>
      <c r="AO491" s="49"/>
    </row>
    <row r="492" spans="3:41" ht="12.75" customHeight="1">
      <c r="C492" s="49"/>
      <c r="D492" s="49"/>
      <c r="E492" s="49"/>
      <c r="F492" s="49"/>
      <c r="G492" s="49"/>
      <c r="H492" s="49"/>
      <c r="I492" s="49"/>
      <c r="J492" s="49"/>
      <c r="K492" s="49"/>
      <c r="L492" s="49"/>
      <c r="M492" s="49"/>
      <c r="S492" s="49"/>
      <c r="T492" s="49"/>
      <c r="U492" s="49"/>
      <c r="W492" s="49"/>
      <c r="X492" s="49"/>
      <c r="Y492" s="49"/>
      <c r="Z492" s="49"/>
      <c r="AA492" s="49"/>
      <c r="AB492" s="49"/>
      <c r="AC492" s="49"/>
      <c r="AD492" s="49"/>
      <c r="AE492" s="49"/>
      <c r="AF492" s="49"/>
      <c r="AG492" s="49"/>
      <c r="AH492" s="49"/>
      <c r="AI492" s="49"/>
      <c r="AJ492" s="49"/>
      <c r="AK492" s="49"/>
      <c r="AL492" s="49"/>
      <c r="AM492" s="49"/>
      <c r="AN492" s="49"/>
      <c r="AO492" s="49"/>
    </row>
    <row r="493" spans="3:41" ht="12.75" customHeight="1">
      <c r="C493" s="49"/>
      <c r="D493" s="49"/>
      <c r="E493" s="49"/>
      <c r="F493" s="49"/>
      <c r="G493" s="49"/>
      <c r="H493" s="49"/>
      <c r="I493" s="49"/>
      <c r="J493" s="49"/>
      <c r="K493" s="49"/>
      <c r="L493" s="49"/>
      <c r="M493" s="49"/>
      <c r="S493" s="49"/>
      <c r="T493" s="49"/>
      <c r="U493" s="49"/>
      <c r="W493" s="49"/>
      <c r="X493" s="49"/>
      <c r="Y493" s="49"/>
      <c r="Z493" s="49"/>
      <c r="AA493" s="49"/>
      <c r="AB493" s="49"/>
      <c r="AC493" s="49"/>
      <c r="AD493" s="49"/>
      <c r="AE493" s="49"/>
      <c r="AF493" s="49"/>
      <c r="AG493" s="49"/>
      <c r="AH493" s="49"/>
      <c r="AI493" s="49"/>
      <c r="AJ493" s="49"/>
      <c r="AK493" s="49"/>
      <c r="AL493" s="49"/>
      <c r="AM493" s="49"/>
      <c r="AN493" s="49"/>
      <c r="AO493" s="49"/>
    </row>
    <row r="494" spans="3:41" ht="12.75" customHeight="1">
      <c r="C494" s="49"/>
      <c r="D494" s="49"/>
      <c r="E494" s="49"/>
      <c r="F494" s="49"/>
      <c r="G494" s="49"/>
      <c r="H494" s="49"/>
      <c r="I494" s="49"/>
      <c r="J494" s="49"/>
      <c r="K494" s="49"/>
      <c r="L494" s="49"/>
      <c r="M494" s="49"/>
      <c r="S494" s="49"/>
      <c r="T494" s="49"/>
      <c r="U494" s="49"/>
      <c r="W494" s="49"/>
      <c r="X494" s="49"/>
      <c r="Y494" s="49"/>
      <c r="Z494" s="49"/>
      <c r="AA494" s="49"/>
      <c r="AB494" s="49"/>
      <c r="AC494" s="49"/>
      <c r="AD494" s="49"/>
      <c r="AE494" s="49"/>
      <c r="AF494" s="49"/>
      <c r="AG494" s="49"/>
      <c r="AH494" s="49"/>
      <c r="AI494" s="49"/>
      <c r="AJ494" s="49"/>
      <c r="AK494" s="49"/>
      <c r="AL494" s="49"/>
      <c r="AM494" s="49"/>
      <c r="AN494" s="49"/>
      <c r="AO494" s="49"/>
    </row>
    <row r="495" spans="3:41" ht="12.75" customHeight="1">
      <c r="C495" s="49"/>
      <c r="D495" s="49"/>
      <c r="E495" s="49"/>
      <c r="F495" s="49"/>
      <c r="G495" s="49"/>
      <c r="H495" s="49"/>
      <c r="I495" s="49"/>
      <c r="J495" s="49"/>
      <c r="K495" s="49"/>
      <c r="L495" s="49"/>
      <c r="M495" s="49"/>
      <c r="S495" s="49"/>
      <c r="T495" s="49"/>
      <c r="U495" s="49"/>
      <c r="W495" s="49"/>
      <c r="X495" s="49"/>
      <c r="Y495" s="49"/>
      <c r="Z495" s="49"/>
      <c r="AA495" s="49"/>
      <c r="AB495" s="49"/>
      <c r="AC495" s="49"/>
      <c r="AD495" s="49"/>
      <c r="AE495" s="49"/>
      <c r="AF495" s="49"/>
      <c r="AG495" s="49"/>
      <c r="AH495" s="49"/>
      <c r="AI495" s="49"/>
      <c r="AJ495" s="49"/>
      <c r="AK495" s="49"/>
      <c r="AL495" s="49"/>
      <c r="AM495" s="49"/>
      <c r="AN495" s="49"/>
      <c r="AO495" s="49"/>
    </row>
    <row r="496" spans="3:41" ht="12.75" customHeight="1">
      <c r="C496" s="49"/>
      <c r="D496" s="49"/>
      <c r="E496" s="49"/>
      <c r="F496" s="49"/>
      <c r="G496" s="49"/>
      <c r="H496" s="49"/>
      <c r="I496" s="49"/>
      <c r="J496" s="49"/>
      <c r="K496" s="49"/>
      <c r="L496" s="49"/>
      <c r="M496" s="49"/>
      <c r="S496" s="49"/>
      <c r="T496" s="49"/>
      <c r="U496" s="49"/>
      <c r="W496" s="49"/>
      <c r="X496" s="49"/>
      <c r="Y496" s="49"/>
      <c r="Z496" s="49"/>
      <c r="AA496" s="49"/>
      <c r="AB496" s="49"/>
      <c r="AC496" s="49"/>
      <c r="AD496" s="49"/>
      <c r="AE496" s="49"/>
      <c r="AF496" s="49"/>
      <c r="AG496" s="49"/>
      <c r="AH496" s="49"/>
      <c r="AI496" s="49"/>
      <c r="AJ496" s="49"/>
      <c r="AK496" s="49"/>
      <c r="AL496" s="49"/>
      <c r="AM496" s="49"/>
      <c r="AN496" s="49"/>
      <c r="AO496" s="49"/>
    </row>
    <row r="497" spans="3:41" ht="12.75" customHeight="1">
      <c r="C497" s="49"/>
      <c r="D497" s="49"/>
      <c r="E497" s="49"/>
      <c r="F497" s="49"/>
      <c r="G497" s="49"/>
      <c r="H497" s="49"/>
      <c r="I497" s="49"/>
      <c r="J497" s="49"/>
      <c r="K497" s="49"/>
      <c r="L497" s="49"/>
      <c r="M497" s="49"/>
      <c r="S497" s="49"/>
      <c r="T497" s="49"/>
      <c r="U497" s="49"/>
      <c r="W497" s="49"/>
      <c r="X497" s="49"/>
      <c r="Y497" s="49"/>
      <c r="Z497" s="49"/>
      <c r="AA497" s="49"/>
      <c r="AB497" s="49"/>
      <c r="AC497" s="49"/>
      <c r="AD497" s="49"/>
      <c r="AE497" s="49"/>
      <c r="AF497" s="49"/>
      <c r="AG497" s="49"/>
      <c r="AH497" s="49"/>
      <c r="AI497" s="49"/>
      <c r="AJ497" s="49"/>
      <c r="AK497" s="49"/>
      <c r="AL497" s="49"/>
      <c r="AM497" s="49"/>
      <c r="AN497" s="49"/>
      <c r="AO497" s="49"/>
    </row>
    <row r="498" spans="3:41" ht="12.75" customHeight="1">
      <c r="C498" s="49"/>
      <c r="D498" s="49"/>
      <c r="E498" s="49"/>
      <c r="F498" s="49"/>
      <c r="G498" s="49"/>
      <c r="H498" s="49"/>
      <c r="I498" s="49"/>
      <c r="J498" s="49"/>
      <c r="K498" s="49"/>
      <c r="L498" s="49"/>
      <c r="M498" s="49"/>
      <c r="S498" s="49"/>
      <c r="T498" s="49"/>
      <c r="U498" s="49"/>
      <c r="W498" s="49"/>
      <c r="X498" s="49"/>
      <c r="Y498" s="49"/>
      <c r="Z498" s="49"/>
      <c r="AA498" s="49"/>
      <c r="AB498" s="49"/>
      <c r="AC498" s="49"/>
      <c r="AD498" s="49"/>
      <c r="AE498" s="49"/>
      <c r="AF498" s="49"/>
      <c r="AG498" s="49"/>
      <c r="AH498" s="49"/>
      <c r="AI498" s="49"/>
      <c r="AJ498" s="49"/>
      <c r="AK498" s="49"/>
      <c r="AL498" s="49"/>
      <c r="AM498" s="49"/>
      <c r="AN498" s="49"/>
      <c r="AO498" s="49"/>
    </row>
    <row r="499" spans="3:41" ht="12.75" customHeight="1">
      <c r="C499" s="49"/>
      <c r="D499" s="49"/>
      <c r="E499" s="49"/>
      <c r="F499" s="49"/>
      <c r="G499" s="49"/>
      <c r="H499" s="49"/>
      <c r="I499" s="49"/>
      <c r="J499" s="49"/>
      <c r="K499" s="49"/>
      <c r="L499" s="49"/>
      <c r="M499" s="49"/>
      <c r="S499" s="49"/>
      <c r="T499" s="49"/>
      <c r="U499" s="49"/>
      <c r="W499" s="49"/>
      <c r="X499" s="49"/>
      <c r="Y499" s="49"/>
      <c r="Z499" s="49"/>
      <c r="AA499" s="49"/>
      <c r="AB499" s="49"/>
      <c r="AC499" s="49"/>
      <c r="AD499" s="49"/>
      <c r="AE499" s="49"/>
      <c r="AF499" s="49"/>
      <c r="AG499" s="49"/>
      <c r="AH499" s="49"/>
      <c r="AI499" s="49"/>
      <c r="AJ499" s="49"/>
      <c r="AK499" s="49"/>
      <c r="AL499" s="49"/>
      <c r="AM499" s="49"/>
      <c r="AN499" s="49"/>
      <c r="AO499" s="49"/>
    </row>
    <row r="500" spans="3:41" ht="12.75" customHeight="1">
      <c r="C500" s="49"/>
      <c r="D500" s="49"/>
      <c r="E500" s="49"/>
      <c r="F500" s="49"/>
      <c r="G500" s="49"/>
      <c r="H500" s="49"/>
      <c r="I500" s="49"/>
      <c r="J500" s="49"/>
      <c r="K500" s="49"/>
      <c r="L500" s="49"/>
      <c r="M500" s="49"/>
      <c r="S500" s="49"/>
      <c r="T500" s="49"/>
      <c r="U500" s="49"/>
      <c r="W500" s="49"/>
      <c r="X500" s="49"/>
      <c r="Y500" s="49"/>
      <c r="Z500" s="49"/>
      <c r="AA500" s="49"/>
      <c r="AB500" s="49"/>
      <c r="AC500" s="49"/>
      <c r="AD500" s="49"/>
      <c r="AE500" s="49"/>
      <c r="AF500" s="49"/>
      <c r="AG500" s="49"/>
      <c r="AH500" s="49"/>
      <c r="AI500" s="49"/>
      <c r="AJ500" s="49"/>
      <c r="AK500" s="49"/>
      <c r="AL500" s="49"/>
      <c r="AM500" s="49"/>
      <c r="AN500" s="49"/>
      <c r="AO500" s="49"/>
    </row>
    <row r="501" spans="3:41" ht="12.75" customHeight="1">
      <c r="C501" s="49"/>
      <c r="D501" s="49"/>
      <c r="E501" s="49"/>
      <c r="F501" s="49"/>
      <c r="G501" s="49"/>
      <c r="H501" s="49"/>
      <c r="I501" s="49"/>
      <c r="J501" s="49"/>
      <c r="K501" s="49"/>
      <c r="L501" s="49"/>
      <c r="M501" s="49"/>
      <c r="S501" s="49"/>
      <c r="T501" s="49"/>
      <c r="U501" s="49"/>
      <c r="W501" s="49"/>
      <c r="X501" s="49"/>
      <c r="Y501" s="49"/>
      <c r="Z501" s="49"/>
      <c r="AA501" s="49"/>
      <c r="AB501" s="49"/>
      <c r="AC501" s="49"/>
      <c r="AD501" s="49"/>
      <c r="AE501" s="49"/>
      <c r="AF501" s="49"/>
      <c r="AG501" s="49"/>
      <c r="AH501" s="49"/>
      <c r="AI501" s="49"/>
      <c r="AJ501" s="49"/>
      <c r="AK501" s="49"/>
      <c r="AL501" s="49"/>
      <c r="AM501" s="49"/>
      <c r="AN501" s="49"/>
      <c r="AO501" s="49"/>
    </row>
    <row r="502" spans="3:41" ht="12.75" customHeight="1">
      <c r="C502" s="49"/>
      <c r="D502" s="49"/>
      <c r="E502" s="49"/>
      <c r="F502" s="49"/>
      <c r="G502" s="49"/>
      <c r="H502" s="49"/>
      <c r="I502" s="49"/>
      <c r="J502" s="49"/>
      <c r="K502" s="49"/>
      <c r="L502" s="49"/>
      <c r="M502" s="49"/>
      <c r="S502" s="49"/>
      <c r="T502" s="49"/>
      <c r="U502" s="49"/>
      <c r="W502" s="49"/>
      <c r="X502" s="49"/>
      <c r="Y502" s="49"/>
      <c r="Z502" s="49"/>
      <c r="AA502" s="49"/>
      <c r="AB502" s="49"/>
      <c r="AC502" s="49"/>
      <c r="AD502" s="49"/>
      <c r="AE502" s="49"/>
      <c r="AF502" s="49"/>
      <c r="AG502" s="49"/>
      <c r="AH502" s="49"/>
      <c r="AI502" s="49"/>
      <c r="AJ502" s="49"/>
      <c r="AK502" s="49"/>
      <c r="AL502" s="49"/>
      <c r="AM502" s="49"/>
      <c r="AN502" s="49"/>
      <c r="AO502" s="49"/>
    </row>
    <row r="503" spans="3:41" ht="12.75" customHeight="1">
      <c r="C503" s="49"/>
      <c r="D503" s="49"/>
      <c r="E503" s="49"/>
      <c r="F503" s="49"/>
      <c r="G503" s="49"/>
      <c r="H503" s="49"/>
      <c r="I503" s="49"/>
      <c r="J503" s="49"/>
      <c r="K503" s="49"/>
      <c r="L503" s="49"/>
      <c r="M503" s="49"/>
      <c r="S503" s="49"/>
      <c r="T503" s="49"/>
      <c r="U503" s="49"/>
      <c r="W503" s="49"/>
      <c r="X503" s="49"/>
      <c r="Y503" s="49"/>
      <c r="Z503" s="49"/>
      <c r="AA503" s="49"/>
      <c r="AB503" s="49"/>
      <c r="AC503" s="49"/>
      <c r="AD503" s="49"/>
      <c r="AE503" s="49"/>
      <c r="AF503" s="49"/>
      <c r="AG503" s="49"/>
      <c r="AH503" s="49"/>
      <c r="AI503" s="49"/>
      <c r="AJ503" s="49"/>
      <c r="AK503" s="49"/>
      <c r="AL503" s="49"/>
      <c r="AM503" s="49"/>
      <c r="AN503" s="49"/>
      <c r="AO503" s="49"/>
    </row>
    <row r="504" spans="3:41" ht="12.75" customHeight="1">
      <c r="C504" s="49"/>
      <c r="D504" s="49"/>
      <c r="E504" s="49"/>
      <c r="F504" s="49"/>
      <c r="G504" s="49"/>
      <c r="H504" s="49"/>
      <c r="I504" s="49"/>
      <c r="J504" s="49"/>
      <c r="K504" s="49"/>
      <c r="L504" s="49"/>
      <c r="M504" s="49"/>
      <c r="S504" s="49"/>
      <c r="T504" s="49"/>
      <c r="U504" s="49"/>
      <c r="W504" s="49"/>
      <c r="X504" s="49"/>
      <c r="Y504" s="49"/>
      <c r="Z504" s="49"/>
      <c r="AA504" s="49"/>
      <c r="AB504" s="49"/>
      <c r="AC504" s="49"/>
      <c r="AD504" s="49"/>
      <c r="AE504" s="49"/>
      <c r="AF504" s="49"/>
      <c r="AG504" s="49"/>
      <c r="AH504" s="49"/>
      <c r="AI504" s="49"/>
      <c r="AJ504" s="49"/>
      <c r="AK504" s="49"/>
      <c r="AL504" s="49"/>
      <c r="AM504" s="49"/>
      <c r="AN504" s="49"/>
      <c r="AO504" s="49"/>
    </row>
    <row r="505" spans="3:41" ht="12.75" customHeight="1">
      <c r="C505" s="49"/>
      <c r="D505" s="49"/>
      <c r="E505" s="49"/>
      <c r="F505" s="49"/>
      <c r="G505" s="49"/>
      <c r="H505" s="49"/>
      <c r="I505" s="49"/>
      <c r="J505" s="49"/>
      <c r="K505" s="49"/>
      <c r="L505" s="49"/>
      <c r="M505" s="49"/>
      <c r="S505" s="49"/>
      <c r="T505" s="49"/>
      <c r="U505" s="49"/>
      <c r="W505" s="49"/>
      <c r="X505" s="49"/>
      <c r="Y505" s="49"/>
      <c r="Z505" s="49"/>
      <c r="AA505" s="49"/>
      <c r="AB505" s="49"/>
      <c r="AC505" s="49"/>
      <c r="AD505" s="49"/>
      <c r="AE505" s="49"/>
      <c r="AF505" s="49"/>
      <c r="AG505" s="49"/>
      <c r="AH505" s="49"/>
      <c r="AI505" s="49"/>
      <c r="AJ505" s="49"/>
      <c r="AK505" s="49"/>
      <c r="AL505" s="49"/>
      <c r="AM505" s="49"/>
      <c r="AN505" s="49"/>
      <c r="AO505" s="49"/>
    </row>
    <row r="506" spans="3:41" ht="12.75" customHeight="1">
      <c r="C506" s="49"/>
      <c r="D506" s="49"/>
      <c r="E506" s="49"/>
      <c r="F506" s="49"/>
      <c r="G506" s="49"/>
      <c r="H506" s="49"/>
      <c r="I506" s="49"/>
      <c r="J506" s="49"/>
      <c r="K506" s="49"/>
      <c r="L506" s="49"/>
      <c r="M506" s="49"/>
      <c r="S506" s="49"/>
      <c r="T506" s="49"/>
      <c r="U506" s="49"/>
      <c r="W506" s="49"/>
      <c r="X506" s="49"/>
      <c r="Y506" s="49"/>
      <c r="Z506" s="49"/>
      <c r="AA506" s="49"/>
      <c r="AB506" s="49"/>
      <c r="AC506" s="49"/>
      <c r="AD506" s="49"/>
      <c r="AE506" s="49"/>
      <c r="AF506" s="49"/>
      <c r="AG506" s="49"/>
      <c r="AH506" s="49"/>
      <c r="AI506" s="49"/>
      <c r="AJ506" s="49"/>
      <c r="AK506" s="49"/>
      <c r="AL506" s="49"/>
      <c r="AM506" s="49"/>
      <c r="AN506" s="49"/>
      <c r="AO506" s="49"/>
    </row>
    <row r="507" spans="3:41" ht="12.75" customHeight="1">
      <c r="C507" s="49"/>
      <c r="D507" s="49"/>
      <c r="E507" s="49"/>
      <c r="F507" s="49"/>
      <c r="G507" s="49"/>
      <c r="H507" s="49"/>
      <c r="I507" s="49"/>
      <c r="J507" s="49"/>
      <c r="K507" s="49"/>
      <c r="L507" s="49"/>
      <c r="M507" s="49"/>
      <c r="S507" s="49"/>
      <c r="T507" s="49"/>
      <c r="U507" s="49"/>
      <c r="W507" s="49"/>
      <c r="X507" s="49"/>
      <c r="Y507" s="49"/>
      <c r="Z507" s="49"/>
      <c r="AA507" s="49"/>
      <c r="AB507" s="49"/>
      <c r="AC507" s="49"/>
      <c r="AD507" s="49"/>
      <c r="AE507" s="49"/>
      <c r="AF507" s="49"/>
      <c r="AG507" s="49"/>
      <c r="AH507" s="49"/>
      <c r="AI507" s="49"/>
      <c r="AJ507" s="49"/>
      <c r="AK507" s="49"/>
      <c r="AL507" s="49"/>
      <c r="AM507" s="49"/>
      <c r="AN507" s="49"/>
      <c r="AO507" s="49"/>
    </row>
    <row r="508" spans="3:41" ht="12.75" customHeight="1">
      <c r="C508" s="49"/>
      <c r="D508" s="49"/>
      <c r="E508" s="49"/>
      <c r="F508" s="49"/>
      <c r="G508" s="49"/>
      <c r="H508" s="49"/>
      <c r="I508" s="49"/>
      <c r="J508" s="49"/>
      <c r="K508" s="49"/>
      <c r="L508" s="49"/>
      <c r="M508" s="49"/>
      <c r="S508" s="49"/>
      <c r="T508" s="49"/>
      <c r="U508" s="49"/>
      <c r="W508" s="49"/>
      <c r="X508" s="49"/>
      <c r="Y508" s="49"/>
      <c r="Z508" s="49"/>
      <c r="AA508" s="49"/>
      <c r="AB508" s="49"/>
      <c r="AC508" s="49"/>
      <c r="AD508" s="49"/>
      <c r="AE508" s="49"/>
      <c r="AF508" s="49"/>
      <c r="AG508" s="49"/>
      <c r="AH508" s="49"/>
      <c r="AI508" s="49"/>
      <c r="AJ508" s="49"/>
      <c r="AK508" s="49"/>
      <c r="AL508" s="49"/>
      <c r="AM508" s="49"/>
      <c r="AN508" s="49"/>
      <c r="AO508" s="49"/>
    </row>
    <row r="509" spans="3:41" ht="12.75" customHeight="1">
      <c r="C509" s="49"/>
      <c r="D509" s="49"/>
      <c r="E509" s="49"/>
      <c r="F509" s="49"/>
      <c r="G509" s="49"/>
      <c r="H509" s="49"/>
      <c r="I509" s="49"/>
      <c r="J509" s="49"/>
      <c r="K509" s="49"/>
      <c r="L509" s="49"/>
      <c r="M509" s="49"/>
      <c r="S509" s="49"/>
      <c r="T509" s="49"/>
      <c r="U509" s="49"/>
      <c r="W509" s="49"/>
      <c r="X509" s="49"/>
      <c r="Y509" s="49"/>
      <c r="Z509" s="49"/>
      <c r="AA509" s="49"/>
      <c r="AB509" s="49"/>
      <c r="AC509" s="49"/>
      <c r="AD509" s="49"/>
      <c r="AE509" s="49"/>
      <c r="AF509" s="49"/>
      <c r="AG509" s="49"/>
      <c r="AH509" s="49"/>
      <c r="AI509" s="49"/>
      <c r="AJ509" s="49"/>
      <c r="AK509" s="49"/>
      <c r="AL509" s="49"/>
      <c r="AM509" s="49"/>
      <c r="AN509" s="49"/>
      <c r="AO509" s="49"/>
    </row>
    <row r="510" spans="3:41" ht="12.75" customHeight="1">
      <c r="C510" s="49"/>
      <c r="D510" s="49"/>
      <c r="E510" s="49"/>
      <c r="F510" s="49"/>
      <c r="G510" s="49"/>
      <c r="H510" s="49"/>
      <c r="I510" s="49"/>
      <c r="J510" s="49"/>
      <c r="K510" s="49"/>
      <c r="L510" s="49"/>
      <c r="M510" s="49"/>
      <c r="S510" s="49"/>
      <c r="T510" s="49"/>
      <c r="U510" s="49"/>
      <c r="W510" s="49"/>
      <c r="X510" s="49"/>
      <c r="Y510" s="49"/>
      <c r="Z510" s="49"/>
      <c r="AA510" s="49"/>
      <c r="AB510" s="49"/>
      <c r="AC510" s="49"/>
      <c r="AD510" s="49"/>
      <c r="AE510" s="49"/>
      <c r="AF510" s="49"/>
      <c r="AG510" s="49"/>
      <c r="AH510" s="49"/>
      <c r="AI510" s="49"/>
      <c r="AJ510" s="49"/>
      <c r="AK510" s="49"/>
      <c r="AL510" s="49"/>
      <c r="AM510" s="49"/>
      <c r="AN510" s="49"/>
      <c r="AO510" s="49"/>
    </row>
    <row r="511" spans="3:41" ht="12.75" customHeight="1">
      <c r="C511" s="49"/>
      <c r="D511" s="49"/>
      <c r="E511" s="49"/>
      <c r="F511" s="49"/>
      <c r="G511" s="49"/>
      <c r="H511" s="49"/>
      <c r="I511" s="49"/>
      <c r="J511" s="49"/>
      <c r="K511" s="49"/>
      <c r="L511" s="49"/>
      <c r="M511" s="49"/>
      <c r="S511" s="49"/>
      <c r="T511" s="49"/>
      <c r="U511" s="49"/>
      <c r="W511" s="49"/>
      <c r="X511" s="49"/>
      <c r="Y511" s="49"/>
      <c r="Z511" s="49"/>
      <c r="AA511" s="49"/>
      <c r="AB511" s="49"/>
      <c r="AC511" s="49"/>
      <c r="AD511" s="49"/>
      <c r="AE511" s="49"/>
      <c r="AF511" s="49"/>
      <c r="AG511" s="49"/>
      <c r="AH511" s="49"/>
      <c r="AI511" s="49"/>
      <c r="AJ511" s="49"/>
      <c r="AK511" s="49"/>
      <c r="AL511" s="49"/>
      <c r="AM511" s="49"/>
      <c r="AN511" s="49"/>
      <c r="AO511" s="49"/>
    </row>
    <row r="512" spans="3:41" ht="12.75" customHeight="1">
      <c r="C512" s="49"/>
      <c r="D512" s="49"/>
      <c r="E512" s="49"/>
      <c r="F512" s="49"/>
      <c r="G512" s="49"/>
      <c r="H512" s="49"/>
      <c r="I512" s="49"/>
      <c r="J512" s="49"/>
      <c r="K512" s="49"/>
      <c r="L512" s="49"/>
      <c r="M512" s="49"/>
      <c r="S512" s="49"/>
      <c r="T512" s="49"/>
      <c r="U512" s="49"/>
      <c r="W512" s="49"/>
      <c r="X512" s="49"/>
      <c r="Y512" s="49"/>
      <c r="Z512" s="49"/>
      <c r="AA512" s="49"/>
      <c r="AB512" s="49"/>
      <c r="AC512" s="49"/>
      <c r="AD512" s="49"/>
      <c r="AE512" s="49"/>
      <c r="AF512" s="49"/>
      <c r="AG512" s="49"/>
      <c r="AH512" s="49"/>
      <c r="AI512" s="49"/>
      <c r="AJ512" s="49"/>
      <c r="AK512" s="49"/>
      <c r="AL512" s="49"/>
      <c r="AM512" s="49"/>
      <c r="AN512" s="49"/>
      <c r="AO512" s="49"/>
    </row>
    <row r="513" spans="3:41" ht="12.75" customHeight="1">
      <c r="C513" s="49"/>
      <c r="D513" s="49"/>
      <c r="E513" s="49"/>
      <c r="F513" s="49"/>
      <c r="G513" s="49"/>
      <c r="H513" s="49"/>
      <c r="I513" s="49"/>
      <c r="J513" s="49"/>
      <c r="K513" s="49"/>
      <c r="L513" s="49"/>
      <c r="M513" s="49"/>
      <c r="S513" s="49"/>
      <c r="T513" s="49"/>
      <c r="U513" s="49"/>
      <c r="W513" s="49"/>
      <c r="X513" s="49"/>
      <c r="Y513" s="49"/>
      <c r="Z513" s="49"/>
      <c r="AA513" s="49"/>
      <c r="AB513" s="49"/>
      <c r="AC513" s="49"/>
      <c r="AD513" s="49"/>
      <c r="AE513" s="49"/>
      <c r="AF513" s="49"/>
      <c r="AG513" s="49"/>
      <c r="AH513" s="49"/>
      <c r="AI513" s="49"/>
      <c r="AJ513" s="49"/>
      <c r="AK513" s="49"/>
      <c r="AL513" s="49"/>
      <c r="AM513" s="49"/>
      <c r="AN513" s="49"/>
      <c r="AO513" s="49"/>
    </row>
    <row r="514" spans="3:41" ht="12.75" customHeight="1">
      <c r="C514" s="49"/>
      <c r="D514" s="49"/>
      <c r="E514" s="49"/>
      <c r="F514" s="49"/>
      <c r="G514" s="49"/>
      <c r="H514" s="49"/>
      <c r="I514" s="49"/>
      <c r="J514" s="49"/>
      <c r="K514" s="49"/>
      <c r="L514" s="49"/>
      <c r="M514" s="49"/>
      <c r="S514" s="49"/>
      <c r="T514" s="49"/>
      <c r="U514" s="49"/>
      <c r="W514" s="49"/>
      <c r="X514" s="49"/>
      <c r="Y514" s="49"/>
      <c r="Z514" s="49"/>
      <c r="AA514" s="49"/>
      <c r="AB514" s="49"/>
      <c r="AC514" s="49"/>
      <c r="AD514" s="49"/>
      <c r="AE514" s="49"/>
      <c r="AF514" s="49"/>
      <c r="AG514" s="49"/>
      <c r="AH514" s="49"/>
      <c r="AI514" s="49"/>
      <c r="AJ514" s="49"/>
      <c r="AK514" s="49"/>
      <c r="AL514" s="49"/>
      <c r="AM514" s="49"/>
      <c r="AN514" s="49"/>
      <c r="AO514" s="49"/>
    </row>
    <row r="515" spans="3:41" ht="12.75" customHeight="1">
      <c r="C515" s="49"/>
      <c r="D515" s="49"/>
      <c r="E515" s="49"/>
      <c r="F515" s="49"/>
      <c r="G515" s="49"/>
      <c r="H515" s="49"/>
      <c r="I515" s="49"/>
      <c r="J515" s="49"/>
      <c r="K515" s="49"/>
      <c r="L515" s="49"/>
      <c r="M515" s="49"/>
      <c r="S515" s="49"/>
      <c r="T515" s="49"/>
      <c r="U515" s="49"/>
      <c r="W515" s="49"/>
      <c r="X515" s="49"/>
      <c r="Y515" s="49"/>
      <c r="Z515" s="49"/>
      <c r="AA515" s="49"/>
      <c r="AB515" s="49"/>
      <c r="AC515" s="49"/>
      <c r="AD515" s="49"/>
      <c r="AE515" s="49"/>
      <c r="AF515" s="49"/>
      <c r="AG515" s="49"/>
      <c r="AH515" s="49"/>
      <c r="AI515" s="49"/>
      <c r="AJ515" s="49"/>
      <c r="AK515" s="49"/>
      <c r="AL515" s="49"/>
      <c r="AM515" s="49"/>
      <c r="AN515" s="49"/>
      <c r="AO515" s="49"/>
    </row>
    <row r="516" spans="3:41" ht="12.75" customHeight="1">
      <c r="C516" s="49"/>
      <c r="D516" s="49"/>
      <c r="E516" s="49"/>
      <c r="F516" s="49"/>
      <c r="G516" s="49"/>
      <c r="H516" s="49"/>
      <c r="I516" s="49"/>
      <c r="J516" s="49"/>
      <c r="K516" s="49"/>
      <c r="L516" s="49"/>
      <c r="M516" s="49"/>
      <c r="S516" s="49"/>
      <c r="T516" s="49"/>
      <c r="U516" s="49"/>
      <c r="W516" s="49"/>
      <c r="X516" s="49"/>
      <c r="Y516" s="49"/>
      <c r="Z516" s="49"/>
      <c r="AA516" s="49"/>
      <c r="AB516" s="49"/>
      <c r="AC516" s="49"/>
      <c r="AD516" s="49"/>
      <c r="AE516" s="49"/>
      <c r="AF516" s="49"/>
      <c r="AG516" s="49"/>
      <c r="AH516" s="49"/>
      <c r="AI516" s="49"/>
      <c r="AJ516" s="49"/>
      <c r="AK516" s="49"/>
      <c r="AL516" s="49"/>
      <c r="AM516" s="49"/>
      <c r="AN516" s="49"/>
      <c r="AO516" s="49"/>
    </row>
    <row r="517" spans="3:41" ht="12.75" customHeight="1">
      <c r="C517" s="49"/>
      <c r="D517" s="49"/>
      <c r="E517" s="49"/>
      <c r="F517" s="49"/>
      <c r="G517" s="49"/>
      <c r="H517" s="49"/>
      <c r="I517" s="49"/>
      <c r="J517" s="49"/>
      <c r="K517" s="49"/>
      <c r="L517" s="49"/>
      <c r="M517" s="49"/>
      <c r="S517" s="49"/>
      <c r="T517" s="49"/>
      <c r="U517" s="49"/>
      <c r="W517" s="49"/>
      <c r="X517" s="49"/>
      <c r="Y517" s="49"/>
      <c r="Z517" s="49"/>
      <c r="AA517" s="49"/>
      <c r="AB517" s="49"/>
      <c r="AC517" s="49"/>
      <c r="AD517" s="49"/>
      <c r="AE517" s="49"/>
      <c r="AF517" s="49"/>
      <c r="AG517" s="49"/>
      <c r="AH517" s="49"/>
      <c r="AI517" s="49"/>
      <c r="AJ517" s="49"/>
      <c r="AK517" s="49"/>
      <c r="AL517" s="49"/>
      <c r="AM517" s="49"/>
      <c r="AN517" s="49"/>
      <c r="AO517" s="49"/>
    </row>
    <row r="518" spans="3:41" ht="12.75" customHeight="1">
      <c r="C518" s="49"/>
      <c r="D518" s="49"/>
      <c r="E518" s="49"/>
      <c r="F518" s="49"/>
      <c r="G518" s="49"/>
      <c r="H518" s="49"/>
      <c r="I518" s="49"/>
      <c r="J518" s="49"/>
      <c r="K518" s="49"/>
      <c r="L518" s="49"/>
      <c r="M518" s="49"/>
      <c r="S518" s="49"/>
      <c r="T518" s="49"/>
      <c r="U518" s="49"/>
      <c r="W518" s="49"/>
      <c r="X518" s="49"/>
      <c r="Y518" s="49"/>
      <c r="Z518" s="49"/>
      <c r="AA518" s="49"/>
      <c r="AB518" s="49"/>
      <c r="AC518" s="49"/>
      <c r="AD518" s="49"/>
      <c r="AE518" s="49"/>
      <c r="AF518" s="49"/>
      <c r="AG518" s="49"/>
      <c r="AH518" s="49"/>
      <c r="AI518" s="49"/>
      <c r="AJ518" s="49"/>
      <c r="AK518" s="49"/>
      <c r="AL518" s="49"/>
      <c r="AM518" s="49"/>
      <c r="AN518" s="49"/>
      <c r="AO518" s="49"/>
    </row>
    <row r="519" spans="3:41" ht="12.75" customHeight="1">
      <c r="C519" s="49"/>
      <c r="D519" s="49"/>
      <c r="E519" s="49"/>
      <c r="F519" s="49"/>
      <c r="G519" s="49"/>
      <c r="H519" s="49"/>
      <c r="I519" s="49"/>
      <c r="J519" s="49"/>
      <c r="K519" s="49"/>
      <c r="L519" s="49"/>
      <c r="M519" s="49"/>
      <c r="S519" s="49"/>
      <c r="T519" s="49"/>
      <c r="U519" s="49"/>
      <c r="W519" s="49"/>
      <c r="X519" s="49"/>
      <c r="Y519" s="49"/>
      <c r="Z519" s="49"/>
      <c r="AA519" s="49"/>
      <c r="AB519" s="49"/>
      <c r="AC519" s="49"/>
      <c r="AD519" s="49"/>
      <c r="AE519" s="49"/>
      <c r="AF519" s="49"/>
      <c r="AG519" s="49"/>
      <c r="AH519" s="49"/>
      <c r="AI519" s="49"/>
      <c r="AJ519" s="49"/>
      <c r="AK519" s="49"/>
      <c r="AL519" s="49"/>
      <c r="AM519" s="49"/>
      <c r="AN519" s="49"/>
      <c r="AO519" s="49"/>
    </row>
    <row r="520" spans="3:41" ht="12.75" customHeight="1">
      <c r="C520" s="49"/>
      <c r="D520" s="49"/>
      <c r="E520" s="49"/>
      <c r="F520" s="49"/>
      <c r="G520" s="49"/>
      <c r="H520" s="49"/>
      <c r="I520" s="49"/>
      <c r="J520" s="49"/>
      <c r="K520" s="49"/>
      <c r="L520" s="49"/>
      <c r="M520" s="49"/>
      <c r="S520" s="49"/>
      <c r="T520" s="49"/>
      <c r="U520" s="49"/>
      <c r="W520" s="49"/>
      <c r="X520" s="49"/>
      <c r="Y520" s="49"/>
      <c r="Z520" s="49"/>
      <c r="AA520" s="49"/>
      <c r="AB520" s="49"/>
      <c r="AC520" s="49"/>
      <c r="AD520" s="49"/>
      <c r="AE520" s="49"/>
      <c r="AF520" s="49"/>
      <c r="AG520" s="49"/>
      <c r="AH520" s="49"/>
      <c r="AI520" s="49"/>
      <c r="AJ520" s="49"/>
      <c r="AK520" s="49"/>
      <c r="AL520" s="49"/>
      <c r="AM520" s="49"/>
      <c r="AN520" s="49"/>
      <c r="AO520" s="49"/>
    </row>
    <row r="521" spans="3:41" ht="12" customHeight="1">
      <c r="C521" s="49"/>
      <c r="D521" s="49"/>
      <c r="E521" s="49"/>
      <c r="F521" s="49"/>
      <c r="G521" s="49"/>
      <c r="H521" s="49"/>
      <c r="I521" s="49"/>
      <c r="J521" s="49"/>
      <c r="K521" s="49"/>
      <c r="L521" s="49"/>
      <c r="M521" s="49"/>
      <c r="S521" s="49"/>
      <c r="T521" s="49"/>
      <c r="U521" s="49"/>
      <c r="W521" s="49"/>
      <c r="X521" s="49"/>
      <c r="Y521" s="49"/>
      <c r="Z521" s="49"/>
      <c r="AA521" s="49"/>
      <c r="AB521" s="49"/>
      <c r="AC521" s="49"/>
      <c r="AD521" s="49"/>
      <c r="AE521" s="49"/>
      <c r="AF521" s="49"/>
      <c r="AG521" s="49"/>
      <c r="AH521" s="49"/>
      <c r="AI521" s="49"/>
      <c r="AJ521" s="49"/>
      <c r="AK521" s="49"/>
      <c r="AL521" s="49"/>
      <c r="AM521" s="49"/>
      <c r="AN521" s="49"/>
      <c r="AO521" s="49"/>
    </row>
    <row r="522" spans="3:41" ht="12" customHeight="1">
      <c r="C522" s="49"/>
      <c r="D522" s="49"/>
      <c r="E522" s="49"/>
      <c r="F522" s="49"/>
      <c r="G522" s="49"/>
      <c r="H522" s="49"/>
      <c r="I522" s="49"/>
      <c r="J522" s="49"/>
      <c r="K522" s="49"/>
      <c r="L522" s="49"/>
      <c r="M522" s="49"/>
      <c r="S522" s="49"/>
      <c r="T522" s="49"/>
      <c r="U522" s="49"/>
      <c r="W522" s="49"/>
      <c r="X522" s="49"/>
      <c r="Y522" s="49"/>
      <c r="Z522" s="49"/>
      <c r="AA522" s="49"/>
      <c r="AB522" s="49"/>
      <c r="AC522" s="49"/>
      <c r="AD522" s="49"/>
      <c r="AE522" s="49"/>
      <c r="AF522" s="49"/>
      <c r="AG522" s="49"/>
      <c r="AH522" s="49"/>
      <c r="AI522" s="49"/>
      <c r="AJ522" s="49"/>
      <c r="AK522" s="49"/>
      <c r="AL522" s="49"/>
      <c r="AM522" s="49"/>
      <c r="AN522" s="49"/>
      <c r="AO522" s="49"/>
    </row>
    <row r="523" spans="3:41" ht="12" customHeight="1">
      <c r="C523" s="49"/>
      <c r="D523" s="49"/>
      <c r="E523" s="49"/>
      <c r="F523" s="49"/>
      <c r="G523" s="49"/>
      <c r="H523" s="49"/>
      <c r="I523" s="49"/>
      <c r="J523" s="49"/>
      <c r="K523" s="49"/>
      <c r="L523" s="49"/>
      <c r="M523" s="49"/>
      <c r="S523" s="49"/>
      <c r="T523" s="49"/>
      <c r="U523" s="49"/>
      <c r="W523" s="49"/>
      <c r="X523" s="49"/>
      <c r="Y523" s="49"/>
      <c r="Z523" s="49"/>
      <c r="AA523" s="49"/>
      <c r="AB523" s="49"/>
      <c r="AC523" s="49"/>
      <c r="AD523" s="49"/>
      <c r="AE523" s="49"/>
      <c r="AF523" s="49"/>
      <c r="AG523" s="49"/>
      <c r="AH523" s="49"/>
      <c r="AI523" s="49"/>
      <c r="AJ523" s="49"/>
      <c r="AK523" s="49"/>
      <c r="AL523" s="49"/>
      <c r="AM523" s="49"/>
      <c r="AN523" s="49"/>
      <c r="AO523" s="49"/>
    </row>
    <row r="524" spans="3:41" ht="12" customHeight="1">
      <c r="C524" s="49"/>
      <c r="D524" s="49"/>
      <c r="E524" s="49"/>
      <c r="F524" s="49"/>
      <c r="G524" s="49"/>
      <c r="H524" s="49"/>
      <c r="I524" s="49"/>
      <c r="J524" s="49"/>
      <c r="K524" s="49"/>
      <c r="L524" s="49"/>
      <c r="M524" s="49"/>
      <c r="S524" s="49"/>
      <c r="T524" s="49"/>
      <c r="U524" s="49"/>
      <c r="W524" s="49"/>
      <c r="X524" s="49"/>
      <c r="Y524" s="49"/>
      <c r="Z524" s="49"/>
      <c r="AA524" s="49"/>
      <c r="AB524" s="49"/>
      <c r="AC524" s="49"/>
      <c r="AD524" s="49"/>
      <c r="AE524" s="49"/>
      <c r="AF524" s="49"/>
      <c r="AG524" s="49"/>
      <c r="AH524" s="49"/>
      <c r="AI524" s="49"/>
      <c r="AJ524" s="49"/>
      <c r="AK524" s="49"/>
      <c r="AL524" s="49"/>
      <c r="AM524" s="49"/>
      <c r="AN524" s="49"/>
      <c r="AO524" s="49"/>
    </row>
    <row r="525" spans="3:30" ht="12" customHeight="1">
      <c r="C525" s="49"/>
      <c r="D525" s="49"/>
      <c r="E525" s="49"/>
      <c r="F525" s="49"/>
      <c r="G525" s="49"/>
      <c r="H525" s="49"/>
      <c r="I525" s="49"/>
      <c r="J525" s="49"/>
      <c r="K525" s="49"/>
      <c r="L525" s="49"/>
      <c r="M525" s="49"/>
      <c r="S525" s="49"/>
      <c r="T525" s="49"/>
      <c r="U525" s="49"/>
      <c r="W525" s="49"/>
      <c r="X525" s="49"/>
      <c r="Y525" s="49"/>
      <c r="Z525" s="49"/>
      <c r="AA525" s="49"/>
      <c r="AB525" s="49"/>
      <c r="AC525" s="49"/>
      <c r="AD525" s="49"/>
    </row>
    <row r="526" spans="3:30" ht="12" customHeight="1">
      <c r="C526" s="49"/>
      <c r="D526" s="49"/>
      <c r="E526" s="49"/>
      <c r="F526" s="49"/>
      <c r="G526" s="49"/>
      <c r="H526" s="49"/>
      <c r="I526" s="49"/>
      <c r="J526" s="49"/>
      <c r="K526" s="49"/>
      <c r="L526" s="49"/>
      <c r="M526" s="49"/>
      <c r="S526" s="49"/>
      <c r="T526" s="49"/>
      <c r="U526" s="49"/>
      <c r="W526" s="49"/>
      <c r="X526" s="49"/>
      <c r="Y526" s="49"/>
      <c r="Z526" s="49"/>
      <c r="AA526" s="49"/>
      <c r="AB526" s="49"/>
      <c r="AC526" s="49"/>
      <c r="AD526" s="49"/>
    </row>
    <row r="527" spans="3:30" ht="12.75" customHeight="1">
      <c r="C527" s="49"/>
      <c r="D527" s="49"/>
      <c r="E527" s="49"/>
      <c r="F527" s="49"/>
      <c r="G527" s="49"/>
      <c r="H527" s="49"/>
      <c r="I527" s="49"/>
      <c r="J527" s="49"/>
      <c r="K527" s="49"/>
      <c r="L527" s="49"/>
      <c r="M527" s="49"/>
      <c r="S527" s="49"/>
      <c r="T527" s="49"/>
      <c r="U527" s="49"/>
      <c r="W527" s="49"/>
      <c r="X527" s="49"/>
      <c r="Y527" s="49"/>
      <c r="Z527" s="49"/>
      <c r="AA527" s="49"/>
      <c r="AB527" s="49"/>
      <c r="AC527" s="49"/>
      <c r="AD527" s="49"/>
    </row>
    <row r="528" spans="3:30" ht="12.75" customHeight="1">
      <c r="C528" s="49"/>
      <c r="D528" s="49"/>
      <c r="E528" s="49"/>
      <c r="F528" s="49"/>
      <c r="G528" s="49"/>
      <c r="H528" s="49"/>
      <c r="I528" s="49"/>
      <c r="J528" s="49"/>
      <c r="K528" s="49"/>
      <c r="L528" s="49"/>
      <c r="M528" s="49"/>
      <c r="S528" s="49"/>
      <c r="T528" s="49"/>
      <c r="U528" s="49"/>
      <c r="W528" s="49"/>
      <c r="X528" s="49"/>
      <c r="Y528" s="49"/>
      <c r="Z528" s="49"/>
      <c r="AA528" s="49"/>
      <c r="AB528" s="49"/>
      <c r="AC528" s="49"/>
      <c r="AD528" s="49"/>
    </row>
    <row r="529" spans="3:30" ht="12.75" customHeight="1">
      <c r="C529" s="49"/>
      <c r="D529" s="49"/>
      <c r="E529" s="49"/>
      <c r="F529" s="49"/>
      <c r="G529" s="49"/>
      <c r="H529" s="49"/>
      <c r="I529" s="49"/>
      <c r="J529" s="49"/>
      <c r="K529" s="49"/>
      <c r="L529" s="49"/>
      <c r="M529" s="49"/>
      <c r="S529" s="49"/>
      <c r="T529" s="49"/>
      <c r="U529" s="49"/>
      <c r="W529" s="49"/>
      <c r="X529" s="49"/>
      <c r="Y529" s="49"/>
      <c r="Z529" s="49"/>
      <c r="AA529" s="49"/>
      <c r="AB529" s="49"/>
      <c r="AC529" s="49"/>
      <c r="AD529" s="49"/>
    </row>
    <row r="530" spans="3:30" ht="12.75" customHeight="1">
      <c r="C530" s="49"/>
      <c r="D530" s="49"/>
      <c r="E530" s="49"/>
      <c r="F530" s="49"/>
      <c r="G530" s="49"/>
      <c r="H530" s="49"/>
      <c r="I530" s="49"/>
      <c r="J530" s="49"/>
      <c r="K530" s="49"/>
      <c r="L530" s="49"/>
      <c r="M530" s="49"/>
      <c r="S530" s="49"/>
      <c r="T530" s="49"/>
      <c r="U530" s="49"/>
      <c r="W530" s="49"/>
      <c r="X530" s="49"/>
      <c r="Y530" s="49"/>
      <c r="Z530" s="49"/>
      <c r="AA530" s="49"/>
      <c r="AB530" s="49"/>
      <c r="AC530" s="49"/>
      <c r="AD530" s="49"/>
    </row>
    <row r="531" spans="3:30" ht="12.75" customHeight="1">
      <c r="C531" s="49"/>
      <c r="D531" s="49"/>
      <c r="E531" s="49"/>
      <c r="F531" s="49"/>
      <c r="G531" s="49"/>
      <c r="H531" s="49"/>
      <c r="I531" s="49"/>
      <c r="J531" s="49"/>
      <c r="K531" s="49"/>
      <c r="L531" s="49"/>
      <c r="M531" s="49"/>
      <c r="S531" s="49"/>
      <c r="T531" s="49"/>
      <c r="U531" s="49"/>
      <c r="W531" s="49"/>
      <c r="X531" s="49"/>
      <c r="Y531" s="49"/>
      <c r="Z531" s="49"/>
      <c r="AA531" s="49"/>
      <c r="AB531" s="49"/>
      <c r="AC531" s="49"/>
      <c r="AD531" s="49"/>
    </row>
    <row r="532" spans="3:30" ht="12.75">
      <c r="C532" s="49"/>
      <c r="D532" s="49"/>
      <c r="E532" s="49"/>
      <c r="F532" s="49"/>
      <c r="G532" s="49"/>
      <c r="H532" s="49"/>
      <c r="I532" s="49"/>
      <c r="J532" s="49"/>
      <c r="K532" s="49"/>
      <c r="L532" s="49"/>
      <c r="M532" s="49"/>
      <c r="S532" s="49"/>
      <c r="T532" s="49"/>
      <c r="U532" s="49"/>
      <c r="W532" s="49"/>
      <c r="X532" s="49"/>
      <c r="Y532" s="49"/>
      <c r="Z532" s="49"/>
      <c r="AA532" s="49"/>
      <c r="AB532" s="49"/>
      <c r="AC532" s="49"/>
      <c r="AD532" s="49"/>
    </row>
    <row r="533" spans="3:30" ht="12.75">
      <c r="C533" s="49"/>
      <c r="D533" s="49"/>
      <c r="E533" s="49"/>
      <c r="F533" s="49"/>
      <c r="G533" s="49"/>
      <c r="H533" s="49"/>
      <c r="I533" s="49"/>
      <c r="J533" s="49"/>
      <c r="K533" s="49"/>
      <c r="L533" s="49"/>
      <c r="M533" s="49"/>
      <c r="S533" s="49"/>
      <c r="T533" s="49"/>
      <c r="U533" s="49"/>
      <c r="W533" s="49"/>
      <c r="X533" s="49"/>
      <c r="Y533" s="49"/>
      <c r="Z533" s="49"/>
      <c r="AA533" s="49"/>
      <c r="AB533" s="49"/>
      <c r="AC533" s="49"/>
      <c r="AD533" s="49"/>
    </row>
    <row r="534" spans="3:30" ht="12.75">
      <c r="C534" s="49"/>
      <c r="D534" s="49"/>
      <c r="E534" s="49"/>
      <c r="F534" s="49"/>
      <c r="G534" s="49"/>
      <c r="H534" s="49"/>
      <c r="I534" s="49"/>
      <c r="J534" s="49"/>
      <c r="K534" s="49"/>
      <c r="L534" s="49"/>
      <c r="M534" s="49"/>
      <c r="S534" s="49"/>
      <c r="T534" s="49"/>
      <c r="U534" s="49"/>
      <c r="W534" s="49"/>
      <c r="X534" s="49"/>
      <c r="Y534" s="49"/>
      <c r="Z534" s="49"/>
      <c r="AA534" s="49"/>
      <c r="AB534" s="49"/>
      <c r="AC534" s="49"/>
      <c r="AD534" s="49"/>
    </row>
    <row r="535" spans="3:30" ht="12.75">
      <c r="C535" s="49"/>
      <c r="D535" s="49"/>
      <c r="E535" s="49"/>
      <c r="F535" s="49"/>
      <c r="G535" s="49"/>
      <c r="H535" s="49"/>
      <c r="I535" s="49"/>
      <c r="J535" s="49"/>
      <c r="K535" s="49"/>
      <c r="L535" s="49"/>
      <c r="M535" s="49"/>
      <c r="S535" s="49"/>
      <c r="T535" s="49"/>
      <c r="U535" s="49"/>
      <c r="W535" s="49"/>
      <c r="X535" s="49"/>
      <c r="Y535" s="49"/>
      <c r="Z535" s="49"/>
      <c r="AA535" s="49"/>
      <c r="AB535" s="49"/>
      <c r="AC535" s="49"/>
      <c r="AD535" s="4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Sheet7"/>
  <dimension ref="A1:AO533"/>
  <sheetViews>
    <sheetView workbookViewId="0" topLeftCell="A31">
      <selection activeCell="K71" sqref="K71"/>
    </sheetView>
  </sheetViews>
  <sheetFormatPr defaultColWidth="9.140625" defaultRowHeight="12.75"/>
  <cols>
    <col min="1" max="1" width="34.00390625" style="37" customWidth="1"/>
    <col min="2" max="2" width="38.28125" style="37" customWidth="1"/>
    <col min="3" max="6" width="8.421875" style="37" customWidth="1"/>
    <col min="7" max="7" width="11.140625" style="37" customWidth="1"/>
    <col min="8" max="8" width="11.7109375" style="37" customWidth="1"/>
    <col min="9" max="9" width="9.00390625" style="38" customWidth="1"/>
    <col min="10" max="13" width="7.8515625" style="38" customWidth="1"/>
    <col min="14" max="18" width="7.8515625" style="39" customWidth="1"/>
    <col min="19" max="19" width="6.421875" style="37" customWidth="1"/>
    <col min="20" max="20" width="9.421875" style="37" customWidth="1"/>
    <col min="21" max="21" width="8.8515625" style="37" customWidth="1"/>
    <col min="22" max="23" width="8.8515625" style="39" customWidth="1"/>
    <col min="24" max="16384" width="8.8515625" style="37" customWidth="1"/>
  </cols>
  <sheetData>
    <row r="1" ht="14.25">
      <c r="A1" s="36" t="s">
        <v>132</v>
      </c>
    </row>
    <row r="2" ht="12.75">
      <c r="A2" s="37">
        <v>2184</v>
      </c>
    </row>
    <row r="4" spans="1:23" ht="12.75">
      <c r="A4" s="106" t="s">
        <v>37</v>
      </c>
      <c r="B4" s="107"/>
      <c r="C4" s="107"/>
      <c r="D4" s="107"/>
      <c r="E4" s="107"/>
      <c r="F4" s="107"/>
      <c r="G4" s="108"/>
      <c r="I4"/>
      <c r="J4"/>
      <c r="K4"/>
      <c r="L4"/>
      <c r="M4"/>
      <c r="N4"/>
      <c r="O4"/>
      <c r="P4"/>
      <c r="Q4"/>
      <c r="R4"/>
      <c r="S4"/>
      <c r="T4"/>
      <c r="U4"/>
      <c r="V4"/>
      <c r="W4"/>
    </row>
    <row r="5" spans="1:23" s="96" customFormat="1" ht="26.25" customHeight="1">
      <c r="A5" s="46" t="s">
        <v>39</v>
      </c>
      <c r="B5" s="46" t="s">
        <v>40</v>
      </c>
      <c r="C5" s="46" t="s">
        <v>133</v>
      </c>
      <c r="D5" s="46" t="s">
        <v>181</v>
      </c>
      <c r="E5" s="46" t="s">
        <v>182</v>
      </c>
      <c r="F5" s="46" t="s">
        <v>183</v>
      </c>
      <c r="G5" s="47" t="s">
        <v>43</v>
      </c>
      <c r="H5" s="37"/>
      <c r="I5"/>
      <c r="J5"/>
      <c r="K5"/>
      <c r="L5"/>
      <c r="M5"/>
      <c r="N5"/>
      <c r="O5"/>
      <c r="P5"/>
      <c r="Q5"/>
      <c r="R5"/>
      <c r="S5"/>
      <c r="T5"/>
      <c r="U5"/>
      <c r="V5"/>
      <c r="W5"/>
    </row>
    <row r="6" spans="1:20" ht="12.75" customHeight="1">
      <c r="A6" t="str">
        <f aca="true" t="shared" si="0" ref="A6:A19">B6</f>
        <v>BSMT WALL R11</v>
      </c>
      <c r="B6" t="str">
        <f>'UA Optimizer'!AF45</f>
        <v>BSMT WALL R11</v>
      </c>
      <c r="C6" s="98">
        <f>'UA Optimizer'!AK45</f>
        <v>6759.991773884547</v>
      </c>
      <c r="D6" s="98">
        <v>45</v>
      </c>
      <c r="E6" s="93">
        <f>'UA Optimizer'!AH45</f>
        <v>299.75</v>
      </c>
      <c r="F6" s="100">
        <v>0</v>
      </c>
      <c r="G6" s="101" t="s">
        <v>169</v>
      </c>
      <c r="P6" s="60"/>
      <c r="Q6" s="60"/>
      <c r="R6" s="60"/>
      <c r="S6" s="60"/>
      <c r="T6" s="60"/>
    </row>
    <row r="7" spans="1:20" ht="12.75" customHeight="1">
      <c r="A7" t="str">
        <f t="shared" si="0"/>
        <v>ATTIC R19</v>
      </c>
      <c r="B7" t="str">
        <f>'UA Optimizer'!AF46</f>
        <v>ATTIC R19</v>
      </c>
      <c r="C7" s="98">
        <f>'UA Optimizer'!AK46</f>
        <v>2902.210835790953</v>
      </c>
      <c r="D7" s="98">
        <v>45</v>
      </c>
      <c r="E7" s="93">
        <f>'UA Optimizer'!AH46</f>
        <v>627.5306010746467</v>
      </c>
      <c r="F7" s="100">
        <v>0</v>
      </c>
      <c r="G7" s="101" t="s">
        <v>169</v>
      </c>
      <c r="H7" s="60"/>
      <c r="I7" s="60"/>
      <c r="J7" s="60"/>
      <c r="K7" s="60"/>
      <c r="L7" s="60"/>
      <c r="M7" s="60"/>
      <c r="N7" s="60"/>
      <c r="O7" s="60"/>
      <c r="P7" s="60"/>
      <c r="Q7" s="60"/>
      <c r="R7" s="60"/>
      <c r="S7" s="60"/>
      <c r="T7" s="60"/>
    </row>
    <row r="8" spans="1:7" ht="12.75" customHeight="1">
      <c r="A8" t="str">
        <f t="shared" si="0"/>
        <v>FLOOR R11</v>
      </c>
      <c r="B8" t="str">
        <f>'UA Optimizer'!AF47</f>
        <v>FLOOR R11</v>
      </c>
      <c r="C8" s="98">
        <f>'UA Optimizer'!AK47</f>
        <v>1427.3735477830742</v>
      </c>
      <c r="D8" s="98">
        <v>45</v>
      </c>
      <c r="E8" s="93">
        <f>'UA Optimizer'!AH47</f>
        <v>436.8</v>
      </c>
      <c r="F8" s="100">
        <v>0</v>
      </c>
      <c r="G8" s="101" t="s">
        <v>169</v>
      </c>
    </row>
    <row r="9" spans="1:7" ht="12.75" customHeight="1">
      <c r="A9" t="str">
        <f t="shared" si="0"/>
        <v>WALL R11</v>
      </c>
      <c r="B9" t="str">
        <f>'UA Optimizer'!AF48</f>
        <v>WALL R11</v>
      </c>
      <c r="C9" s="98">
        <f>'UA Optimizer'!AK48</f>
        <v>3500.9703732569724</v>
      </c>
      <c r="D9" s="98">
        <v>45</v>
      </c>
      <c r="E9" s="93">
        <f>'UA Optimizer'!AH48</f>
        <v>1228.2883059330159</v>
      </c>
      <c r="F9" s="100">
        <v>0</v>
      </c>
      <c r="G9" s="101" t="s">
        <v>169</v>
      </c>
    </row>
    <row r="10" spans="1:7" ht="12.75" customHeight="1">
      <c r="A10" t="str">
        <f t="shared" si="0"/>
        <v>FLOOR R19</v>
      </c>
      <c r="B10" t="str">
        <f>'UA Optimizer'!AF49</f>
        <v>FLOOR R19</v>
      </c>
      <c r="C10" s="98">
        <f>'UA Optimizer'!AK49</f>
        <v>385.4580933053803</v>
      </c>
      <c r="D10" s="98">
        <v>45</v>
      </c>
      <c r="E10" s="93">
        <f>'UA Optimizer'!AH49</f>
        <v>144.59889985958108</v>
      </c>
      <c r="F10" s="100">
        <v>0</v>
      </c>
      <c r="G10" s="101" t="s">
        <v>169</v>
      </c>
    </row>
    <row r="11" spans="1:7" ht="12.75" customHeight="1">
      <c r="A11" t="str">
        <f t="shared" si="0"/>
        <v>ATTIC R38</v>
      </c>
      <c r="B11" t="str">
        <f>'UA Optimizer'!AF50</f>
        <v>ATTIC R38</v>
      </c>
      <c r="C11" s="98">
        <f>'UA Optimizer'!AK50</f>
        <v>576.7169296689572</v>
      </c>
      <c r="D11" s="98">
        <v>45</v>
      </c>
      <c r="E11" s="93">
        <f>'UA Optimizer'!AH50</f>
        <v>240.50516041927804</v>
      </c>
      <c r="F11" s="100">
        <v>0</v>
      </c>
      <c r="G11" s="101" t="s">
        <v>169</v>
      </c>
    </row>
    <row r="12" spans="1:7" ht="12.75" customHeight="1">
      <c r="A12" t="str">
        <f t="shared" si="0"/>
        <v>FLOOR R30</v>
      </c>
      <c r="B12" t="str">
        <f>'UA Optimizer'!AF51</f>
        <v>FLOOR R30</v>
      </c>
      <c r="C12" s="98">
        <f>'UA Optimizer'!AK51</f>
        <v>327.9525883390379</v>
      </c>
      <c r="D12" s="98">
        <v>45</v>
      </c>
      <c r="E12" s="93">
        <f>'UA Optimizer'!AH51</f>
        <v>182</v>
      </c>
      <c r="F12" s="100">
        <v>0</v>
      </c>
      <c r="G12" s="101" t="s">
        <v>169</v>
      </c>
    </row>
    <row r="13" spans="1:7" ht="12.75" customHeight="1">
      <c r="A13" t="str">
        <f t="shared" si="0"/>
        <v>CLASS 35 PRIME WINDOW (Energy Star)</v>
      </c>
      <c r="B13" t="str">
        <f>'UA Optimizer'!AF52</f>
        <v>CLASS 35 PRIME WINDOW (Energy Star)</v>
      </c>
      <c r="C13" s="98">
        <f>'UA Optimizer'!AK52</f>
        <v>8696.810842501114</v>
      </c>
      <c r="D13" s="98">
        <v>45</v>
      </c>
      <c r="E13" s="93">
        <f>'UA Optimizer'!AH52</f>
        <v>5043.894911195371</v>
      </c>
      <c r="F13" s="100">
        <v>0</v>
      </c>
      <c r="G13" s="101" t="s">
        <v>169</v>
      </c>
    </row>
    <row r="14" spans="1:7" ht="12.75" customHeight="1">
      <c r="A14" t="str">
        <f t="shared" si="0"/>
        <v>BSMT WALL R21</v>
      </c>
      <c r="B14" t="str">
        <f>'UA Optimizer'!AF53</f>
        <v>BSMT WALL R21</v>
      </c>
      <c r="C14" s="98">
        <f>'UA Optimizer'!AK53</f>
        <v>658.2105564312242</v>
      </c>
      <c r="D14" s="98">
        <v>45</v>
      </c>
      <c r="E14" s="93">
        <f>'UA Optimizer'!AH53</f>
        <v>406.08</v>
      </c>
      <c r="F14" s="100">
        <v>0</v>
      </c>
      <c r="G14" s="101" t="s">
        <v>169</v>
      </c>
    </row>
    <row r="15" spans="1:7" ht="12.75" customHeight="1">
      <c r="A15" t="str">
        <f t="shared" si="0"/>
        <v>FLOOR R38</v>
      </c>
      <c r="B15" t="str">
        <f>'UA Optimizer'!AF54</f>
        <v>FLOOR R38</v>
      </c>
      <c r="C15" s="98">
        <f>'UA Optimizer'!AK54</f>
        <v>101.49531555820795</v>
      </c>
      <c r="D15" s="98">
        <v>45</v>
      </c>
      <c r="E15" s="93">
        <f>'UA Optimizer'!AH54</f>
        <v>94.64</v>
      </c>
      <c r="F15" s="100">
        <v>0</v>
      </c>
      <c r="G15" s="101" t="s">
        <v>169</v>
      </c>
    </row>
    <row r="16" spans="1:7" ht="12.75" customHeight="1">
      <c r="A16" t="str">
        <f t="shared" si="0"/>
        <v>ATTIC R49</v>
      </c>
      <c r="B16" t="str">
        <f>'UA Optimizer'!AF55</f>
        <v>ATTIC R49</v>
      </c>
      <c r="C16" s="98">
        <f>'UA Optimizer'!AK55</f>
        <v>126.86914444775539</v>
      </c>
      <c r="D16" s="98">
        <v>45</v>
      </c>
      <c r="E16" s="93">
        <f>'UA Optimizer'!AH55</f>
        <v>132.47299443824662</v>
      </c>
      <c r="F16" s="100">
        <v>0</v>
      </c>
      <c r="G16" s="101" t="s">
        <v>169</v>
      </c>
    </row>
    <row r="17" spans="1:7" ht="12.75" customHeight="1">
      <c r="A17" t="str">
        <f t="shared" si="0"/>
        <v>CLASS 25 PRIME WINDOW </v>
      </c>
      <c r="B17" t="str">
        <f>'UA Optimizer'!AF56</f>
        <v>CLASS 25 PRIME WINDOW </v>
      </c>
      <c r="C17" s="98">
        <f>'UA Optimizer'!AK56</f>
        <v>1033.6887914736908</v>
      </c>
      <c r="D17" s="98">
        <v>45</v>
      </c>
      <c r="E17" s="93">
        <f>'UA Optimizer'!AH56</f>
        <v>1512</v>
      </c>
      <c r="F17" s="100">
        <v>0</v>
      </c>
      <c r="G17" s="101" t="s">
        <v>169</v>
      </c>
    </row>
    <row r="18" spans="1:7" ht="12.75" customHeight="1">
      <c r="A18" t="str">
        <f t="shared" si="0"/>
        <v>DOOR R5</v>
      </c>
      <c r="B18" t="str">
        <f>'UA Optimizer'!AF57</f>
        <v>DOOR R5</v>
      </c>
      <c r="C18" s="98">
        <f>'UA Optimizer'!AK57</f>
        <v>382.5392323469714</v>
      </c>
      <c r="D18" s="98">
        <v>45</v>
      </c>
      <c r="E18" s="93">
        <f>'UA Optimizer'!AH57</f>
        <v>600.46875</v>
      </c>
      <c r="F18" s="100">
        <v>0</v>
      </c>
      <c r="G18" s="101" t="s">
        <v>169</v>
      </c>
    </row>
    <row r="19" spans="1:7" ht="12.75" customHeight="1">
      <c r="A19" t="str">
        <f t="shared" si="0"/>
        <v>INFILTRATION @ O.35 ACH</v>
      </c>
      <c r="B19" t="str">
        <f>'UA Optimizer'!AF58</f>
        <v>INFILTRATION @ O.35 ACH</v>
      </c>
      <c r="C19" s="98">
        <f>'UA Optimizer'!AK58</f>
        <v>416.73521097274715</v>
      </c>
      <c r="D19" s="98">
        <v>45</v>
      </c>
      <c r="E19" s="93">
        <f>'UA Optimizer'!AH58</f>
        <v>1092</v>
      </c>
      <c r="F19" s="100">
        <v>0</v>
      </c>
      <c r="G19" s="101" t="s">
        <v>169</v>
      </c>
    </row>
    <row r="20" ht="12.75" customHeight="1"/>
    <row r="21" ht="12.75" customHeight="1" thickBot="1"/>
    <row r="22" spans="1:4" ht="12.75" customHeight="1" thickBot="1">
      <c r="A22" s="86" t="s">
        <v>599</v>
      </c>
      <c r="B22" s="50"/>
      <c r="C22" s="50"/>
      <c r="D22" s="51"/>
    </row>
    <row r="23" spans="1:41" ht="12.75" customHeight="1" thickBot="1">
      <c r="A23" s="52" t="s">
        <v>136</v>
      </c>
      <c r="B23" s="53"/>
      <c r="C23" s="54" t="s">
        <v>83</v>
      </c>
      <c r="D23" s="56"/>
      <c r="E23" s="56"/>
      <c r="F23" s="56"/>
      <c r="G23" s="56"/>
      <c r="H23" s="56"/>
      <c r="I23" s="56"/>
      <c r="J23" s="55"/>
      <c r="K23" s="54" t="s">
        <v>50</v>
      </c>
      <c r="L23" s="56"/>
      <c r="M23" s="55"/>
      <c r="N23" s="54" t="s">
        <v>51</v>
      </c>
      <c r="O23" s="56"/>
      <c r="P23" s="56"/>
      <c r="Q23" s="55"/>
      <c r="R23" s="54" t="s">
        <v>52</v>
      </c>
      <c r="S23" s="55"/>
      <c r="T23" s="54" t="s">
        <v>53</v>
      </c>
      <c r="U23" s="56"/>
      <c r="V23" s="56"/>
      <c r="W23" s="56"/>
      <c r="X23" s="55"/>
      <c r="Y23" s="54" t="s">
        <v>54</v>
      </c>
      <c r="Z23" s="56"/>
      <c r="AA23" s="56"/>
      <c r="AB23" s="56"/>
      <c r="AC23" s="55"/>
      <c r="AD23" s="54" t="s">
        <v>84</v>
      </c>
      <c r="AE23" s="56"/>
      <c r="AF23" s="56"/>
      <c r="AG23" s="56"/>
      <c r="AH23" s="56"/>
      <c r="AI23" s="55"/>
      <c r="AJ23" s="54" t="s">
        <v>85</v>
      </c>
      <c r="AK23" s="56"/>
      <c r="AL23" s="56"/>
      <c r="AM23" s="56"/>
      <c r="AN23" s="56"/>
      <c r="AO23" s="55"/>
    </row>
    <row r="24" spans="1:41" ht="51">
      <c r="A24" s="57" t="s">
        <v>56</v>
      </c>
      <c r="B24" s="58" t="s">
        <v>57</v>
      </c>
      <c r="C24" s="59" t="s">
        <v>86</v>
      </c>
      <c r="D24" s="59" t="s">
        <v>87</v>
      </c>
      <c r="E24" s="59" t="s">
        <v>88</v>
      </c>
      <c r="F24" s="59" t="s">
        <v>89</v>
      </c>
      <c r="G24" s="59" t="s">
        <v>155</v>
      </c>
      <c r="H24" s="59" t="s">
        <v>91</v>
      </c>
      <c r="I24" s="59" t="s">
        <v>92</v>
      </c>
      <c r="J24" s="59" t="s">
        <v>93</v>
      </c>
      <c r="K24" s="59" t="s">
        <v>94</v>
      </c>
      <c r="L24" s="59" t="s">
        <v>95</v>
      </c>
      <c r="M24" s="59" t="s">
        <v>96</v>
      </c>
      <c r="N24" s="59" t="s">
        <v>25</v>
      </c>
      <c r="O24" s="59" t="s">
        <v>26</v>
      </c>
      <c r="P24" s="59" t="s">
        <v>27</v>
      </c>
      <c r="Q24" s="59" t="s">
        <v>9</v>
      </c>
      <c r="R24" s="59" t="s">
        <v>58</v>
      </c>
      <c r="S24" s="59" t="s">
        <v>9</v>
      </c>
      <c r="T24" s="59" t="s">
        <v>25</v>
      </c>
      <c r="U24" s="59" t="s">
        <v>26</v>
      </c>
      <c r="V24" s="59" t="s">
        <v>27</v>
      </c>
      <c r="W24" s="59" t="s">
        <v>9</v>
      </c>
      <c r="X24" s="59" t="s">
        <v>62</v>
      </c>
      <c r="Y24" s="59" t="s">
        <v>25</v>
      </c>
      <c r="Z24" s="59" t="s">
        <v>26</v>
      </c>
      <c r="AA24" s="59" t="s">
        <v>27</v>
      </c>
      <c r="AB24" s="59" t="s">
        <v>9</v>
      </c>
      <c r="AC24" s="59" t="s">
        <v>62</v>
      </c>
      <c r="AD24" s="59" t="s">
        <v>97</v>
      </c>
      <c r="AE24" s="59" t="s">
        <v>98</v>
      </c>
      <c r="AF24" s="59" t="s">
        <v>61</v>
      </c>
      <c r="AG24" s="59" t="s">
        <v>99</v>
      </c>
      <c r="AH24" s="59" t="s">
        <v>100</v>
      </c>
      <c r="AI24" s="59" t="s">
        <v>101</v>
      </c>
      <c r="AJ24" s="59" t="s">
        <v>102</v>
      </c>
      <c r="AK24" s="59" t="s">
        <v>59</v>
      </c>
      <c r="AL24" s="59" t="s">
        <v>60</v>
      </c>
      <c r="AM24" s="59" t="s">
        <v>103</v>
      </c>
      <c r="AN24" s="59" t="s">
        <v>104</v>
      </c>
      <c r="AO24" s="59" t="s">
        <v>105</v>
      </c>
    </row>
    <row r="25" spans="1:41" ht="12.75" customHeight="1">
      <c r="A25" t="s">
        <v>184</v>
      </c>
      <c r="B25" t="s">
        <v>184</v>
      </c>
      <c r="C25" s="49">
        <v>45</v>
      </c>
      <c r="D25" s="49">
        <v>6759.991773884547</v>
      </c>
      <c r="E25" s="49">
        <v>299.75</v>
      </c>
      <c r="F25" s="49">
        <v>0</v>
      </c>
      <c r="G25" s="49">
        <v>0</v>
      </c>
      <c r="H25" s="49" t="s">
        <v>169</v>
      </c>
      <c r="I25" s="49">
        <v>0.21</v>
      </c>
      <c r="J25" s="49">
        <v>0.4009999930858612</v>
      </c>
      <c r="K25" s="49">
        <v>7275.441146643244</v>
      </c>
      <c r="L25" s="60">
        <v>1.5859164217767618</v>
      </c>
      <c r="M25" s="49">
        <v>3.9549038631459252</v>
      </c>
      <c r="N25" s="49"/>
      <c r="O25" s="49"/>
      <c r="P25" s="49">
        <v>299.7500639611959</v>
      </c>
      <c r="Q25" s="49">
        <v>0</v>
      </c>
      <c r="R25" s="49">
        <v>0</v>
      </c>
      <c r="S25" s="49">
        <v>0</v>
      </c>
      <c r="T25" s="49">
        <v>0</v>
      </c>
      <c r="U25" s="49">
        <v>0</v>
      </c>
      <c r="V25" s="49">
        <v>299.7500639611959</v>
      </c>
      <c r="W25" s="49">
        <v>0</v>
      </c>
      <c r="X25" s="49">
        <v>299.7500639611959</v>
      </c>
      <c r="Y25" s="49">
        <v>0</v>
      </c>
      <c r="Z25" s="49">
        <v>0</v>
      </c>
      <c r="AA25" s="49">
        <v>2.2337753772735596</v>
      </c>
      <c r="AB25" s="49">
        <v>0</v>
      </c>
      <c r="AC25" s="49">
        <v>2.2337753382138272</v>
      </c>
      <c r="AD25" s="49">
        <v>3062.4499148252303</v>
      </c>
      <c r="AE25" s="49">
        <v>87.75300829352351</v>
      </c>
      <c r="AF25" s="49">
        <v>453.8971252441406</v>
      </c>
      <c r="AG25" s="49">
        <v>3600.1207938594716</v>
      </c>
      <c r="AH25" s="49">
        <v>299.7500639611959</v>
      </c>
      <c r="AI25" s="48">
        <v>12.010408759497462</v>
      </c>
      <c r="AJ25" s="49">
        <v>1458.9029541015625</v>
      </c>
      <c r="AK25" s="49">
        <v>0</v>
      </c>
      <c r="AL25" s="49">
        <v>0</v>
      </c>
      <c r="AM25" s="49">
        <v>5059.02392578125</v>
      </c>
      <c r="AN25" s="49">
        <v>299.7500639611959</v>
      </c>
      <c r="AO25" s="48">
        <v>16.877473831176758</v>
      </c>
    </row>
    <row r="26" spans="1:41" ht="12.75" customHeight="1">
      <c r="A26" t="s">
        <v>172</v>
      </c>
      <c r="B26" t="s">
        <v>172</v>
      </c>
      <c r="C26" s="49">
        <v>45</v>
      </c>
      <c r="D26" s="49">
        <v>2902.210835790953</v>
      </c>
      <c r="E26" s="49">
        <v>627.53</v>
      </c>
      <c r="F26" s="49">
        <v>0</v>
      </c>
      <c r="G26" s="49">
        <v>0</v>
      </c>
      <c r="H26" s="49" t="s">
        <v>169</v>
      </c>
      <c r="I26" s="49">
        <v>0.21</v>
      </c>
      <c r="J26" s="49">
        <v>0.4009999930858612</v>
      </c>
      <c r="K26" s="49">
        <v>3123.5044120200128</v>
      </c>
      <c r="L26" s="60">
        <v>0.6808682581124604</v>
      </c>
      <c r="M26" s="49">
        <v>1.6979258599804377</v>
      </c>
      <c r="N26" s="49"/>
      <c r="O26" s="49"/>
      <c r="P26" s="49">
        <v>627.5307339036118</v>
      </c>
      <c r="Q26" s="49">
        <v>0</v>
      </c>
      <c r="R26" s="49">
        <v>0</v>
      </c>
      <c r="S26" s="49">
        <v>0</v>
      </c>
      <c r="T26" s="49">
        <v>0</v>
      </c>
      <c r="U26" s="49">
        <v>0</v>
      </c>
      <c r="V26" s="49">
        <v>627.5307339036118</v>
      </c>
      <c r="W26" s="49">
        <v>0</v>
      </c>
      <c r="X26" s="49">
        <v>627.5307339036118</v>
      </c>
      <c r="Y26" s="49">
        <v>0</v>
      </c>
      <c r="Z26" s="49">
        <v>0</v>
      </c>
      <c r="AA26" s="49">
        <v>10.892621994018555</v>
      </c>
      <c r="AB26" s="49">
        <v>0</v>
      </c>
      <c r="AC26" s="49">
        <v>10.892621583612254</v>
      </c>
      <c r="AD26" s="49">
        <v>1314.7760565639783</v>
      </c>
      <c r="AE26" s="49">
        <v>37.674266487512305</v>
      </c>
      <c r="AF26" s="49">
        <v>194.86785888671875</v>
      </c>
      <c r="AG26" s="49">
        <v>1545.6098018211183</v>
      </c>
      <c r="AH26" s="49">
        <v>627.5307339036118</v>
      </c>
      <c r="AI26" s="48">
        <v>2.4630025563951463</v>
      </c>
      <c r="AJ26" s="49">
        <v>626.3386840820312</v>
      </c>
      <c r="AK26" s="49">
        <v>0</v>
      </c>
      <c r="AL26" s="49">
        <v>0</v>
      </c>
      <c r="AM26" s="49">
        <v>2171.948486328125</v>
      </c>
      <c r="AN26" s="49">
        <v>627.5307339036118</v>
      </c>
      <c r="AO26" s="48">
        <v>3.4611029624938965</v>
      </c>
    </row>
    <row r="27" spans="1:41" ht="12.75" customHeight="1">
      <c r="A27" t="s">
        <v>173</v>
      </c>
      <c r="B27" t="s">
        <v>173</v>
      </c>
      <c r="C27" s="49">
        <v>45</v>
      </c>
      <c r="D27" s="49">
        <v>1427.3735477830742</v>
      </c>
      <c r="E27" s="49">
        <v>436.8</v>
      </c>
      <c r="F27" s="49">
        <v>0</v>
      </c>
      <c r="G27" s="49">
        <v>0</v>
      </c>
      <c r="H27" s="49" t="s">
        <v>169</v>
      </c>
      <c r="I27" s="49">
        <v>0.21</v>
      </c>
      <c r="J27" s="49">
        <v>0.4009999930858612</v>
      </c>
      <c r="K27" s="49">
        <v>1536.2107808015335</v>
      </c>
      <c r="L27" s="60">
        <v>0.3348665538594479</v>
      </c>
      <c r="M27" s="49">
        <v>0.8350787023274263</v>
      </c>
      <c r="N27" s="49"/>
      <c r="O27" s="49"/>
      <c r="P27" s="49">
        <v>436.8000932051722</v>
      </c>
      <c r="Q27" s="49">
        <v>0</v>
      </c>
      <c r="R27" s="49">
        <v>0</v>
      </c>
      <c r="S27" s="49">
        <v>0</v>
      </c>
      <c r="T27" s="49">
        <v>0</v>
      </c>
      <c r="U27" s="49">
        <v>0</v>
      </c>
      <c r="V27" s="49">
        <v>436.8000932051722</v>
      </c>
      <c r="W27" s="49">
        <v>0</v>
      </c>
      <c r="X27" s="49">
        <v>436.8000932051722</v>
      </c>
      <c r="Y27" s="49">
        <v>0</v>
      </c>
      <c r="Z27" s="49">
        <v>0</v>
      </c>
      <c r="AA27" s="49">
        <v>15.415990829467773</v>
      </c>
      <c r="AB27" s="49">
        <v>0</v>
      </c>
      <c r="AC27" s="49">
        <v>15.415991177867655</v>
      </c>
      <c r="AD27" s="49">
        <v>646.6368815298354</v>
      </c>
      <c r="AE27" s="49">
        <v>18.529064378518783</v>
      </c>
      <c r="AF27" s="49">
        <v>95.84046173095703</v>
      </c>
      <c r="AG27" s="49">
        <v>760.1661872946614</v>
      </c>
      <c r="AH27" s="49">
        <v>436.8000932051722</v>
      </c>
      <c r="AI27" s="48">
        <v>1.7403068339951084</v>
      </c>
      <c r="AJ27" s="49">
        <v>308.047607421875</v>
      </c>
      <c r="AK27" s="49">
        <v>0</v>
      </c>
      <c r="AL27" s="49">
        <v>0</v>
      </c>
      <c r="AM27" s="49">
        <v>1068.2137451171875</v>
      </c>
      <c r="AN27" s="49">
        <v>436.8000932051722</v>
      </c>
      <c r="AO27" s="48">
        <v>2.4455437660217285</v>
      </c>
    </row>
    <row r="28" spans="1:41" ht="12.75" customHeight="1">
      <c r="A28" t="s">
        <v>171</v>
      </c>
      <c r="B28" t="s">
        <v>171</v>
      </c>
      <c r="C28" s="49">
        <v>45</v>
      </c>
      <c r="D28" s="49">
        <v>3500.9703732569724</v>
      </c>
      <c r="E28" s="49">
        <v>1228.29</v>
      </c>
      <c r="F28" s="49">
        <v>0</v>
      </c>
      <c r="G28" s="49">
        <v>0</v>
      </c>
      <c r="H28" s="49" t="s">
        <v>169</v>
      </c>
      <c r="I28" s="49">
        <v>0.21</v>
      </c>
      <c r="J28" s="49">
        <v>0.4009999930858612</v>
      </c>
      <c r="K28" s="49">
        <v>3767.9193642178166</v>
      </c>
      <c r="L28" s="60">
        <v>0.8213392253747702</v>
      </c>
      <c r="M28" s="49">
        <v>2.0482275300162085</v>
      </c>
      <c r="N28" s="49"/>
      <c r="O28" s="49"/>
      <c r="P28" s="49">
        <v>1228.2885620943737</v>
      </c>
      <c r="Q28" s="49">
        <v>0</v>
      </c>
      <c r="R28" s="49">
        <v>0</v>
      </c>
      <c r="S28" s="49">
        <v>0</v>
      </c>
      <c r="T28" s="49">
        <v>0</v>
      </c>
      <c r="U28" s="49">
        <v>0</v>
      </c>
      <c r="V28" s="49">
        <v>1228.2885620943737</v>
      </c>
      <c r="W28" s="49">
        <v>0</v>
      </c>
      <c r="X28" s="49">
        <v>1228.2885620943737</v>
      </c>
      <c r="Y28" s="49">
        <v>0</v>
      </c>
      <c r="Z28" s="49">
        <v>0</v>
      </c>
      <c r="AA28" s="49">
        <v>17.674142837524414</v>
      </c>
      <c r="AB28" s="49">
        <v>0</v>
      </c>
      <c r="AC28" s="49">
        <v>17.674142285429046</v>
      </c>
      <c r="AD28" s="49">
        <v>1586.0295071373228</v>
      </c>
      <c r="AE28" s="49">
        <v>45.44690178273082</v>
      </c>
      <c r="AF28" s="49">
        <v>235.0713348388672</v>
      </c>
      <c r="AG28" s="49">
        <v>1864.4869051380879</v>
      </c>
      <c r="AH28" s="49">
        <v>1228.2885620943737</v>
      </c>
      <c r="AI28" s="48">
        <v>1.5179551146832488</v>
      </c>
      <c r="AJ28" s="49">
        <v>755.5594482421875</v>
      </c>
      <c r="AK28" s="49">
        <v>0</v>
      </c>
      <c r="AL28" s="49">
        <v>0</v>
      </c>
      <c r="AM28" s="49">
        <v>2620.04638671875</v>
      </c>
      <c r="AN28" s="49">
        <v>1228.2885620943737</v>
      </c>
      <c r="AO28" s="48">
        <v>2.133086919784546</v>
      </c>
    </row>
    <row r="29" spans="1:41" ht="12.75" customHeight="1">
      <c r="A29" t="s">
        <v>174</v>
      </c>
      <c r="B29" t="s">
        <v>174</v>
      </c>
      <c r="C29" s="49">
        <v>45</v>
      </c>
      <c r="D29" s="49">
        <v>385.4580933053803</v>
      </c>
      <c r="E29" s="49">
        <v>144.6</v>
      </c>
      <c r="F29" s="49">
        <v>0</v>
      </c>
      <c r="G29" s="49">
        <v>0</v>
      </c>
      <c r="H29" s="49" t="s">
        <v>169</v>
      </c>
      <c r="I29" s="49">
        <v>0.21</v>
      </c>
      <c r="J29" s="49">
        <v>0.4009999930858612</v>
      </c>
      <c r="K29" s="49">
        <v>414.84927291991556</v>
      </c>
      <c r="L29" s="60">
        <v>0.09042974319012866</v>
      </c>
      <c r="M29" s="49">
        <v>0.2255105854098258</v>
      </c>
      <c r="N29" s="49"/>
      <c r="O29" s="49"/>
      <c r="P29" s="49">
        <v>144.59893085477418</v>
      </c>
      <c r="Q29" s="49">
        <v>0</v>
      </c>
      <c r="R29" s="49">
        <v>0</v>
      </c>
      <c r="S29" s="49">
        <v>0</v>
      </c>
      <c r="T29" s="49">
        <v>0</v>
      </c>
      <c r="U29" s="49">
        <v>0</v>
      </c>
      <c r="V29" s="49">
        <v>144.59893085477418</v>
      </c>
      <c r="W29" s="49">
        <v>0</v>
      </c>
      <c r="X29" s="49">
        <v>144.59893085477418</v>
      </c>
      <c r="Y29" s="49">
        <v>0</v>
      </c>
      <c r="Z29" s="49">
        <v>0</v>
      </c>
      <c r="AA29" s="49">
        <v>18.897932052612305</v>
      </c>
      <c r="AB29" s="49">
        <v>0</v>
      </c>
      <c r="AC29" s="49">
        <v>18.89793225939338</v>
      </c>
      <c r="AD29" s="49">
        <v>174.62241737809512</v>
      </c>
      <c r="AE29" s="49">
        <v>5.003720180445664</v>
      </c>
      <c r="AF29" s="49">
        <v>25.881439208984375</v>
      </c>
      <c r="AG29" s="49">
        <v>205.28067769649496</v>
      </c>
      <c r="AH29" s="49">
        <v>144.59893085477418</v>
      </c>
      <c r="AI29" s="48">
        <v>1.4196555706394924</v>
      </c>
      <c r="AJ29" s="49">
        <v>83.18736267089844</v>
      </c>
      <c r="AK29" s="49">
        <v>0</v>
      </c>
      <c r="AL29" s="49">
        <v>0</v>
      </c>
      <c r="AM29" s="49">
        <v>288.4680480957031</v>
      </c>
      <c r="AN29" s="49">
        <v>144.59893085477418</v>
      </c>
      <c r="AO29" s="48">
        <v>1.9949527978897095</v>
      </c>
    </row>
    <row r="30" spans="1:41" ht="12.75" customHeight="1">
      <c r="A30" t="s">
        <v>177</v>
      </c>
      <c r="B30" t="s">
        <v>177</v>
      </c>
      <c r="C30" s="49">
        <v>45</v>
      </c>
      <c r="D30" s="49">
        <v>576.7169296689572</v>
      </c>
      <c r="E30" s="49">
        <v>240.51</v>
      </c>
      <c r="F30" s="49">
        <v>0</v>
      </c>
      <c r="G30" s="49">
        <v>0</v>
      </c>
      <c r="H30" s="49" t="s">
        <v>169</v>
      </c>
      <c r="I30" s="49">
        <v>0.21</v>
      </c>
      <c r="J30" s="49">
        <v>0.4009999930858612</v>
      </c>
      <c r="K30" s="49">
        <v>620.6915955562151</v>
      </c>
      <c r="L30" s="60">
        <v>0.13529969859017965</v>
      </c>
      <c r="M30" s="49">
        <v>0.33740573796271756</v>
      </c>
      <c r="N30" s="49"/>
      <c r="O30" s="49"/>
      <c r="P30" s="49">
        <v>240.50525131943357</v>
      </c>
      <c r="Q30" s="49">
        <v>0</v>
      </c>
      <c r="R30" s="49">
        <v>0</v>
      </c>
      <c r="S30" s="49">
        <v>0</v>
      </c>
      <c r="T30" s="49">
        <v>0</v>
      </c>
      <c r="U30" s="49">
        <v>0</v>
      </c>
      <c r="V30" s="49">
        <v>240.50525131943357</v>
      </c>
      <c r="W30" s="49">
        <v>0</v>
      </c>
      <c r="X30" s="49">
        <v>240.50525131943357</v>
      </c>
      <c r="Y30" s="49">
        <v>0</v>
      </c>
      <c r="Z30" s="49">
        <v>0</v>
      </c>
      <c r="AA30" s="49">
        <v>21.00817108154297</v>
      </c>
      <c r="AB30" s="49">
        <v>0</v>
      </c>
      <c r="AC30" s="49">
        <v>21.008170713794456</v>
      </c>
      <c r="AD30" s="49">
        <v>261.2675830414595</v>
      </c>
      <c r="AE30" s="49">
        <v>7.486495132696562</v>
      </c>
      <c r="AF30" s="49">
        <v>38.72343826293945</v>
      </c>
      <c r="AG30" s="49">
        <v>307.13803326664976</v>
      </c>
      <c r="AH30" s="49">
        <v>240.50525131943357</v>
      </c>
      <c r="AI30" s="48">
        <v>1.2770533349341135</v>
      </c>
      <c r="AJ30" s="49">
        <v>124.46373748779297</v>
      </c>
      <c r="AK30" s="49">
        <v>0</v>
      </c>
      <c r="AL30" s="49">
        <v>0</v>
      </c>
      <c r="AM30" s="49">
        <v>431.6017761230469</v>
      </c>
      <c r="AN30" s="49">
        <v>240.50525131943357</v>
      </c>
      <c r="AO30" s="48">
        <v>1.794562816619873</v>
      </c>
    </row>
    <row r="31" spans="1:41" ht="12.75" customHeight="1">
      <c r="A31" t="s">
        <v>176</v>
      </c>
      <c r="B31" t="s">
        <v>176</v>
      </c>
      <c r="C31" s="49">
        <v>45</v>
      </c>
      <c r="D31" s="49">
        <v>327.9525883390379</v>
      </c>
      <c r="E31" s="49">
        <v>182</v>
      </c>
      <c r="F31" s="49">
        <v>0</v>
      </c>
      <c r="G31" s="49">
        <v>0</v>
      </c>
      <c r="H31" s="49" t="s">
        <v>169</v>
      </c>
      <c r="I31" s="49">
        <v>0.21</v>
      </c>
      <c r="J31" s="49">
        <v>0.4009999930858612</v>
      </c>
      <c r="K31" s="49">
        <v>352.95897319988956</v>
      </c>
      <c r="L31" s="60">
        <v>0.07693876158553403</v>
      </c>
      <c r="M31" s="49">
        <v>0.19186723918237095</v>
      </c>
      <c r="N31" s="49"/>
      <c r="O31" s="49"/>
      <c r="P31" s="49">
        <v>182.0000388354884</v>
      </c>
      <c r="Q31" s="49">
        <v>0</v>
      </c>
      <c r="R31" s="49">
        <v>0</v>
      </c>
      <c r="S31" s="49">
        <v>0</v>
      </c>
      <c r="T31" s="49">
        <v>0</v>
      </c>
      <c r="U31" s="49">
        <v>0</v>
      </c>
      <c r="V31" s="49">
        <v>182.0000388354884</v>
      </c>
      <c r="W31" s="49">
        <v>0</v>
      </c>
      <c r="X31" s="49">
        <v>182.0000388354884</v>
      </c>
      <c r="Y31" s="49">
        <v>0</v>
      </c>
      <c r="Z31" s="49">
        <v>0</v>
      </c>
      <c r="AA31" s="49">
        <v>27.956756591796875</v>
      </c>
      <c r="AB31" s="49">
        <v>0</v>
      </c>
      <c r="AC31" s="49">
        <v>27.956757067118804</v>
      </c>
      <c r="AD31" s="49">
        <v>148.5709465070057</v>
      </c>
      <c r="AE31" s="49">
        <v>4.257227991841285</v>
      </c>
      <c r="AF31" s="49">
        <v>22.020252227783203</v>
      </c>
      <c r="AG31" s="49">
        <v>174.65537814643827</v>
      </c>
      <c r="AH31" s="49">
        <v>182.0000388354884</v>
      </c>
      <c r="AI31" s="69">
        <v>0.9596447300998159</v>
      </c>
      <c r="AJ31" s="49">
        <v>70.77685546875</v>
      </c>
      <c r="AK31" s="49">
        <v>0</v>
      </c>
      <c r="AL31" s="49">
        <v>0</v>
      </c>
      <c r="AM31" s="49">
        <v>245.43223571777344</v>
      </c>
      <c r="AN31" s="49">
        <v>182.0000388354884</v>
      </c>
      <c r="AO31" s="48">
        <v>1.348528504371643</v>
      </c>
    </row>
    <row r="32" spans="1:41" ht="12.75" customHeight="1">
      <c r="A32" t="s">
        <v>488</v>
      </c>
      <c r="B32" t="s">
        <v>488</v>
      </c>
      <c r="C32" s="49">
        <v>45</v>
      </c>
      <c r="D32" s="49">
        <v>8696.810842501114</v>
      </c>
      <c r="E32" s="49">
        <v>5043.89</v>
      </c>
      <c r="F32" s="49">
        <v>0</v>
      </c>
      <c r="G32" s="49">
        <v>0</v>
      </c>
      <c r="H32" s="49" t="s">
        <v>169</v>
      </c>
      <c r="I32" s="49">
        <v>0.21</v>
      </c>
      <c r="J32" s="49">
        <v>0.4009999930858612</v>
      </c>
      <c r="K32" s="49">
        <v>9359.942669241824</v>
      </c>
      <c r="L32" s="60">
        <v>2.0403005792835556</v>
      </c>
      <c r="M32" s="49">
        <v>5.088031457513495</v>
      </c>
      <c r="N32" s="49"/>
      <c r="O32" s="49"/>
      <c r="P32" s="49">
        <v>5043.895976275396</v>
      </c>
      <c r="Q32" s="49">
        <v>0</v>
      </c>
      <c r="R32" s="49">
        <v>0</v>
      </c>
      <c r="S32" s="49">
        <v>0</v>
      </c>
      <c r="T32" s="49">
        <v>0</v>
      </c>
      <c r="U32" s="49">
        <v>0</v>
      </c>
      <c r="V32" s="49">
        <v>5043.895976275396</v>
      </c>
      <c r="W32" s="49">
        <v>0</v>
      </c>
      <c r="X32" s="49">
        <v>5043.895976275396</v>
      </c>
      <c r="Y32" s="49">
        <v>0</v>
      </c>
      <c r="Z32" s="49">
        <v>0</v>
      </c>
      <c r="AA32" s="49">
        <v>29.216787338256836</v>
      </c>
      <c r="AB32" s="49">
        <v>0</v>
      </c>
      <c r="AC32" s="49">
        <v>29.216788177468096</v>
      </c>
      <c r="AD32" s="49">
        <v>3939.8787032197815</v>
      </c>
      <c r="AE32" s="49">
        <v>112.89530217144907</v>
      </c>
      <c r="AF32" s="49">
        <v>583.944091796875</v>
      </c>
      <c r="AG32" s="49">
        <v>4631.598738338567</v>
      </c>
      <c r="AH32" s="49">
        <v>5043.895976275396</v>
      </c>
      <c r="AI32" s="69">
        <v>0.9182581798125654</v>
      </c>
      <c r="AJ32" s="49">
        <v>1876.8963623046875</v>
      </c>
      <c r="AK32" s="49">
        <v>0</v>
      </c>
      <c r="AL32" s="49">
        <v>0</v>
      </c>
      <c r="AM32" s="49">
        <v>6508.4951171875</v>
      </c>
      <c r="AN32" s="49">
        <v>5043.895976275396</v>
      </c>
      <c r="AO32" s="48">
        <v>1.2903705835342407</v>
      </c>
    </row>
    <row r="33" spans="1:41" ht="12.75" customHeight="1">
      <c r="A33" t="s">
        <v>185</v>
      </c>
      <c r="B33" t="s">
        <v>185</v>
      </c>
      <c r="C33" s="49">
        <v>45</v>
      </c>
      <c r="D33" s="49">
        <v>658.2105564312242</v>
      </c>
      <c r="E33" s="49">
        <v>406.08</v>
      </c>
      <c r="F33" s="49">
        <v>0</v>
      </c>
      <c r="G33" s="49">
        <v>0</v>
      </c>
      <c r="H33" s="49" t="s">
        <v>169</v>
      </c>
      <c r="I33" s="49">
        <v>0.21</v>
      </c>
      <c r="J33" s="49">
        <v>0.4009999930858612</v>
      </c>
      <c r="K33" s="49">
        <v>708.399111359105</v>
      </c>
      <c r="L33" s="60">
        <v>0.1544183728837961</v>
      </c>
      <c r="M33" s="49">
        <v>0.38508323078881546</v>
      </c>
      <c r="N33" s="49"/>
      <c r="O33" s="49"/>
      <c r="P33" s="49">
        <v>406.08008665008316</v>
      </c>
      <c r="Q33" s="49">
        <v>0</v>
      </c>
      <c r="R33" s="49">
        <v>0</v>
      </c>
      <c r="S33" s="49">
        <v>0</v>
      </c>
      <c r="T33" s="49">
        <v>0</v>
      </c>
      <c r="U33" s="49">
        <v>0</v>
      </c>
      <c r="V33" s="49">
        <v>406.08008665008316</v>
      </c>
      <c r="W33" s="49">
        <v>0</v>
      </c>
      <c r="X33" s="49">
        <v>406.08008665008316</v>
      </c>
      <c r="Y33" s="49">
        <v>0</v>
      </c>
      <c r="Z33" s="49">
        <v>0</v>
      </c>
      <c r="AA33" s="49">
        <v>31.079442977905273</v>
      </c>
      <c r="AB33" s="49">
        <v>0</v>
      </c>
      <c r="AC33" s="49">
        <v>31.079442844391334</v>
      </c>
      <c r="AD33" s="49">
        <v>298.18628925957137</v>
      </c>
      <c r="AE33" s="49">
        <v>8.544382648590547</v>
      </c>
      <c r="AF33" s="49">
        <v>44.1953010559082</v>
      </c>
      <c r="AG33" s="49">
        <v>350.53851874689224</v>
      </c>
      <c r="AH33" s="49">
        <v>406.08008665008316</v>
      </c>
      <c r="AI33" s="69">
        <v>0.8632250885253313</v>
      </c>
      <c r="AJ33" s="49">
        <v>142.05125427246094</v>
      </c>
      <c r="AK33" s="49">
        <v>0</v>
      </c>
      <c r="AL33" s="49">
        <v>0</v>
      </c>
      <c r="AM33" s="49">
        <v>492.58978271484375</v>
      </c>
      <c r="AN33" s="49">
        <v>406.08008665008316</v>
      </c>
      <c r="AO33" s="48">
        <v>1.213036060333252</v>
      </c>
    </row>
    <row r="34" spans="1:41" ht="12.75" customHeight="1">
      <c r="A34" t="s">
        <v>179</v>
      </c>
      <c r="B34" t="s">
        <v>179</v>
      </c>
      <c r="C34" s="49">
        <v>45</v>
      </c>
      <c r="D34" s="49">
        <v>101.49531555820795</v>
      </c>
      <c r="E34" s="49">
        <v>94.64</v>
      </c>
      <c r="F34" s="49">
        <v>0</v>
      </c>
      <c r="G34" s="49">
        <v>0</v>
      </c>
      <c r="H34" s="49" t="s">
        <v>169</v>
      </c>
      <c r="I34" s="49">
        <v>0.21</v>
      </c>
      <c r="J34" s="49">
        <v>0.4009999930858612</v>
      </c>
      <c r="K34" s="49">
        <v>109.2343333695213</v>
      </c>
      <c r="L34" s="60">
        <v>0.023811136619872095</v>
      </c>
      <c r="M34" s="49">
        <v>0.05937939409084655</v>
      </c>
      <c r="N34" s="49"/>
      <c r="O34" s="49"/>
      <c r="P34" s="49">
        <v>94.64002019445397</v>
      </c>
      <c r="Q34" s="49">
        <v>0</v>
      </c>
      <c r="R34" s="49">
        <v>0</v>
      </c>
      <c r="S34" s="49">
        <v>0</v>
      </c>
      <c r="T34" s="49">
        <v>0</v>
      </c>
      <c r="U34" s="49">
        <v>0</v>
      </c>
      <c r="V34" s="49">
        <v>94.64002019445397</v>
      </c>
      <c r="W34" s="49">
        <v>0</v>
      </c>
      <c r="X34" s="49">
        <v>94.64002019445397</v>
      </c>
      <c r="Y34" s="49">
        <v>0</v>
      </c>
      <c r="Z34" s="49">
        <v>0</v>
      </c>
      <c r="AA34" s="49">
        <v>46.97374725341797</v>
      </c>
      <c r="AB34" s="49">
        <v>0</v>
      </c>
      <c r="AC34" s="49">
        <v>46.973746635271574</v>
      </c>
      <c r="AD34" s="49">
        <v>45.97998501820403</v>
      </c>
      <c r="AE34" s="49">
        <v>1.3175340393669133</v>
      </c>
      <c r="AF34" s="49">
        <v>6.814864158630371</v>
      </c>
      <c r="AG34" s="49">
        <v>54.05263821871898</v>
      </c>
      <c r="AH34" s="49">
        <v>94.64002019445397</v>
      </c>
      <c r="AI34" s="69">
        <v>0.5711393352163141</v>
      </c>
      <c r="AJ34" s="49">
        <v>21.904136657714844</v>
      </c>
      <c r="AK34" s="49">
        <v>0</v>
      </c>
      <c r="AL34" s="49">
        <v>0</v>
      </c>
      <c r="AM34" s="49">
        <v>75.95677185058594</v>
      </c>
      <c r="AN34" s="49">
        <v>94.64002019445397</v>
      </c>
      <c r="AO34" s="69">
        <v>0.8025861978530884</v>
      </c>
    </row>
    <row r="35" spans="1:41" ht="12.75" customHeight="1">
      <c r="A35" t="s">
        <v>178</v>
      </c>
      <c r="B35" t="s">
        <v>178</v>
      </c>
      <c r="C35" s="49">
        <v>45</v>
      </c>
      <c r="D35" s="49">
        <v>126.86914444775539</v>
      </c>
      <c r="E35" s="49">
        <v>132.47</v>
      </c>
      <c r="F35" s="49">
        <v>0</v>
      </c>
      <c r="G35" s="49">
        <v>0</v>
      </c>
      <c r="H35" s="49" t="s">
        <v>169</v>
      </c>
      <c r="I35" s="49">
        <v>0.21</v>
      </c>
      <c r="J35" s="49">
        <v>0.4009999930858612</v>
      </c>
      <c r="K35" s="49">
        <v>136.54291671189674</v>
      </c>
      <c r="L35" s="60">
        <v>0.02976392077483905</v>
      </c>
      <c r="M35" s="49">
        <v>0.07422424261355552</v>
      </c>
      <c r="N35" s="49"/>
      <c r="O35" s="49"/>
      <c r="P35" s="49">
        <v>132.4730282673278</v>
      </c>
      <c r="Q35" s="49">
        <v>0</v>
      </c>
      <c r="R35" s="49">
        <v>0</v>
      </c>
      <c r="S35" s="49">
        <v>0</v>
      </c>
      <c r="T35" s="49">
        <v>0</v>
      </c>
      <c r="U35" s="49">
        <v>0</v>
      </c>
      <c r="V35" s="49">
        <v>132.4730282673278</v>
      </c>
      <c r="W35" s="49">
        <v>0</v>
      </c>
      <c r="X35" s="49">
        <v>132.4730282673278</v>
      </c>
      <c r="Y35" s="49">
        <v>0</v>
      </c>
      <c r="Z35" s="49">
        <v>0</v>
      </c>
      <c r="AA35" s="49">
        <v>52.601463317871094</v>
      </c>
      <c r="AB35" s="49">
        <v>0</v>
      </c>
      <c r="AC35" s="49">
        <v>52.6014635504189</v>
      </c>
      <c r="AD35" s="49">
        <v>57.4749812727527</v>
      </c>
      <c r="AE35" s="49">
        <v>1.6469175492085824</v>
      </c>
      <c r="AF35" s="49">
        <v>8.51858139038086</v>
      </c>
      <c r="AG35" s="49">
        <v>67.56579896548922</v>
      </c>
      <c r="AH35" s="49">
        <v>132.4730282673278</v>
      </c>
      <c r="AI35" s="69">
        <v>0.5100343809544601</v>
      </c>
      <c r="AJ35" s="49">
        <v>27.38017463684082</v>
      </c>
      <c r="AK35" s="49">
        <v>0</v>
      </c>
      <c r="AL35" s="49">
        <v>0</v>
      </c>
      <c r="AM35" s="49">
        <v>94.94597625732422</v>
      </c>
      <c r="AN35" s="49">
        <v>132.4730282673278</v>
      </c>
      <c r="AO35" s="69">
        <v>0.7167193293571472</v>
      </c>
    </row>
    <row r="36" spans="1:41" ht="12.75" customHeight="1">
      <c r="A36" t="s">
        <v>500</v>
      </c>
      <c r="B36" t="s">
        <v>489</v>
      </c>
      <c r="C36" s="49">
        <v>45</v>
      </c>
      <c r="D36" s="49">
        <v>1033.6887914736908</v>
      </c>
      <c r="E36" s="49">
        <v>1512</v>
      </c>
      <c r="F36" s="49">
        <v>0</v>
      </c>
      <c r="G36" s="49">
        <v>0</v>
      </c>
      <c r="H36" s="49" t="s">
        <v>169</v>
      </c>
      <c r="I36" s="49">
        <v>0.21</v>
      </c>
      <c r="J36" s="49">
        <v>0.4009999930858612</v>
      </c>
      <c r="K36" s="49">
        <v>1112.5075618235596</v>
      </c>
      <c r="L36" s="60">
        <v>0.242506808327471</v>
      </c>
      <c r="M36" s="49">
        <v>0.6047551434135462</v>
      </c>
      <c r="N36" s="49"/>
      <c r="O36" s="49"/>
      <c r="P36" s="49">
        <v>1512.0003226332883</v>
      </c>
      <c r="Q36" s="49">
        <v>0</v>
      </c>
      <c r="R36" s="49">
        <v>0</v>
      </c>
      <c r="S36" s="49">
        <v>0</v>
      </c>
      <c r="T36" s="49">
        <v>0</v>
      </c>
      <c r="U36" s="49">
        <v>0</v>
      </c>
      <c r="V36" s="49">
        <v>1512.0003226332883</v>
      </c>
      <c r="W36" s="49">
        <v>0</v>
      </c>
      <c r="X36" s="49">
        <v>1512.0003226332883</v>
      </c>
      <c r="Y36" s="49">
        <v>0</v>
      </c>
      <c r="Z36" s="49">
        <v>0</v>
      </c>
      <c r="AA36" s="49">
        <v>73.68659210205078</v>
      </c>
      <c r="AB36" s="49">
        <v>0</v>
      </c>
      <c r="AC36" s="49">
        <v>73.68658871726184</v>
      </c>
      <c r="AD36" s="49">
        <v>468.287574495864</v>
      </c>
      <c r="AE36" s="49">
        <v>13.4185519931466</v>
      </c>
      <c r="AF36" s="49">
        <v>69.40664672851562</v>
      </c>
      <c r="AG36" s="49">
        <v>550.5042945512503</v>
      </c>
      <c r="AH36" s="49">
        <v>1512.0003226332883</v>
      </c>
      <c r="AI36" s="69">
        <v>0.36409006420878015</v>
      </c>
      <c r="AJ36" s="49">
        <v>223.08485412597656</v>
      </c>
      <c r="AK36" s="49">
        <v>0</v>
      </c>
      <c r="AL36" s="49">
        <v>0</v>
      </c>
      <c r="AM36" s="49">
        <v>773.5891723632812</v>
      </c>
      <c r="AN36" s="49">
        <v>1512.0003226332883</v>
      </c>
      <c r="AO36" s="69">
        <v>0.5116329193115234</v>
      </c>
    </row>
    <row r="37" spans="1:41" ht="12.75" customHeight="1">
      <c r="A37" t="s">
        <v>180</v>
      </c>
      <c r="B37" t="s">
        <v>180</v>
      </c>
      <c r="C37" s="49">
        <v>45</v>
      </c>
      <c r="D37" s="49">
        <v>382.5392323469714</v>
      </c>
      <c r="E37" s="49">
        <v>600.47</v>
      </c>
      <c r="F37" s="49">
        <v>0</v>
      </c>
      <c r="G37" s="49">
        <v>0</v>
      </c>
      <c r="H37" s="49" t="s">
        <v>169</v>
      </c>
      <c r="I37" s="49">
        <v>0.21</v>
      </c>
      <c r="J37" s="49">
        <v>0.4009999930858612</v>
      </c>
      <c r="K37" s="49">
        <v>411.7078488134279</v>
      </c>
      <c r="L37" s="60">
        <v>0.0897449687581971</v>
      </c>
      <c r="M37" s="49">
        <v>0.22380291846783426</v>
      </c>
      <c r="N37" s="49"/>
      <c r="O37" s="49"/>
      <c r="P37" s="49">
        <v>600.4689281291161</v>
      </c>
      <c r="Q37" s="49">
        <v>0</v>
      </c>
      <c r="R37" s="49">
        <v>0</v>
      </c>
      <c r="S37" s="49">
        <v>0</v>
      </c>
      <c r="T37" s="49">
        <v>0</v>
      </c>
      <c r="U37" s="49">
        <v>0</v>
      </c>
      <c r="V37" s="49">
        <v>600.4689281291161</v>
      </c>
      <c r="W37" s="49">
        <v>0</v>
      </c>
      <c r="X37" s="49">
        <v>600.4689281291161</v>
      </c>
      <c r="Y37" s="49">
        <v>0</v>
      </c>
      <c r="Z37" s="49">
        <v>0</v>
      </c>
      <c r="AA37" s="49">
        <v>79.0753173828125</v>
      </c>
      <c r="AB37" s="49">
        <v>0</v>
      </c>
      <c r="AC37" s="49">
        <v>79.07531527810842</v>
      </c>
      <c r="AD37" s="49">
        <v>173.30009838830028</v>
      </c>
      <c r="AE37" s="49">
        <v>4.965829774886237</v>
      </c>
      <c r="AF37" s="49">
        <v>25.68545150756836</v>
      </c>
      <c r="AG37" s="49">
        <v>203.72619878090035</v>
      </c>
      <c r="AH37" s="49">
        <v>600.4689281291161</v>
      </c>
      <c r="AI37" s="69">
        <v>0.33927850257906106</v>
      </c>
      <c r="AJ37" s="49">
        <v>82.55741882324219</v>
      </c>
      <c r="AK37" s="49">
        <v>0</v>
      </c>
      <c r="AL37" s="49">
        <v>0</v>
      </c>
      <c r="AM37" s="49">
        <v>286.28363037109375</v>
      </c>
      <c r="AN37" s="49">
        <v>600.4689281291161</v>
      </c>
      <c r="AO37" s="69">
        <v>0.47676676511764526</v>
      </c>
    </row>
    <row r="38" spans="1:41" ht="12.75" customHeight="1">
      <c r="A38" t="s">
        <v>490</v>
      </c>
      <c r="B38" t="s">
        <v>490</v>
      </c>
      <c r="C38" s="49">
        <v>45</v>
      </c>
      <c r="D38" s="49">
        <v>416.73521097274715</v>
      </c>
      <c r="E38" s="49">
        <v>1092</v>
      </c>
      <c r="F38" s="49">
        <v>0</v>
      </c>
      <c r="G38" s="49">
        <v>0</v>
      </c>
      <c r="H38" s="49" t="s">
        <v>169</v>
      </c>
      <c r="I38" s="49">
        <v>0.21</v>
      </c>
      <c r="J38" s="49">
        <v>0.4009999930858612</v>
      </c>
      <c r="K38" s="49">
        <v>448.5112708094191</v>
      </c>
      <c r="L38" s="60">
        <v>0.09776745841134371</v>
      </c>
      <c r="M38" s="49">
        <v>0.24380912742412433</v>
      </c>
      <c r="N38" s="49"/>
      <c r="O38" s="49"/>
      <c r="P38" s="49">
        <v>1092.0002330129305</v>
      </c>
      <c r="Q38" s="49">
        <v>0</v>
      </c>
      <c r="R38" s="49">
        <v>0</v>
      </c>
      <c r="S38" s="49">
        <v>0</v>
      </c>
      <c r="T38" s="49">
        <v>0</v>
      </c>
      <c r="U38" s="49">
        <v>0</v>
      </c>
      <c r="V38" s="49">
        <v>1092.0002330129305</v>
      </c>
      <c r="W38" s="49">
        <v>0</v>
      </c>
      <c r="X38" s="49">
        <v>1092.0002330129305</v>
      </c>
      <c r="Y38" s="49">
        <v>0</v>
      </c>
      <c r="Z38" s="49">
        <v>0</v>
      </c>
      <c r="AA38" s="49">
        <v>132.00454711914062</v>
      </c>
      <c r="AB38" s="49">
        <v>0</v>
      </c>
      <c r="AC38" s="49">
        <v>132.00455253578588</v>
      </c>
      <c r="AD38" s="49">
        <v>188.7917550844581</v>
      </c>
      <c r="AE38" s="49">
        <v>5.409735639911939</v>
      </c>
      <c r="AF38" s="49">
        <v>27.981529235839844</v>
      </c>
      <c r="AG38" s="49">
        <v>221.93770968166714</v>
      </c>
      <c r="AH38" s="49">
        <v>1092.0002330129305</v>
      </c>
      <c r="AI38" s="69">
        <v>0.20323961751301123</v>
      </c>
      <c r="AJ38" s="49">
        <v>89.93741607666016</v>
      </c>
      <c r="AK38" s="49">
        <v>0</v>
      </c>
      <c r="AL38" s="49">
        <v>0</v>
      </c>
      <c r="AM38" s="49">
        <v>311.8751220703125</v>
      </c>
      <c r="AN38" s="49">
        <v>1092.0002330129305</v>
      </c>
      <c r="AO38" s="69">
        <v>0.28559985756874084</v>
      </c>
    </row>
    <row r="39" spans="3:41" ht="12.75" customHeight="1">
      <c r="C39" s="49"/>
      <c r="D39" s="49"/>
      <c r="E39" s="49"/>
      <c r="F39" s="49"/>
      <c r="G39" s="49"/>
      <c r="H39" s="49"/>
      <c r="I39" s="49"/>
      <c r="J39" s="49"/>
      <c r="K39" s="49"/>
      <c r="L39" s="60"/>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61"/>
    </row>
    <row r="40" spans="3:41" ht="12.75" customHeight="1" thickBot="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row>
    <row r="41" spans="1:41" ht="12.75" customHeight="1" thickBot="1">
      <c r="A41" s="62" t="s">
        <v>137</v>
      </c>
      <c r="B41" s="71"/>
      <c r="C41" s="72" t="s">
        <v>106</v>
      </c>
      <c r="D41" s="63"/>
      <c r="E41" s="63"/>
      <c r="F41" s="63"/>
      <c r="G41" s="63"/>
      <c r="H41" s="63"/>
      <c r="I41" s="63"/>
      <c r="J41" s="64"/>
      <c r="K41" s="72" t="s">
        <v>50</v>
      </c>
      <c r="L41" s="63"/>
      <c r="M41" s="64"/>
      <c r="N41" s="72" t="s">
        <v>107</v>
      </c>
      <c r="O41" s="63"/>
      <c r="P41" s="63"/>
      <c r="Q41" s="63"/>
      <c r="R41" s="73" t="s">
        <v>108</v>
      </c>
      <c r="S41" s="72" t="s">
        <v>84</v>
      </c>
      <c r="T41" s="63"/>
      <c r="U41" s="63"/>
      <c r="V41" s="63"/>
      <c r="W41" s="63"/>
      <c r="X41" s="64"/>
      <c r="Y41" s="72" t="s">
        <v>85</v>
      </c>
      <c r="Z41" s="63"/>
      <c r="AA41" s="63"/>
      <c r="AB41" s="63"/>
      <c r="AC41" s="63"/>
      <c r="AD41" s="64"/>
      <c r="AE41" s="49"/>
      <c r="AF41" s="49"/>
      <c r="AG41" s="49"/>
      <c r="AH41" s="49"/>
      <c r="AI41" s="49"/>
      <c r="AJ41" s="49"/>
      <c r="AK41" s="49"/>
      <c r="AL41" s="49"/>
      <c r="AM41" s="49"/>
      <c r="AN41" s="49"/>
      <c r="AO41" s="49"/>
    </row>
    <row r="42" spans="1:41" ht="51">
      <c r="A42" s="57"/>
      <c r="B42" s="58" t="s">
        <v>56</v>
      </c>
      <c r="C42" s="59" t="s">
        <v>109</v>
      </c>
      <c r="D42" s="59" t="s">
        <v>87</v>
      </c>
      <c r="E42" s="59" t="s">
        <v>88</v>
      </c>
      <c r="F42" s="59" t="s">
        <v>89</v>
      </c>
      <c r="G42" s="59" t="s">
        <v>90</v>
      </c>
      <c r="H42" s="59" t="s">
        <v>91</v>
      </c>
      <c r="I42" s="59" t="s">
        <v>110</v>
      </c>
      <c r="J42" s="59" t="s">
        <v>111</v>
      </c>
      <c r="K42" s="59" t="s">
        <v>94</v>
      </c>
      <c r="L42" s="59" t="s">
        <v>95</v>
      </c>
      <c r="M42" s="59" t="s">
        <v>96</v>
      </c>
      <c r="N42" s="59" t="s">
        <v>51</v>
      </c>
      <c r="O42" s="59" t="s">
        <v>112</v>
      </c>
      <c r="P42" s="59" t="s">
        <v>113</v>
      </c>
      <c r="Q42" s="59" t="s">
        <v>114</v>
      </c>
      <c r="R42" s="59" t="s">
        <v>115</v>
      </c>
      <c r="S42" s="59" t="s">
        <v>97</v>
      </c>
      <c r="T42" s="59" t="s">
        <v>98</v>
      </c>
      <c r="U42" s="59" t="s">
        <v>61</v>
      </c>
      <c r="V42" s="59" t="s">
        <v>99</v>
      </c>
      <c r="W42" s="59" t="s">
        <v>100</v>
      </c>
      <c r="X42" s="59" t="s">
        <v>101</v>
      </c>
      <c r="Y42" s="59" t="s">
        <v>102</v>
      </c>
      <c r="Z42" s="59" t="s">
        <v>59</v>
      </c>
      <c r="AA42" s="59" t="s">
        <v>60</v>
      </c>
      <c r="AB42" s="59" t="s">
        <v>103</v>
      </c>
      <c r="AC42" s="59" t="s">
        <v>104</v>
      </c>
      <c r="AD42" s="59" t="s">
        <v>105</v>
      </c>
      <c r="AE42" s="49"/>
      <c r="AF42" s="49"/>
      <c r="AG42" s="49"/>
      <c r="AH42" s="49"/>
      <c r="AI42" s="49"/>
      <c r="AJ42" s="49"/>
      <c r="AK42" s="49"/>
      <c r="AL42" s="49"/>
      <c r="AM42" s="49"/>
      <c r="AN42" s="49"/>
      <c r="AO42" s="49"/>
    </row>
    <row r="43" spans="2:41" ht="12.75" customHeight="1">
      <c r="B43" t="s">
        <v>184</v>
      </c>
      <c r="C43" s="49">
        <v>45</v>
      </c>
      <c r="D43" s="49">
        <v>6759.991773884547</v>
      </c>
      <c r="E43" s="49">
        <v>299.75</v>
      </c>
      <c r="F43" s="49">
        <v>0</v>
      </c>
      <c r="G43" s="49">
        <v>0</v>
      </c>
      <c r="H43" s="49"/>
      <c r="I43" s="49">
        <v>0.21</v>
      </c>
      <c r="J43" s="49">
        <v>0.4009999930858612</v>
      </c>
      <c r="K43" s="49">
        <v>7275.441146643244</v>
      </c>
      <c r="L43" s="49">
        <v>1.5859164217767618</v>
      </c>
      <c r="M43" s="49">
        <v>3.9549038410186768</v>
      </c>
      <c r="N43" s="49">
        <v>299.7500639611959</v>
      </c>
      <c r="O43" s="49">
        <v>0</v>
      </c>
      <c r="P43" s="49">
        <v>0</v>
      </c>
      <c r="Q43" s="49">
        <v>299.75006103515625</v>
      </c>
      <c r="R43" s="49">
        <v>2.2337753273248104</v>
      </c>
      <c r="S43" s="49">
        <v>3062.4499148252303</v>
      </c>
      <c r="T43" s="49">
        <v>87.75300598144531</v>
      </c>
      <c r="U43" s="49">
        <v>453.8971252441406</v>
      </c>
      <c r="V43" s="49">
        <v>3600.1207938594716</v>
      </c>
      <c r="W43" s="49">
        <v>299.7500639611959</v>
      </c>
      <c r="X43" s="48">
        <v>12.010408759497462</v>
      </c>
      <c r="Y43" s="60">
        <v>1458.9029541015625</v>
      </c>
      <c r="Z43" s="60">
        <v>0</v>
      </c>
      <c r="AA43" s="60">
        <v>0</v>
      </c>
      <c r="AB43" s="60">
        <v>5059.02392578125</v>
      </c>
      <c r="AC43" s="60">
        <v>299.75006103515625</v>
      </c>
      <c r="AD43" s="48">
        <v>16.877473831176758</v>
      </c>
      <c r="AE43" s="60"/>
      <c r="AF43" s="60"/>
      <c r="AG43" s="60"/>
      <c r="AH43" s="60"/>
      <c r="AI43" s="60"/>
      <c r="AJ43" s="60"/>
      <c r="AK43" s="60"/>
      <c r="AL43" s="49"/>
      <c r="AM43" s="49"/>
      <c r="AN43" s="49"/>
      <c r="AO43" s="49"/>
    </row>
    <row r="44" spans="2:41" ht="12.75" customHeight="1">
      <c r="B44" t="s">
        <v>172</v>
      </c>
      <c r="C44" s="49">
        <v>45</v>
      </c>
      <c r="D44" s="49">
        <v>2902.210835790953</v>
      </c>
      <c r="E44" s="49">
        <v>627.53</v>
      </c>
      <c r="F44" s="49">
        <v>0</v>
      </c>
      <c r="G44" s="49">
        <v>0</v>
      </c>
      <c r="H44" s="49"/>
      <c r="I44" s="49">
        <v>0.21</v>
      </c>
      <c r="J44" s="49">
        <v>0.4009999930858612</v>
      </c>
      <c r="K44" s="49">
        <v>3123.5044120200128</v>
      </c>
      <c r="L44" s="49">
        <v>0.6808682581124604</v>
      </c>
      <c r="M44" s="49">
        <v>1.6979258060455322</v>
      </c>
      <c r="N44" s="49">
        <v>627.5307339036118</v>
      </c>
      <c r="O44" s="49">
        <v>0</v>
      </c>
      <c r="P44" s="49">
        <v>0</v>
      </c>
      <c r="Q44" s="49">
        <v>627.53076171875</v>
      </c>
      <c r="R44" s="49">
        <v>10.8926218630119</v>
      </c>
      <c r="S44" s="49">
        <v>1314.7760565639783</v>
      </c>
      <c r="T44" s="49">
        <v>37.67426681518555</v>
      </c>
      <c r="U44" s="49">
        <v>194.86785888671875</v>
      </c>
      <c r="V44" s="49">
        <v>1545.6098018211183</v>
      </c>
      <c r="W44" s="49">
        <v>627.5307339036118</v>
      </c>
      <c r="X44" s="48">
        <v>2.4630025563951463</v>
      </c>
      <c r="Y44" s="60">
        <v>626.3386840820312</v>
      </c>
      <c r="Z44" s="60">
        <v>0</v>
      </c>
      <c r="AA44" s="60">
        <v>0</v>
      </c>
      <c r="AB44" s="60">
        <v>2171.948486328125</v>
      </c>
      <c r="AC44" s="60">
        <v>627.53076171875</v>
      </c>
      <c r="AD44" s="48">
        <v>3.4611027240753174</v>
      </c>
      <c r="AE44" s="60"/>
      <c r="AF44" s="60"/>
      <c r="AG44" s="60"/>
      <c r="AH44" s="60"/>
      <c r="AI44" s="60"/>
      <c r="AJ44" s="60"/>
      <c r="AK44" s="60"/>
      <c r="AL44" s="49"/>
      <c r="AM44" s="49"/>
      <c r="AN44" s="49"/>
      <c r="AO44" s="49"/>
    </row>
    <row r="45" spans="2:41" ht="12.75" customHeight="1">
      <c r="B45" t="s">
        <v>173</v>
      </c>
      <c r="C45" s="49">
        <v>45</v>
      </c>
      <c r="D45" s="49">
        <v>1427.3735477830742</v>
      </c>
      <c r="E45" s="49">
        <v>436.8</v>
      </c>
      <c r="F45" s="49">
        <v>0</v>
      </c>
      <c r="G45" s="49">
        <v>0</v>
      </c>
      <c r="H45" s="49"/>
      <c r="I45" s="49">
        <v>0.21</v>
      </c>
      <c r="J45" s="49">
        <v>0.4009999930858612</v>
      </c>
      <c r="K45" s="49">
        <v>1536.2107808015335</v>
      </c>
      <c r="L45" s="49">
        <v>0.3348665538594479</v>
      </c>
      <c r="M45" s="49">
        <v>0.8350787162780762</v>
      </c>
      <c r="N45" s="49">
        <v>436.8000932051722</v>
      </c>
      <c r="O45" s="49">
        <v>0</v>
      </c>
      <c r="P45" s="49">
        <v>0</v>
      </c>
      <c r="Q45" s="49">
        <v>436.8000793457031</v>
      </c>
      <c r="R45" s="49">
        <v>15.41599119709627</v>
      </c>
      <c r="S45" s="49">
        <v>646.6368815298354</v>
      </c>
      <c r="T45" s="49">
        <v>18.529064178466797</v>
      </c>
      <c r="U45" s="49">
        <v>95.84046173095703</v>
      </c>
      <c r="V45" s="49">
        <v>760.1661872946614</v>
      </c>
      <c r="W45" s="49">
        <v>436.8000932051722</v>
      </c>
      <c r="X45" s="48">
        <v>1.7403068339951084</v>
      </c>
      <c r="Y45" s="60">
        <v>308.047607421875</v>
      </c>
      <c r="Z45" s="60">
        <v>0</v>
      </c>
      <c r="AA45" s="60">
        <v>0</v>
      </c>
      <c r="AB45" s="60">
        <v>1068.2138671875</v>
      </c>
      <c r="AC45" s="60">
        <v>436.8000793457031</v>
      </c>
      <c r="AD45" s="48">
        <v>2.4455440044403076</v>
      </c>
      <c r="AE45" s="60"/>
      <c r="AF45" s="60"/>
      <c r="AG45" s="60"/>
      <c r="AH45" s="60"/>
      <c r="AI45" s="60"/>
      <c r="AJ45" s="60"/>
      <c r="AK45" s="60"/>
      <c r="AL45" s="49"/>
      <c r="AM45" s="49"/>
      <c r="AN45" s="49"/>
      <c r="AO45" s="49"/>
    </row>
    <row r="46" spans="2:41" ht="12.75" customHeight="1">
      <c r="B46" t="s">
        <v>171</v>
      </c>
      <c r="C46" s="49">
        <v>45</v>
      </c>
      <c r="D46" s="49">
        <v>3500.9703732569724</v>
      </c>
      <c r="E46" s="49">
        <v>1228.29</v>
      </c>
      <c r="F46" s="49">
        <v>0</v>
      </c>
      <c r="G46" s="49">
        <v>0</v>
      </c>
      <c r="H46" s="49"/>
      <c r="I46" s="49">
        <v>0.21</v>
      </c>
      <c r="J46" s="49">
        <v>0.4009999632835388</v>
      </c>
      <c r="K46" s="49">
        <v>3767.9193642178166</v>
      </c>
      <c r="L46" s="49">
        <v>0.8213392253747702</v>
      </c>
      <c r="M46" s="49">
        <v>2.048227548599243</v>
      </c>
      <c r="N46" s="49">
        <v>1228.2885620943737</v>
      </c>
      <c r="O46" s="49">
        <v>0</v>
      </c>
      <c r="P46" s="49">
        <v>0</v>
      </c>
      <c r="Q46" s="49">
        <v>1228.28857421875</v>
      </c>
      <c r="R46" s="49">
        <v>17.674143190593373</v>
      </c>
      <c r="S46" s="49">
        <v>1586.0295071373228</v>
      </c>
      <c r="T46" s="49">
        <v>45.446903228759766</v>
      </c>
      <c r="U46" s="49">
        <v>235.0713348388672</v>
      </c>
      <c r="V46" s="49">
        <v>1864.4869051380879</v>
      </c>
      <c r="W46" s="49">
        <v>1228.2885620943737</v>
      </c>
      <c r="X46" s="48">
        <v>1.5179551146832488</v>
      </c>
      <c r="Y46" s="60">
        <v>755.5594482421875</v>
      </c>
      <c r="Z46" s="60">
        <v>0</v>
      </c>
      <c r="AA46" s="60">
        <v>0</v>
      </c>
      <c r="AB46" s="60">
        <v>2620.04638671875</v>
      </c>
      <c r="AC46" s="60">
        <v>1228.28857421875</v>
      </c>
      <c r="AD46" s="48">
        <v>2.133086919784546</v>
      </c>
      <c r="AE46" s="60"/>
      <c r="AF46" s="60"/>
      <c r="AG46" s="60"/>
      <c r="AH46" s="60"/>
      <c r="AI46" s="60"/>
      <c r="AJ46" s="60"/>
      <c r="AK46" s="60"/>
      <c r="AL46" s="49"/>
      <c r="AM46" s="49"/>
      <c r="AN46" s="49"/>
      <c r="AO46" s="49"/>
    </row>
    <row r="47" spans="2:41" ht="12.75" customHeight="1">
      <c r="B47" t="s">
        <v>174</v>
      </c>
      <c r="C47" s="49">
        <v>45</v>
      </c>
      <c r="D47" s="49">
        <v>385.4580933053803</v>
      </c>
      <c r="E47" s="49">
        <v>144.6</v>
      </c>
      <c r="F47" s="49">
        <v>0</v>
      </c>
      <c r="G47" s="49">
        <v>0</v>
      </c>
      <c r="H47" s="49"/>
      <c r="I47" s="49">
        <v>0.21</v>
      </c>
      <c r="J47" s="49">
        <v>0.4009999930858612</v>
      </c>
      <c r="K47" s="49">
        <v>414.84927291991556</v>
      </c>
      <c r="L47" s="49">
        <v>0.09042974319012866</v>
      </c>
      <c r="M47" s="49">
        <v>0.2255105823278427</v>
      </c>
      <c r="N47" s="49">
        <v>144.59893085477418</v>
      </c>
      <c r="O47" s="49">
        <v>0</v>
      </c>
      <c r="P47" s="49">
        <v>0</v>
      </c>
      <c r="Q47" s="49">
        <v>144.59893798828125</v>
      </c>
      <c r="R47" s="49">
        <v>18.897933127871635</v>
      </c>
      <c r="S47" s="49">
        <v>174.62241737809512</v>
      </c>
      <c r="T47" s="49">
        <v>5.003720283508301</v>
      </c>
      <c r="U47" s="49">
        <v>25.881439208984375</v>
      </c>
      <c r="V47" s="49">
        <v>205.28067769649496</v>
      </c>
      <c r="W47" s="49">
        <v>144.59893085477418</v>
      </c>
      <c r="X47" s="48">
        <v>1.4196555706394924</v>
      </c>
      <c r="Y47" s="60">
        <v>83.18736267089844</v>
      </c>
      <c r="Z47" s="60">
        <v>0</v>
      </c>
      <c r="AA47" s="60">
        <v>0</v>
      </c>
      <c r="AB47" s="60">
        <v>288.4680480957031</v>
      </c>
      <c r="AC47" s="60">
        <v>144.59893798828125</v>
      </c>
      <c r="AD47" s="48">
        <v>1.9949527978897095</v>
      </c>
      <c r="AE47" s="60"/>
      <c r="AF47" s="60"/>
      <c r="AG47" s="60"/>
      <c r="AH47" s="60"/>
      <c r="AI47" s="60"/>
      <c r="AJ47" s="60"/>
      <c r="AK47" s="60"/>
      <c r="AL47" s="49"/>
      <c r="AM47" s="49"/>
      <c r="AN47" s="49"/>
      <c r="AO47" s="49"/>
    </row>
    <row r="48" spans="1:41" ht="12.75" customHeight="1">
      <c r="A48"/>
      <c r="B48" t="s">
        <v>177</v>
      </c>
      <c r="C48" s="49">
        <v>45</v>
      </c>
      <c r="D48" s="49">
        <v>576.7169296689572</v>
      </c>
      <c r="E48" s="49">
        <v>240.51</v>
      </c>
      <c r="F48" s="49">
        <v>0</v>
      </c>
      <c r="G48" s="49">
        <v>0</v>
      </c>
      <c r="H48" s="49"/>
      <c r="I48" s="49">
        <v>0.21</v>
      </c>
      <c r="J48" s="49">
        <v>0.4009999930858612</v>
      </c>
      <c r="K48" s="49">
        <v>620.6915955562151</v>
      </c>
      <c r="L48" s="49">
        <v>0.13529969859017965</v>
      </c>
      <c r="M48" s="49">
        <v>0.3374057412147522</v>
      </c>
      <c r="N48" s="49">
        <v>240.50525131943357</v>
      </c>
      <c r="O48" s="49">
        <v>0</v>
      </c>
      <c r="P48" s="49">
        <v>0</v>
      </c>
      <c r="Q48" s="49">
        <v>240.5052490234375</v>
      </c>
      <c r="R48" s="49">
        <v>21.00817059854173</v>
      </c>
      <c r="S48" s="49">
        <v>261.2675830414595</v>
      </c>
      <c r="T48" s="49">
        <v>7.486495018005371</v>
      </c>
      <c r="U48" s="49">
        <v>38.72343826293945</v>
      </c>
      <c r="V48" s="49">
        <v>307.13803326664976</v>
      </c>
      <c r="W48" s="49">
        <v>240.50525131943357</v>
      </c>
      <c r="X48" s="48">
        <v>1.2770533349341135</v>
      </c>
      <c r="Y48" s="60">
        <v>124.46373748779297</v>
      </c>
      <c r="Z48" s="60">
        <v>0</v>
      </c>
      <c r="AA48" s="60">
        <v>0</v>
      </c>
      <c r="AB48" s="60">
        <v>431.6017761230469</v>
      </c>
      <c r="AC48" s="60">
        <v>240.5052490234375</v>
      </c>
      <c r="AD48" s="48">
        <v>1.794562816619873</v>
      </c>
      <c r="AE48" s="60"/>
      <c r="AF48" s="60"/>
      <c r="AG48" s="60"/>
      <c r="AH48" s="60"/>
      <c r="AI48" s="60"/>
      <c r="AJ48" s="60"/>
      <c r="AK48" s="60"/>
      <c r="AL48" s="49"/>
      <c r="AM48" s="49"/>
      <c r="AN48" s="49"/>
      <c r="AO48" s="49"/>
    </row>
    <row r="49" spans="1:41" ht="12.75" customHeight="1">
      <c r="A49"/>
      <c r="B49" t="s">
        <v>176</v>
      </c>
      <c r="C49" s="49">
        <v>45</v>
      </c>
      <c r="D49" s="49">
        <v>327.9525883390379</v>
      </c>
      <c r="E49" s="49">
        <v>182</v>
      </c>
      <c r="F49" s="49">
        <v>0</v>
      </c>
      <c r="G49" s="49">
        <v>0</v>
      </c>
      <c r="H49" s="49"/>
      <c r="I49" s="49">
        <v>0.21</v>
      </c>
      <c r="J49" s="49">
        <v>0.4009999930858612</v>
      </c>
      <c r="K49" s="49">
        <v>352.95897319988956</v>
      </c>
      <c r="L49" s="49">
        <v>0.07693876158553403</v>
      </c>
      <c r="M49" s="49">
        <v>0.19186723232269287</v>
      </c>
      <c r="N49" s="49">
        <v>182.0000388354884</v>
      </c>
      <c r="O49" s="49">
        <v>0</v>
      </c>
      <c r="P49" s="49">
        <v>0</v>
      </c>
      <c r="Q49" s="49">
        <v>182.0000457763672</v>
      </c>
      <c r="R49" s="49">
        <v>27.956758302056304</v>
      </c>
      <c r="S49" s="49">
        <v>148.5709465070057</v>
      </c>
      <c r="T49" s="49">
        <v>4.257227897644043</v>
      </c>
      <c r="U49" s="49">
        <v>22.020252227783203</v>
      </c>
      <c r="V49" s="49">
        <v>174.65537814643827</v>
      </c>
      <c r="W49" s="49">
        <v>182.0000388354884</v>
      </c>
      <c r="X49" s="69">
        <v>0.9596447300998159</v>
      </c>
      <c r="Y49" s="60">
        <v>70.77685546875</v>
      </c>
      <c r="Z49" s="60">
        <v>0</v>
      </c>
      <c r="AA49" s="60">
        <v>0</v>
      </c>
      <c r="AB49" s="60">
        <v>245.43223571777344</v>
      </c>
      <c r="AC49" s="60">
        <v>182.0000457763672</v>
      </c>
      <c r="AD49" s="48">
        <v>1.3485283851623535</v>
      </c>
      <c r="AE49" s="60"/>
      <c r="AF49" s="60"/>
      <c r="AG49" s="60"/>
      <c r="AH49" s="60"/>
      <c r="AI49" s="60"/>
      <c r="AJ49" s="60"/>
      <c r="AK49" s="60"/>
      <c r="AL49" s="49"/>
      <c r="AM49" s="49"/>
      <c r="AN49" s="49"/>
      <c r="AO49" s="49"/>
    </row>
    <row r="50" spans="1:41" ht="12.75" customHeight="1">
      <c r="A50"/>
      <c r="B50" t="s">
        <v>488</v>
      </c>
      <c r="C50" s="49">
        <v>45</v>
      </c>
      <c r="D50" s="49">
        <v>8696.810842501114</v>
      </c>
      <c r="E50" s="49">
        <v>5043.89</v>
      </c>
      <c r="F50" s="49">
        <v>0</v>
      </c>
      <c r="G50" s="49">
        <v>0</v>
      </c>
      <c r="H50" s="49"/>
      <c r="I50" s="49">
        <v>0.21</v>
      </c>
      <c r="J50" s="49">
        <v>0.4009999930858612</v>
      </c>
      <c r="K50" s="49">
        <v>9359.942669241824</v>
      </c>
      <c r="L50" s="49">
        <v>2.0403005792835556</v>
      </c>
      <c r="M50" s="49">
        <v>5.08803129196167</v>
      </c>
      <c r="N50" s="49">
        <v>5043.895976275396</v>
      </c>
      <c r="O50" s="49">
        <v>0</v>
      </c>
      <c r="P50" s="49">
        <v>0</v>
      </c>
      <c r="Q50" s="49">
        <v>5043.89599609375</v>
      </c>
      <c r="R50" s="49">
        <v>29.216788314892966</v>
      </c>
      <c r="S50" s="49">
        <v>3939.8787032197815</v>
      </c>
      <c r="T50" s="49">
        <v>112.89530181884766</v>
      </c>
      <c r="U50" s="49">
        <v>583.944091796875</v>
      </c>
      <c r="V50" s="49">
        <v>4631.598738338567</v>
      </c>
      <c r="W50" s="49">
        <v>5043.895976275396</v>
      </c>
      <c r="X50" s="69">
        <v>0.9182581798125654</v>
      </c>
      <c r="Y50" s="60">
        <v>1876.8963623046875</v>
      </c>
      <c r="Z50" s="60">
        <v>0</v>
      </c>
      <c r="AA50" s="60">
        <v>0</v>
      </c>
      <c r="AB50" s="60">
        <v>6508.4951171875</v>
      </c>
      <c r="AC50" s="60">
        <v>5043.89599609375</v>
      </c>
      <c r="AD50" s="48">
        <v>1.2903705835342407</v>
      </c>
      <c r="AE50" s="60"/>
      <c r="AF50" s="60"/>
      <c r="AG50" s="60"/>
      <c r="AH50" s="60"/>
      <c r="AI50" s="60"/>
      <c r="AJ50" s="60"/>
      <c r="AK50" s="60"/>
      <c r="AL50" s="49"/>
      <c r="AM50" s="49"/>
      <c r="AN50" s="49"/>
      <c r="AO50" s="49"/>
    </row>
    <row r="51" spans="1:41" ht="12.75" customHeight="1">
      <c r="A51"/>
      <c r="B51" t="s">
        <v>185</v>
      </c>
      <c r="C51" s="49">
        <v>45</v>
      </c>
      <c r="D51" s="49">
        <v>658.2105564312242</v>
      </c>
      <c r="E51" s="49">
        <v>406.08</v>
      </c>
      <c r="F51" s="49">
        <v>0</v>
      </c>
      <c r="G51" s="49">
        <v>0</v>
      </c>
      <c r="H51" s="49"/>
      <c r="I51" s="49">
        <v>0.21</v>
      </c>
      <c r="J51" s="49">
        <v>0.4009999632835388</v>
      </c>
      <c r="K51" s="49">
        <v>708.399111359105</v>
      </c>
      <c r="L51" s="49">
        <v>0.1544183728837961</v>
      </c>
      <c r="M51" s="49">
        <v>0.38508322834968567</v>
      </c>
      <c r="N51" s="49">
        <v>406.08008665008316</v>
      </c>
      <c r="O51" s="49">
        <v>0</v>
      </c>
      <c r="P51" s="49">
        <v>0</v>
      </c>
      <c r="Q51" s="49">
        <v>406.080078125</v>
      </c>
      <c r="R51" s="49">
        <v>31.079440996058572</v>
      </c>
      <c r="S51" s="49">
        <v>298.18628925957137</v>
      </c>
      <c r="T51" s="49">
        <v>8.54438304901123</v>
      </c>
      <c r="U51" s="49">
        <v>44.1953010559082</v>
      </c>
      <c r="V51" s="49">
        <v>350.53851874689224</v>
      </c>
      <c r="W51" s="49">
        <v>406.08008665008316</v>
      </c>
      <c r="X51" s="69">
        <v>0.8632250885253313</v>
      </c>
      <c r="Y51" s="60">
        <v>142.05125427246094</v>
      </c>
      <c r="Z51" s="60">
        <v>0</v>
      </c>
      <c r="AA51" s="60">
        <v>0</v>
      </c>
      <c r="AB51" s="60">
        <v>492.58978271484375</v>
      </c>
      <c r="AC51" s="60">
        <v>406.080078125</v>
      </c>
      <c r="AD51" s="48">
        <v>1.213036060333252</v>
      </c>
      <c r="AE51" s="60"/>
      <c r="AF51" s="60"/>
      <c r="AG51" s="60"/>
      <c r="AH51" s="60"/>
      <c r="AI51" s="60"/>
      <c r="AJ51" s="60"/>
      <c r="AK51" s="60"/>
      <c r="AL51" s="49"/>
      <c r="AM51" s="49"/>
      <c r="AN51" s="49"/>
      <c r="AO51" s="49"/>
    </row>
    <row r="52" spans="1:41" ht="12.75" customHeight="1">
      <c r="A52"/>
      <c r="B52" t="s">
        <v>179</v>
      </c>
      <c r="C52" s="49">
        <v>45</v>
      </c>
      <c r="D52" s="49">
        <v>101.49531555820795</v>
      </c>
      <c r="E52" s="49">
        <v>94.64</v>
      </c>
      <c r="F52" s="49">
        <v>0</v>
      </c>
      <c r="G52" s="49">
        <v>0</v>
      </c>
      <c r="H52" s="49"/>
      <c r="I52" s="49">
        <v>0.21</v>
      </c>
      <c r="J52" s="49">
        <v>0.4009999632835388</v>
      </c>
      <c r="K52" s="49">
        <v>109.2343333695213</v>
      </c>
      <c r="L52" s="49">
        <v>0.023811136619872095</v>
      </c>
      <c r="M52" s="49">
        <v>0.059379395097494125</v>
      </c>
      <c r="N52" s="49">
        <v>94.64002019445397</v>
      </c>
      <c r="O52" s="49">
        <v>0</v>
      </c>
      <c r="P52" s="49">
        <v>0</v>
      </c>
      <c r="Q52" s="49">
        <v>94.64002227783203</v>
      </c>
      <c r="R52" s="49">
        <v>46.97374824492912</v>
      </c>
      <c r="S52" s="49">
        <v>45.97998501820403</v>
      </c>
      <c r="T52" s="49">
        <v>1.31753408908844</v>
      </c>
      <c r="U52" s="49">
        <v>6.814864158630371</v>
      </c>
      <c r="V52" s="49">
        <v>54.05263821871898</v>
      </c>
      <c r="W52" s="49">
        <v>94.64002019445397</v>
      </c>
      <c r="X52" s="69">
        <v>0.5711393352163141</v>
      </c>
      <c r="Y52" s="60">
        <v>21.904136657714844</v>
      </c>
      <c r="Z52" s="60">
        <v>0</v>
      </c>
      <c r="AA52" s="60">
        <v>0</v>
      </c>
      <c r="AB52" s="60">
        <v>75.95677185058594</v>
      </c>
      <c r="AC52" s="60">
        <v>94.64002227783203</v>
      </c>
      <c r="AD52" s="69">
        <v>0.8025861382484436</v>
      </c>
      <c r="AE52" s="60"/>
      <c r="AF52" s="60"/>
      <c r="AG52" s="60"/>
      <c r="AH52" s="60"/>
      <c r="AI52" s="60"/>
      <c r="AJ52" s="60"/>
      <c r="AK52" s="60"/>
      <c r="AL52" s="49"/>
      <c r="AM52" s="49"/>
      <c r="AN52" s="49"/>
      <c r="AO52" s="49"/>
    </row>
    <row r="53" spans="1:41" ht="12.75" customHeight="1">
      <c r="A53"/>
      <c r="B53" t="s">
        <v>178</v>
      </c>
      <c r="C53" s="49">
        <v>45</v>
      </c>
      <c r="D53" s="49">
        <v>126.86914444775539</v>
      </c>
      <c r="E53" s="49">
        <v>132.47</v>
      </c>
      <c r="F53" s="49">
        <v>0</v>
      </c>
      <c r="G53" s="49">
        <v>0</v>
      </c>
      <c r="H53" s="49"/>
      <c r="I53" s="49">
        <v>0.21</v>
      </c>
      <c r="J53" s="49">
        <v>0.4009999930858612</v>
      </c>
      <c r="K53" s="49">
        <v>136.54291671189674</v>
      </c>
      <c r="L53" s="49">
        <v>0.02976392077483905</v>
      </c>
      <c r="M53" s="49">
        <v>0.07422424107789993</v>
      </c>
      <c r="N53" s="49">
        <v>132.4730282673278</v>
      </c>
      <c r="O53" s="49">
        <v>0</v>
      </c>
      <c r="P53" s="49">
        <v>0</v>
      </c>
      <c r="Q53" s="49">
        <v>132.4730224609375</v>
      </c>
      <c r="R53" s="49">
        <v>52.60145853049179</v>
      </c>
      <c r="S53" s="49">
        <v>57.4749812727527</v>
      </c>
      <c r="T53" s="49">
        <v>1.6469175815582275</v>
      </c>
      <c r="U53" s="49">
        <v>8.51858139038086</v>
      </c>
      <c r="V53" s="49">
        <v>67.56579896548922</v>
      </c>
      <c r="W53" s="49">
        <v>132.4730282673278</v>
      </c>
      <c r="X53" s="69">
        <v>0.5100343809544601</v>
      </c>
      <c r="Y53" s="60">
        <v>27.38017463684082</v>
      </c>
      <c r="Z53" s="60">
        <v>0</v>
      </c>
      <c r="AA53" s="60">
        <v>0</v>
      </c>
      <c r="AB53" s="60">
        <v>94.94597625732422</v>
      </c>
      <c r="AC53" s="60">
        <v>132.4730224609375</v>
      </c>
      <c r="AD53" s="69">
        <v>0.7167193293571472</v>
      </c>
      <c r="AE53" s="60"/>
      <c r="AF53" s="60"/>
      <c r="AG53" s="60"/>
      <c r="AH53" s="60"/>
      <c r="AI53" s="60"/>
      <c r="AJ53" s="60"/>
      <c r="AK53" s="60"/>
      <c r="AL53" s="49"/>
      <c r="AM53" s="49"/>
      <c r="AN53" s="49"/>
      <c r="AO53" s="49"/>
    </row>
    <row r="54" spans="1:41" ht="12.75" customHeight="1">
      <c r="A54"/>
      <c r="B54" t="s">
        <v>500</v>
      </c>
      <c r="C54" s="49">
        <v>45</v>
      </c>
      <c r="D54" s="49">
        <v>1033.6887914736908</v>
      </c>
      <c r="E54" s="49">
        <v>1512</v>
      </c>
      <c r="F54" s="49">
        <v>0</v>
      </c>
      <c r="G54" s="49">
        <v>0</v>
      </c>
      <c r="H54" s="49"/>
      <c r="I54" s="49">
        <v>0.21</v>
      </c>
      <c r="J54" s="49">
        <v>0.4009999930858612</v>
      </c>
      <c r="K54" s="49">
        <v>1112.5075618235596</v>
      </c>
      <c r="L54" s="49">
        <v>0.242506808327471</v>
      </c>
      <c r="M54" s="49">
        <v>0.604755163192749</v>
      </c>
      <c r="N54" s="49">
        <v>1512.0003226332883</v>
      </c>
      <c r="O54" s="49">
        <v>0</v>
      </c>
      <c r="P54" s="49">
        <v>0</v>
      </c>
      <c r="Q54" s="49">
        <v>1512.0003662109375</v>
      </c>
      <c r="R54" s="49">
        <v>73.68659126932766</v>
      </c>
      <c r="S54" s="49">
        <v>468.287574495864</v>
      </c>
      <c r="T54" s="49">
        <v>13.41855239868164</v>
      </c>
      <c r="U54" s="49">
        <v>69.40664672851562</v>
      </c>
      <c r="V54" s="49">
        <v>550.5042945512503</v>
      </c>
      <c r="W54" s="49">
        <v>1512.0003226332883</v>
      </c>
      <c r="X54" s="69">
        <v>0.36409006420878015</v>
      </c>
      <c r="Y54" s="60">
        <v>223.08485412597656</v>
      </c>
      <c r="Z54" s="60">
        <v>0</v>
      </c>
      <c r="AA54" s="60">
        <v>0</v>
      </c>
      <c r="AB54" s="60">
        <v>773.5891723632812</v>
      </c>
      <c r="AC54" s="60">
        <v>1512.0003662109375</v>
      </c>
      <c r="AD54" s="69">
        <v>0.5116329193115234</v>
      </c>
      <c r="AE54" s="60"/>
      <c r="AF54" s="60"/>
      <c r="AG54" s="60"/>
      <c r="AH54" s="60"/>
      <c r="AI54" s="60"/>
      <c r="AJ54" s="60"/>
      <c r="AK54" s="60"/>
      <c r="AL54" s="49"/>
      <c r="AM54" s="49"/>
      <c r="AN54" s="49"/>
      <c r="AO54" s="49"/>
    </row>
    <row r="55" spans="1:41" ht="12.75" customHeight="1">
      <c r="A55"/>
      <c r="B55" t="s">
        <v>180</v>
      </c>
      <c r="C55" s="49">
        <v>45</v>
      </c>
      <c r="D55" s="49">
        <v>382.5392323469714</v>
      </c>
      <c r="E55" s="49">
        <v>600.47</v>
      </c>
      <c r="F55" s="49">
        <v>0</v>
      </c>
      <c r="G55" s="49">
        <v>0</v>
      </c>
      <c r="H55" s="49"/>
      <c r="I55" s="49">
        <v>0.21</v>
      </c>
      <c r="J55" s="49">
        <v>0.4009999930858612</v>
      </c>
      <c r="K55" s="49">
        <v>411.7078488134279</v>
      </c>
      <c r="L55" s="49">
        <v>0.0897449687581971</v>
      </c>
      <c r="M55" s="49">
        <v>0.22380292415618896</v>
      </c>
      <c r="N55" s="49">
        <v>600.4689281291161</v>
      </c>
      <c r="O55" s="49">
        <v>0</v>
      </c>
      <c r="P55" s="49">
        <v>0</v>
      </c>
      <c r="Q55" s="49">
        <v>600.4689331054688</v>
      </c>
      <c r="R55" s="49">
        <v>79.07531651215328</v>
      </c>
      <c r="S55" s="49">
        <v>173.30009838830028</v>
      </c>
      <c r="T55" s="49">
        <v>4.965829849243164</v>
      </c>
      <c r="U55" s="49">
        <v>25.68545150756836</v>
      </c>
      <c r="V55" s="49">
        <v>203.72619878090035</v>
      </c>
      <c r="W55" s="49">
        <v>600.4689281291161</v>
      </c>
      <c r="X55" s="69">
        <v>0.33927850257906106</v>
      </c>
      <c r="Y55" s="60">
        <v>82.55741882324219</v>
      </c>
      <c r="Z55" s="60">
        <v>0</v>
      </c>
      <c r="AA55" s="60">
        <v>0</v>
      </c>
      <c r="AB55" s="60">
        <v>286.28363037109375</v>
      </c>
      <c r="AC55" s="60">
        <v>600.4689331054688</v>
      </c>
      <c r="AD55" s="69">
        <v>0.47676676511764526</v>
      </c>
      <c r="AE55" s="60"/>
      <c r="AF55" s="60"/>
      <c r="AG55" s="60"/>
      <c r="AH55" s="60"/>
      <c r="AI55" s="60"/>
      <c r="AJ55" s="60"/>
      <c r="AK55" s="60"/>
      <c r="AL55" s="49"/>
      <c r="AM55" s="49"/>
      <c r="AN55" s="49"/>
      <c r="AO55" s="49"/>
    </row>
    <row r="56" spans="1:41" ht="12.75" customHeight="1">
      <c r="A56"/>
      <c r="B56" t="s">
        <v>490</v>
      </c>
      <c r="C56" s="49">
        <v>45</v>
      </c>
      <c r="D56" s="49">
        <v>416.73521097274715</v>
      </c>
      <c r="E56" s="49">
        <v>1092</v>
      </c>
      <c r="F56" s="49">
        <v>0</v>
      </c>
      <c r="G56" s="49">
        <v>0</v>
      </c>
      <c r="H56" s="49"/>
      <c r="I56" s="49">
        <v>0.21</v>
      </c>
      <c r="J56" s="49">
        <v>0.4009999632835388</v>
      </c>
      <c r="K56" s="49">
        <v>448.5112708094191</v>
      </c>
      <c r="L56" s="49">
        <v>0.09776745841134371</v>
      </c>
      <c r="M56" s="49">
        <v>0.24380913376808167</v>
      </c>
      <c r="N56" s="49">
        <v>1092.0002330129305</v>
      </c>
      <c r="O56" s="49">
        <v>0</v>
      </c>
      <c r="P56" s="49">
        <v>0</v>
      </c>
      <c r="Q56" s="49">
        <v>1092.000244140625</v>
      </c>
      <c r="R56" s="49">
        <v>132.0045545892383</v>
      </c>
      <c r="S56" s="49">
        <v>188.7917550844581</v>
      </c>
      <c r="T56" s="49">
        <v>5.409735679626465</v>
      </c>
      <c r="U56" s="49">
        <v>27.981529235839844</v>
      </c>
      <c r="V56" s="49">
        <v>221.93770968166714</v>
      </c>
      <c r="W56" s="49">
        <v>1092.0002330129305</v>
      </c>
      <c r="X56" s="69">
        <v>0.20323961751301123</v>
      </c>
      <c r="Y56" s="60">
        <v>89.93741607666016</v>
      </c>
      <c r="Z56" s="60">
        <v>0</v>
      </c>
      <c r="AA56" s="60">
        <v>0</v>
      </c>
      <c r="AB56" s="60">
        <v>311.8751220703125</v>
      </c>
      <c r="AC56" s="60">
        <v>1092.000244140625</v>
      </c>
      <c r="AD56" s="69">
        <v>0.28559985756874084</v>
      </c>
      <c r="AE56" s="60"/>
      <c r="AF56" s="60"/>
      <c r="AG56" s="60"/>
      <c r="AH56" s="60"/>
      <c r="AI56" s="60"/>
      <c r="AJ56" s="60"/>
      <c r="AK56" s="60"/>
      <c r="AL56" s="49"/>
      <c r="AM56" s="49"/>
      <c r="AN56" s="49"/>
      <c r="AO56" s="49"/>
    </row>
    <row r="57" spans="1:41" ht="12.75" customHeight="1">
      <c r="A57"/>
      <c r="B57"/>
      <c r="C57" s="49"/>
      <c r="D57" s="49"/>
      <c r="E57" s="49"/>
      <c r="F57" s="49"/>
      <c r="G57" s="49"/>
      <c r="H57" s="49"/>
      <c r="I57" s="49"/>
      <c r="J57" s="49"/>
      <c r="K57" s="49"/>
      <c r="L57" s="49"/>
      <c r="M57" s="49"/>
      <c r="N57" s="49"/>
      <c r="O57" s="49"/>
      <c r="P57" s="49"/>
      <c r="Q57" s="49"/>
      <c r="R57" s="49"/>
      <c r="S57" s="49"/>
      <c r="T57" s="49"/>
      <c r="U57" s="49"/>
      <c r="V57" s="49"/>
      <c r="W57" s="49"/>
      <c r="X57" s="60"/>
      <c r="Y57" s="60"/>
      <c r="Z57" s="60"/>
      <c r="AA57" s="60"/>
      <c r="AB57" s="60"/>
      <c r="AC57" s="60"/>
      <c r="AD57" s="60"/>
      <c r="AE57" s="60"/>
      <c r="AF57" s="60"/>
      <c r="AG57" s="60"/>
      <c r="AH57" s="60"/>
      <c r="AI57" s="60"/>
      <c r="AJ57" s="60"/>
      <c r="AK57" s="60"/>
      <c r="AL57" s="49"/>
      <c r="AM57" s="49"/>
      <c r="AN57" s="49"/>
      <c r="AO57" s="49"/>
    </row>
    <row r="58" spans="1:41" ht="12.75" customHeight="1" thickBot="1">
      <c r="A58"/>
      <c r="B5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row>
    <row r="59" spans="1:41" ht="12.75" customHeight="1" thickBot="1">
      <c r="A59" s="65" t="s">
        <v>67</v>
      </c>
      <c r="B59" s="66"/>
      <c r="C59" s="67"/>
      <c r="D59" s="67"/>
      <c r="E59" s="67"/>
      <c r="F59" s="67"/>
      <c r="G59" s="67"/>
      <c r="H59" s="67"/>
      <c r="I59" s="67"/>
      <c r="J59" s="67"/>
      <c r="K59" s="68"/>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row>
    <row r="60" spans="1:41" ht="25.5">
      <c r="A60" s="57"/>
      <c r="B60" s="58" t="s">
        <v>68</v>
      </c>
      <c r="C60" s="59" t="s">
        <v>64</v>
      </c>
      <c r="D60" s="59" t="s">
        <v>65</v>
      </c>
      <c r="E60" s="59" t="s">
        <v>69</v>
      </c>
      <c r="F60" s="59" t="s">
        <v>70</v>
      </c>
      <c r="G60" s="59" t="s">
        <v>71</v>
      </c>
      <c r="H60" s="59" t="s">
        <v>72</v>
      </c>
      <c r="I60" s="59" t="s">
        <v>66</v>
      </c>
      <c r="J60" s="59" t="s">
        <v>55</v>
      </c>
      <c r="K60" s="59" t="s">
        <v>63</v>
      </c>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row>
    <row r="61" spans="1:41" ht="12.75" customHeight="1">
      <c r="A61"/>
      <c r="B61" t="s">
        <v>73</v>
      </c>
      <c r="C61" s="49">
        <v>16738.61657215874</v>
      </c>
      <c r="D61" s="49">
        <v>2977.473635338561</v>
      </c>
      <c r="E61" s="49">
        <v>2977.47</v>
      </c>
      <c r="F61" s="49">
        <v>595.4946</v>
      </c>
      <c r="G61" s="49">
        <v>3572.968235338561</v>
      </c>
      <c r="H61" s="49">
        <v>1869.8798828125</v>
      </c>
      <c r="I61" s="49">
        <v>11.573084746460324</v>
      </c>
      <c r="J61" s="49">
        <v>7045.782360475921</v>
      </c>
      <c r="K61" s="48">
        <v>1.9719689335016688</v>
      </c>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row>
    <row r="62" spans="1:41" ht="12.75" customHeight="1">
      <c r="A62"/>
      <c r="B62" t="s">
        <v>74</v>
      </c>
      <c r="C62" s="49">
        <v>0</v>
      </c>
      <c r="D62" s="49">
        <v>0</v>
      </c>
      <c r="E62" s="49">
        <v>0</v>
      </c>
      <c r="F62" s="49">
        <v>0</v>
      </c>
      <c r="G62" s="49">
        <v>0</v>
      </c>
      <c r="H62" s="49">
        <v>0</v>
      </c>
      <c r="I62" s="49">
        <v>0</v>
      </c>
      <c r="J62" s="49">
        <v>12366.252693721857</v>
      </c>
      <c r="K62" s="69">
        <v>0</v>
      </c>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row>
    <row r="63" spans="1:41" ht="12.75" customHeight="1">
      <c r="A63"/>
      <c r="B63" t="s">
        <v>75</v>
      </c>
      <c r="C63" s="49">
        <v>17902.232197985057</v>
      </c>
      <c r="D63" s="49">
        <v>7149.4306640625</v>
      </c>
      <c r="E63" s="49">
        <v>7149.428421341477</v>
      </c>
      <c r="F63" s="49">
        <v>1429.8856842682953</v>
      </c>
      <c r="G63" s="49">
        <v>8579.316348330794</v>
      </c>
      <c r="H63" s="49">
        <v>4198.0693359375</v>
      </c>
      <c r="I63" s="49">
        <v>25.98274526812795</v>
      </c>
      <c r="J63" s="49">
        <v>7535.5828416254735</v>
      </c>
      <c r="K63" s="69">
        <v>0.8783430445587437</v>
      </c>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row>
    <row r="64" spans="1:41" ht="12.75" customHeight="1">
      <c r="A64"/>
      <c r="B64" t="s">
        <v>76</v>
      </c>
      <c r="C64" s="49">
        <v>7275.441146643244</v>
      </c>
      <c r="D64" s="49">
        <v>299.7500639611959</v>
      </c>
      <c r="E64" s="49">
        <v>299.75</v>
      </c>
      <c r="F64" s="49">
        <v>59.95</v>
      </c>
      <c r="G64" s="49">
        <v>359.7000639611959</v>
      </c>
      <c r="H64" s="49">
        <v>433.09710693359375</v>
      </c>
      <c r="I64" s="49">
        <v>2.68053031052721</v>
      </c>
      <c r="J64" s="49">
        <v>3062.4499148252303</v>
      </c>
      <c r="K64" s="48">
        <v>8.513898721896265</v>
      </c>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row>
    <row r="65" spans="1:41" ht="12.75" customHeight="1">
      <c r="A65"/>
      <c r="B65" t="s">
        <v>77</v>
      </c>
      <c r="C65" s="49">
        <v>4659.715192821546</v>
      </c>
      <c r="D65" s="49">
        <v>1064.330827108784</v>
      </c>
      <c r="E65" s="49">
        <v>1064.33</v>
      </c>
      <c r="F65" s="49">
        <v>212.86612000000002</v>
      </c>
      <c r="G65" s="49">
        <v>1277.1969471087841</v>
      </c>
      <c r="H65" s="49">
        <v>2401.057861328125</v>
      </c>
      <c r="I65" s="49">
        <v>14.860657953278533</v>
      </c>
      <c r="J65" s="49">
        <v>1961.4129380938136</v>
      </c>
      <c r="K65" s="102">
        <v>1.5357169014018572</v>
      </c>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row>
    <row r="66" spans="1:41" ht="12.75" customHeight="1">
      <c r="A66"/>
      <c r="B66" t="s">
        <v>78</v>
      </c>
      <c r="C66" s="49">
        <v>4803.460232693948</v>
      </c>
      <c r="D66" s="49">
        <v>1613.3927442685813</v>
      </c>
      <c r="E66" s="49">
        <v>1613.39</v>
      </c>
      <c r="F66" s="49">
        <v>322.67848000000004</v>
      </c>
      <c r="G66" s="49">
        <v>1936.0712242685813</v>
      </c>
      <c r="H66" s="49">
        <v>3530.78466796875</v>
      </c>
      <c r="I66" s="49">
        <v>21.85277880670154</v>
      </c>
      <c r="J66" s="49">
        <v>2021.9195075568773</v>
      </c>
      <c r="K66" s="102">
        <v>1.0443414902366146</v>
      </c>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row>
    <row r="67" spans="1:41" ht="12.75" customHeight="1">
      <c r="A67"/>
      <c r="B67" t="s">
        <v>79</v>
      </c>
      <c r="C67" s="49">
        <v>10421.300753800819</v>
      </c>
      <c r="D67" s="49">
        <v>5631.976101760967</v>
      </c>
      <c r="E67" s="49">
        <v>5631.97</v>
      </c>
      <c r="F67" s="49">
        <v>1126.39498</v>
      </c>
      <c r="G67" s="49">
        <v>6758.371081760967</v>
      </c>
      <c r="H67" s="49">
        <v>5680.9921875</v>
      </c>
      <c r="I67" s="49">
        <v>35.160872520902736</v>
      </c>
      <c r="J67" s="49">
        <v>4386.635938986359</v>
      </c>
      <c r="K67" s="70">
        <v>0.6490670438065638</v>
      </c>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row>
    <row r="68" spans="1:41" ht="12.75" customHeight="1">
      <c r="A68"/>
      <c r="B68" t="s">
        <v>80</v>
      </c>
      <c r="C68" s="49">
        <v>0</v>
      </c>
      <c r="D68" s="49">
        <v>0</v>
      </c>
      <c r="E68" s="49">
        <v>0</v>
      </c>
      <c r="F68" s="49">
        <v>0</v>
      </c>
      <c r="G68" s="49">
        <v>0</v>
      </c>
      <c r="H68" s="49">
        <v>0</v>
      </c>
      <c r="I68" s="49">
        <v>0</v>
      </c>
      <c r="J68" s="49">
        <v>0</v>
      </c>
      <c r="K68" s="70">
        <v>0</v>
      </c>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row>
    <row r="69" spans="1:41" ht="12.75" customHeight="1">
      <c r="A69"/>
      <c r="B69" t="s">
        <v>81</v>
      </c>
      <c r="C69" s="49">
        <v>109.2343333695213</v>
      </c>
      <c r="D69" s="49">
        <v>94.64002019445397</v>
      </c>
      <c r="E69" s="49">
        <v>94.64</v>
      </c>
      <c r="F69" s="49">
        <v>18.928</v>
      </c>
      <c r="G69" s="49">
        <v>113.56802019445396</v>
      </c>
      <c r="H69" s="49">
        <v>9107.5380859375</v>
      </c>
      <c r="I69" s="49">
        <v>56.36849395765775</v>
      </c>
      <c r="J69" s="49">
        <v>45.97998501820403</v>
      </c>
      <c r="K69" s="70">
        <v>0.40486736441716575</v>
      </c>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row>
    <row r="70" spans="1:41" ht="12.75" customHeight="1">
      <c r="A70"/>
      <c r="B70" t="s">
        <v>82</v>
      </c>
      <c r="C70" s="49">
        <v>2109.269598158304</v>
      </c>
      <c r="D70" s="49">
        <v>3336.9425120426627</v>
      </c>
      <c r="E70" s="49">
        <v>3336.94</v>
      </c>
      <c r="F70" s="49">
        <v>667.38836</v>
      </c>
      <c r="G70" s="49">
        <v>4004.3308720426626</v>
      </c>
      <c r="H70" s="49">
        <v>16630.373046875</v>
      </c>
      <c r="I70" s="49">
        <v>102.92891663979586</v>
      </c>
      <c r="J70" s="49">
        <v>887.8544092413752</v>
      </c>
      <c r="K70" s="70">
        <v>0.22172353824210056</v>
      </c>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row>
    <row r="71" spans="1:41" ht="12.75" customHeight="1">
      <c r="A71"/>
      <c r="B71"/>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row>
    <row r="72" spans="1:41" ht="12.75" customHeight="1">
      <c r="A72"/>
      <c r="B72"/>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row>
    <row r="73" spans="1:41" ht="12.75" customHeight="1">
      <c r="A73"/>
      <c r="B73"/>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row>
    <row r="74" spans="1:41" ht="12.75" customHeight="1">
      <c r="A74"/>
      <c r="B74"/>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41" ht="12.75" customHeight="1">
      <c r="A75"/>
      <c r="B7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row>
    <row r="76" spans="1:41" ht="12.75" customHeight="1">
      <c r="A76"/>
      <c r="B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row>
    <row r="77" spans="1:41" ht="12.75" customHeight="1">
      <c r="A77"/>
      <c r="B77"/>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row>
    <row r="78" spans="1:41" ht="12.75" customHeight="1">
      <c r="A78"/>
      <c r="B78"/>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row>
    <row r="79" spans="1:41" ht="12.75" customHeight="1">
      <c r="A79"/>
      <c r="B7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row>
    <row r="80" spans="1:41" ht="12.75" customHeight="1">
      <c r="A80"/>
      <c r="B80"/>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row>
    <row r="81" spans="1:41" ht="12.75" customHeight="1">
      <c r="A81"/>
      <c r="B81"/>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row>
    <row r="82" spans="1:41" ht="12.75" customHeight="1">
      <c r="A82"/>
      <c r="B82"/>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row>
    <row r="83" spans="1:41" ht="12.75" customHeight="1">
      <c r="A83"/>
      <c r="B83"/>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row>
    <row r="84" spans="1:41" ht="12.75" customHeight="1">
      <c r="A84"/>
      <c r="B84"/>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row>
    <row r="85" spans="1:41" ht="12.75" customHeight="1">
      <c r="A85"/>
      <c r="B85"/>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row>
    <row r="86" spans="1:41" ht="12.75" customHeight="1">
      <c r="A86"/>
      <c r="B86"/>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row>
    <row r="87" spans="1:41" ht="12.75" customHeight="1">
      <c r="A87"/>
      <c r="B87"/>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row>
    <row r="88" spans="1:41" ht="12.75" customHeight="1">
      <c r="A88"/>
      <c r="B88"/>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row>
    <row r="89" spans="1:41" ht="12.75" customHeight="1">
      <c r="A89"/>
      <c r="B8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row>
    <row r="90" spans="1:41" ht="12.75" customHeight="1">
      <c r="A90"/>
      <c r="B90"/>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row>
    <row r="91" spans="1:41" ht="12.75" customHeight="1">
      <c r="A91"/>
      <c r="B91"/>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row>
    <row r="92" spans="1:41" ht="12.75" customHeight="1">
      <c r="A92"/>
      <c r="B92"/>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row>
    <row r="93" spans="1:41" ht="12.75" customHeight="1">
      <c r="A93"/>
      <c r="B93"/>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row>
    <row r="94" spans="1:41" ht="12.75" customHeight="1">
      <c r="A94"/>
      <c r="B94"/>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row>
    <row r="95" spans="1:41" ht="12.75" customHeight="1">
      <c r="A95"/>
      <c r="B95"/>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row>
    <row r="96" spans="1:41" ht="12.75" customHeight="1">
      <c r="A96"/>
      <c r="B96"/>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row>
    <row r="97" spans="1:41" ht="12.75" customHeight="1">
      <c r="A97"/>
      <c r="B97"/>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row>
    <row r="98" spans="1:41" ht="12.75" customHeight="1">
      <c r="A98"/>
      <c r="B98"/>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row>
    <row r="99" spans="1:41" ht="12.75" customHeight="1">
      <c r="A99"/>
      <c r="B9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row>
    <row r="100" spans="1:41" ht="12.75" customHeight="1">
      <c r="A100"/>
      <c r="B100"/>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row>
    <row r="101" spans="1:41" ht="12.75" customHeight="1">
      <c r="A101"/>
      <c r="B101"/>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row>
    <row r="102" spans="1:41" ht="12.75" customHeight="1">
      <c r="A102"/>
      <c r="B102"/>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row>
    <row r="103" spans="1:41" ht="12.75" customHeight="1">
      <c r="A103"/>
      <c r="B103"/>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row>
    <row r="104" spans="1:41" ht="12.75" customHeight="1">
      <c r="A104"/>
      <c r="B104"/>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row>
    <row r="105" spans="1:41" ht="12.75" customHeight="1">
      <c r="A105"/>
      <c r="B105"/>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row>
    <row r="106" spans="1:41" ht="12.75" customHeight="1">
      <c r="A106"/>
      <c r="B106"/>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row>
    <row r="107" spans="1:41" ht="12.75" customHeight="1">
      <c r="A107"/>
      <c r="B107"/>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row>
    <row r="108" spans="1:41" ht="12.75" customHeight="1">
      <c r="A108"/>
      <c r="B108"/>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row>
    <row r="109" spans="1:41" ht="12.75" customHeight="1">
      <c r="A109"/>
      <c r="B10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row>
    <row r="110" spans="1:41" ht="12.75" customHeight="1">
      <c r="A110"/>
      <c r="B110"/>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row>
    <row r="111" spans="1:41" ht="12.75" customHeight="1">
      <c r="A111"/>
      <c r="B111"/>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row>
    <row r="112" spans="1:41" ht="12.75" customHeight="1">
      <c r="A112"/>
      <c r="B112"/>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row>
    <row r="113" spans="1:41" ht="12.75" customHeight="1">
      <c r="A113"/>
      <c r="B113"/>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row>
    <row r="114" spans="1:41" ht="12.75" customHeight="1">
      <c r="A114"/>
      <c r="B114"/>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row>
    <row r="115" spans="1:41" ht="12.75" customHeight="1">
      <c r="A115"/>
      <c r="B115"/>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row>
    <row r="116" spans="1:41" ht="12.75" customHeight="1">
      <c r="A116"/>
      <c r="B116"/>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row>
    <row r="117" spans="1:41" ht="12.75" customHeight="1">
      <c r="A117"/>
      <c r="B117"/>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row>
    <row r="118" spans="1:41" ht="12.75" customHeight="1">
      <c r="A118"/>
      <c r="B118"/>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row>
    <row r="119" spans="1:41" ht="12.75" customHeight="1">
      <c r="A119"/>
      <c r="B11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row>
    <row r="120" spans="1:41" ht="12.75" customHeight="1">
      <c r="A120"/>
      <c r="B120"/>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row>
    <row r="121" spans="1:41" ht="12.75" customHeight="1">
      <c r="A121"/>
      <c r="B121"/>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row>
    <row r="122" spans="1:41" ht="12.75" customHeight="1">
      <c r="A122"/>
      <c r="B122"/>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row>
    <row r="123" spans="1:41" ht="12.75" customHeight="1">
      <c r="A123"/>
      <c r="B123"/>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row>
    <row r="124" spans="1:41" ht="12.75" customHeight="1">
      <c r="A124"/>
      <c r="B124"/>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row>
    <row r="125" spans="1:41" ht="12.75" customHeight="1">
      <c r="A125"/>
      <c r="B125"/>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row>
    <row r="126" spans="1:41" ht="12.75" customHeight="1">
      <c r="A126"/>
      <c r="B126"/>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row>
    <row r="127" spans="1:41" ht="12.75" customHeight="1">
      <c r="A127"/>
      <c r="B127"/>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row>
    <row r="128" spans="1:41" ht="12.75" customHeight="1">
      <c r="A128"/>
      <c r="B128"/>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1:41" ht="12.75" customHeight="1">
      <c r="A129"/>
      <c r="B12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row>
    <row r="130" spans="1:41" ht="12.75" customHeight="1">
      <c r="A130"/>
      <c r="B130"/>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row>
    <row r="131" spans="1:41" ht="12.75" customHeight="1">
      <c r="A131"/>
      <c r="B131"/>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row>
    <row r="132" spans="1:41" ht="12.75" customHeight="1">
      <c r="A132"/>
      <c r="B132"/>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row>
    <row r="133" spans="1:41" ht="12.75" customHeight="1">
      <c r="A133"/>
      <c r="B133"/>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row>
    <row r="134" spans="1:41" ht="12.75" customHeight="1">
      <c r="A134"/>
      <c r="B134"/>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row>
    <row r="135" spans="1:41" ht="12.75" customHeight="1">
      <c r="A135"/>
      <c r="B135"/>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row>
    <row r="136" spans="1:41" ht="12.75" customHeight="1">
      <c r="A136"/>
      <c r="B136"/>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row>
    <row r="137" spans="1:41" ht="12.75" customHeight="1">
      <c r="A137"/>
      <c r="B137"/>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row>
    <row r="138" spans="1:41" ht="12.75" customHeight="1">
      <c r="A138"/>
      <c r="B138"/>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row>
    <row r="139" spans="1:41" ht="12.75" customHeight="1">
      <c r="A139"/>
      <c r="B13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row>
    <row r="140" spans="1:41" ht="12.75" customHeight="1">
      <c r="A140"/>
      <c r="B140"/>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row>
    <row r="141" spans="1:41" ht="12.75" customHeight="1">
      <c r="A141"/>
      <c r="B141"/>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row>
    <row r="142" spans="1:41" ht="12.75" customHeight="1">
      <c r="A142"/>
      <c r="B142"/>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row>
    <row r="143" spans="1:41" ht="12.75" customHeight="1">
      <c r="A143"/>
      <c r="B143"/>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row>
    <row r="144" spans="1:41" ht="12.75" customHeight="1">
      <c r="A144"/>
      <c r="B144"/>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row>
    <row r="145" spans="1:41" ht="12.75" customHeight="1">
      <c r="A145"/>
      <c r="B145"/>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row>
    <row r="146" spans="1:41" ht="12.75" customHeight="1">
      <c r="A146"/>
      <c r="B146"/>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row>
    <row r="147" spans="1:41" ht="12.75" customHeight="1">
      <c r="A147"/>
      <c r="B147"/>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row>
    <row r="148" spans="1:41" ht="12.75" customHeight="1">
      <c r="A148"/>
      <c r="B148"/>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row>
    <row r="149" spans="1:41" ht="12.75" customHeight="1">
      <c r="A149"/>
      <c r="B1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row>
    <row r="150" spans="1:41" ht="12.75" customHeight="1">
      <c r="A150"/>
      <c r="B150"/>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row>
    <row r="151" spans="1:41" ht="12.75" customHeight="1">
      <c r="A151"/>
      <c r="B151"/>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pans="1:41" ht="12.75" customHeight="1">
      <c r="A152"/>
      <c r="B152"/>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row>
    <row r="153" spans="1:41" ht="12.75" customHeight="1">
      <c r="A153"/>
      <c r="B153"/>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row>
    <row r="154" spans="1:41" ht="12.75" customHeight="1">
      <c r="A154"/>
      <c r="B154"/>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row>
    <row r="155" spans="1:41" ht="12.75" customHeight="1">
      <c r="A155"/>
      <c r="B155"/>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row>
    <row r="156" spans="1:41" ht="12.75" customHeight="1">
      <c r="A156"/>
      <c r="B156"/>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row>
    <row r="157" spans="1:41" ht="12.75" customHeight="1">
      <c r="A157"/>
      <c r="B157"/>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row>
    <row r="158" spans="1:41" ht="12.75" customHeight="1">
      <c r="A158"/>
      <c r="B158"/>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row>
    <row r="159" spans="1:41" ht="12.75" customHeight="1">
      <c r="A159"/>
      <c r="B15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row>
    <row r="160" spans="1:41" ht="12.75" customHeight="1">
      <c r="A160"/>
      <c r="B160"/>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row>
    <row r="161" spans="1:41" ht="12.75" customHeight="1">
      <c r="A161"/>
      <c r="B161"/>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row>
    <row r="162" spans="1:41" ht="12.75" customHeight="1">
      <c r="A162"/>
      <c r="B162"/>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row>
    <row r="163" spans="1:41" ht="12.75" customHeight="1">
      <c r="A163"/>
      <c r="B163"/>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row>
    <row r="164" spans="1:41" ht="12.75" customHeight="1">
      <c r="A164"/>
      <c r="B164"/>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row>
    <row r="165" spans="1:41" ht="12.75" customHeight="1">
      <c r="A165"/>
      <c r="B165"/>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row>
    <row r="166" spans="1:41" ht="12.75" customHeight="1">
      <c r="A166"/>
      <c r="B166"/>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row>
    <row r="167" spans="1:41" ht="12.75" customHeight="1">
      <c r="A167"/>
      <c r="B167"/>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row>
    <row r="168" spans="1:41" ht="12.75" customHeight="1">
      <c r="A168"/>
      <c r="B168"/>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row>
    <row r="169" spans="1:41" ht="12.75" customHeight="1">
      <c r="A169"/>
      <c r="B16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row>
    <row r="170" spans="1:41" ht="12.75" customHeight="1">
      <c r="A170"/>
      <c r="B170"/>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row>
    <row r="171" spans="1:41" ht="12.75" customHeight="1">
      <c r="A171"/>
      <c r="B171"/>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row>
    <row r="172" spans="1:41" ht="12.75" customHeight="1">
      <c r="A172"/>
      <c r="B172"/>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row>
    <row r="173" spans="1:41" ht="12.75" customHeight="1">
      <c r="A173"/>
      <c r="B173"/>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row>
    <row r="174" spans="1:41" ht="12.75" customHeight="1">
      <c r="A174"/>
      <c r="B174"/>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row>
    <row r="175" spans="1:41" ht="12.75" customHeight="1">
      <c r="A175"/>
      <c r="B175"/>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row>
    <row r="176" spans="1:41" ht="12.75" customHeight="1">
      <c r="A176"/>
      <c r="B176"/>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row>
    <row r="177" spans="1:41" ht="12.75" customHeight="1">
      <c r="A177"/>
      <c r="B177"/>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row>
    <row r="178" spans="1:41" ht="12.75" customHeight="1">
      <c r="A178"/>
      <c r="B178"/>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row>
    <row r="179" spans="1:41" ht="12.75" customHeight="1">
      <c r="A179"/>
      <c r="B17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row>
    <row r="180" spans="1:41" ht="12.75" customHeight="1">
      <c r="A180"/>
      <c r="B180"/>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row>
    <row r="181" spans="1:41" ht="12.75" customHeight="1">
      <c r="A181"/>
      <c r="B181"/>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row>
    <row r="182" spans="1:41" ht="12.75" customHeight="1">
      <c r="A182"/>
      <c r="B182"/>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row>
    <row r="183" spans="1:41" ht="12.75" customHeight="1">
      <c r="A183"/>
      <c r="B183"/>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row>
    <row r="184" spans="1:41" ht="12.75" customHeight="1">
      <c r="A184"/>
      <c r="B184"/>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row>
    <row r="185" spans="1:41" ht="12.75" customHeight="1">
      <c r="A185"/>
      <c r="B185"/>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row>
    <row r="186" spans="1:41" ht="12.75" customHeight="1">
      <c r="A186"/>
      <c r="B186"/>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row>
    <row r="187" spans="1:41" ht="12.75" customHeight="1">
      <c r="A187"/>
      <c r="B187"/>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row>
    <row r="188" spans="1:41" ht="12.75" customHeight="1">
      <c r="A188"/>
      <c r="B188"/>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row>
    <row r="189" spans="1:41" ht="12.75" customHeight="1">
      <c r="A189"/>
      <c r="B18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row>
    <row r="190" spans="1:41" ht="12.75" customHeight="1">
      <c r="A190"/>
      <c r="B190"/>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row>
    <row r="191" spans="1:41" ht="12.75" customHeight="1">
      <c r="A191"/>
      <c r="B191"/>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row>
    <row r="192" spans="1:41" ht="12.75" customHeight="1">
      <c r="A192"/>
      <c r="B192"/>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row>
    <row r="193" spans="1:41" ht="12.75" customHeight="1">
      <c r="A193"/>
      <c r="B193"/>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row>
    <row r="194" spans="1:41" ht="12.75" customHeight="1">
      <c r="A194"/>
      <c r="B194"/>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row>
    <row r="195" spans="1:41" ht="12.75" customHeight="1">
      <c r="A195"/>
      <c r="B195"/>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row>
    <row r="196" spans="1:41" ht="12.75" customHeight="1">
      <c r="A196"/>
      <c r="B196"/>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row>
    <row r="197" spans="1:41" ht="12.75" customHeight="1">
      <c r="A197"/>
      <c r="B197"/>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row>
    <row r="198" spans="1:41" ht="12.75" customHeight="1">
      <c r="A198"/>
      <c r="B198"/>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row>
    <row r="199" spans="1:41" ht="12.75" customHeight="1">
      <c r="A199"/>
      <c r="B19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row>
    <row r="200" spans="1:41" ht="12.75" customHeight="1">
      <c r="A200"/>
      <c r="B200"/>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row>
    <row r="201" spans="1:41" ht="12.75" customHeight="1">
      <c r="A201"/>
      <c r="B201"/>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row>
    <row r="202" spans="1:41" ht="12.75" customHeight="1">
      <c r="A202"/>
      <c r="B202"/>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row>
    <row r="203" spans="1:41" ht="12.75" customHeight="1">
      <c r="A203"/>
      <c r="B203"/>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row>
    <row r="204" spans="1:41" ht="12.75" customHeight="1">
      <c r="A204"/>
      <c r="B204"/>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row>
    <row r="205" spans="1:41" ht="12.75" customHeight="1">
      <c r="A205"/>
      <c r="B205"/>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row>
    <row r="206" spans="1:41" ht="12.75" customHeight="1">
      <c r="A206"/>
      <c r="B206"/>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row>
    <row r="207" spans="1:41" ht="12.75" customHeight="1">
      <c r="A207"/>
      <c r="B207"/>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row>
    <row r="208" spans="1:41" ht="12.75" customHeight="1">
      <c r="A208"/>
      <c r="B208"/>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row>
    <row r="209" spans="1:41" ht="12.75" customHeight="1">
      <c r="A209"/>
      <c r="B20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row>
    <row r="210" spans="1:41" ht="12.75" customHeight="1">
      <c r="A210"/>
      <c r="B210"/>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row>
    <row r="211" spans="1:41" ht="12.75" customHeight="1">
      <c r="A211"/>
      <c r="B211"/>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row>
    <row r="212" spans="1:41" ht="12.75" customHeight="1">
      <c r="A212"/>
      <c r="B212"/>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row>
    <row r="213" spans="1:41" ht="12.75" customHeight="1">
      <c r="A213"/>
      <c r="B213"/>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row>
    <row r="214" spans="1:41" ht="12.75" customHeight="1">
      <c r="A214"/>
      <c r="B214"/>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row>
    <row r="215" spans="1:41" ht="12.75" customHeight="1">
      <c r="A215"/>
      <c r="B215"/>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row>
    <row r="216" spans="1:41" ht="12.75" customHeight="1">
      <c r="A216"/>
      <c r="B216"/>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row>
    <row r="217" spans="1:41" ht="12.75" customHeight="1">
      <c r="A217"/>
      <c r="B217"/>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row>
    <row r="218" spans="1:41" ht="12.75" customHeight="1">
      <c r="A218"/>
      <c r="B218"/>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row>
    <row r="219" spans="1:41" ht="12.75" customHeight="1">
      <c r="A219"/>
      <c r="B21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row>
    <row r="220" spans="1:41" ht="12.75" customHeight="1">
      <c r="A220"/>
      <c r="B220"/>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row>
    <row r="221" spans="1:41" ht="12.75" customHeight="1">
      <c r="A221"/>
      <c r="B221"/>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row>
    <row r="222" spans="1:41" ht="12.75" customHeight="1">
      <c r="A222"/>
      <c r="B222"/>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row>
    <row r="223" spans="1:41" ht="12.75" customHeight="1">
      <c r="A223"/>
      <c r="B223"/>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row>
    <row r="224" spans="1:41" ht="12.75" customHeight="1">
      <c r="A224"/>
      <c r="B224"/>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row>
    <row r="225" spans="1:41" ht="12.75" customHeight="1">
      <c r="A225"/>
      <c r="B225"/>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row>
    <row r="226" spans="1:41" ht="12.75" customHeight="1">
      <c r="A226"/>
      <c r="B226"/>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row>
    <row r="227" spans="1:41" ht="12.75" customHeight="1">
      <c r="A227"/>
      <c r="B227"/>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row>
    <row r="228" spans="1:41" ht="12.75" customHeight="1">
      <c r="A228"/>
      <c r="B228"/>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row>
    <row r="229" spans="1:41" ht="12.75" customHeight="1">
      <c r="A229"/>
      <c r="B22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row>
    <row r="230" spans="1:41" ht="12.75" customHeight="1">
      <c r="A230"/>
      <c r="B230"/>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row>
    <row r="231" spans="1:41" ht="12.75" customHeight="1">
      <c r="A231"/>
      <c r="B231"/>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row>
    <row r="232" spans="1:41" ht="12.75" customHeight="1">
      <c r="A232"/>
      <c r="B232"/>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row>
    <row r="233" spans="1:41" ht="12.75" customHeight="1">
      <c r="A233"/>
      <c r="B233"/>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row>
    <row r="234" spans="1:41" ht="12.75" customHeight="1">
      <c r="A234"/>
      <c r="B234"/>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row>
    <row r="235" spans="1:41" ht="12.75" customHeight="1">
      <c r="A235"/>
      <c r="B235"/>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row>
    <row r="236" spans="1:41" ht="12.75" customHeight="1">
      <c r="A236"/>
      <c r="B236"/>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row>
    <row r="237" spans="1:41" ht="12.75" customHeight="1">
      <c r="A237"/>
      <c r="B237"/>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row>
    <row r="238" spans="1:41" ht="12.75" customHeight="1">
      <c r="A238"/>
      <c r="B238"/>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row>
    <row r="239" spans="1:41" ht="12.75" customHeight="1">
      <c r="A239"/>
      <c r="B23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row>
    <row r="240" spans="1:41" ht="12.75" customHeight="1">
      <c r="A240"/>
      <c r="B240"/>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row>
    <row r="241" spans="1:41" ht="12.75" customHeight="1">
      <c r="A241"/>
      <c r="B241"/>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row>
    <row r="242" spans="1:41" ht="12.75" customHeight="1">
      <c r="A242"/>
      <c r="B242"/>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row>
    <row r="243" spans="1:41" ht="12.75" customHeight="1">
      <c r="A243"/>
      <c r="B243"/>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row>
    <row r="244" spans="1:41" ht="12.75" customHeight="1">
      <c r="A244"/>
      <c r="B244"/>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row>
    <row r="245" spans="1:41" ht="12.75" customHeight="1">
      <c r="A245"/>
      <c r="B245"/>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row>
    <row r="246" spans="1:41" ht="12.75" customHeight="1">
      <c r="A246"/>
      <c r="B246"/>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row>
    <row r="247" spans="1:41" ht="12.75" customHeight="1">
      <c r="A247"/>
      <c r="B247"/>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row>
    <row r="248" spans="1:41" ht="12.75" customHeight="1">
      <c r="A248"/>
      <c r="B248"/>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row>
    <row r="249" spans="1:41" ht="12.75" customHeight="1">
      <c r="A249"/>
      <c r="B2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row>
    <row r="250" spans="1:41" ht="12.75" customHeight="1">
      <c r="A250"/>
      <c r="B250"/>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row>
    <row r="251" spans="1:41" ht="12.75" customHeight="1">
      <c r="A251"/>
      <c r="B251"/>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row>
    <row r="252" spans="1:41" ht="12.75" customHeight="1">
      <c r="A252"/>
      <c r="B252"/>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row>
    <row r="253" spans="1:41" ht="12.75" customHeight="1">
      <c r="A253"/>
      <c r="B253"/>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row>
    <row r="254" spans="1:41" ht="12.75" customHeight="1">
      <c r="A254"/>
      <c r="B254"/>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row>
    <row r="255" spans="1:41" ht="12.75" customHeight="1">
      <c r="A255"/>
      <c r="B255"/>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row>
    <row r="256" spans="1:41" ht="12.75" customHeight="1">
      <c r="A256"/>
      <c r="B256"/>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row>
    <row r="257" spans="1:41" ht="12.75" customHeight="1">
      <c r="A257"/>
      <c r="B257"/>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row>
    <row r="258" spans="1:41" ht="12.75" customHeight="1">
      <c r="A258"/>
      <c r="B258"/>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row>
    <row r="259" spans="1:41" ht="12.75" customHeight="1">
      <c r="A259"/>
      <c r="B25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row>
    <row r="260" spans="1:41" ht="12.75" customHeight="1">
      <c r="A260"/>
      <c r="B260"/>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row>
    <row r="261" spans="1:41" ht="12.75" customHeight="1">
      <c r="A261"/>
      <c r="B261"/>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row>
    <row r="262" spans="1:41" ht="12.75" customHeight="1">
      <c r="A262"/>
      <c r="B262"/>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row>
    <row r="263" spans="1:41" ht="12.75" customHeight="1">
      <c r="A263"/>
      <c r="B263"/>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row>
    <row r="264" spans="1:41" ht="12.75" customHeight="1">
      <c r="A264"/>
      <c r="B264"/>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row>
    <row r="265" spans="1:41" ht="12.75" customHeight="1">
      <c r="A265"/>
      <c r="B265"/>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row>
    <row r="266" spans="1:41" ht="12.75" customHeight="1">
      <c r="A266"/>
      <c r="B266"/>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row>
    <row r="267" spans="1:41" ht="12.75" customHeight="1">
      <c r="A267"/>
      <c r="B267"/>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row>
    <row r="268" spans="1:41" ht="12.75" customHeight="1">
      <c r="A268"/>
      <c r="B268"/>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row>
    <row r="269" spans="1:41" ht="12.75" customHeight="1">
      <c r="A269"/>
      <c r="B26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row>
    <row r="270" spans="1:41" ht="12.75" customHeight="1">
      <c r="A270"/>
      <c r="B270"/>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row>
    <row r="271" spans="1:41" ht="12.75" customHeight="1">
      <c r="A271"/>
      <c r="B271"/>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row>
    <row r="272" spans="1:41" ht="12.75" customHeight="1">
      <c r="A272"/>
      <c r="B272"/>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row>
    <row r="273" spans="1:41" ht="12.75" customHeight="1">
      <c r="A273"/>
      <c r="B273"/>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row>
    <row r="274" spans="1:41" ht="12.75" customHeight="1">
      <c r="A274"/>
      <c r="B274"/>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row>
    <row r="275" spans="1:41" ht="12.75" customHeight="1">
      <c r="A275"/>
      <c r="B275"/>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row>
    <row r="276" spans="1:41" ht="12.75" customHeight="1">
      <c r="A276"/>
      <c r="B276"/>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row>
    <row r="277" spans="1:41" ht="12.75" customHeight="1">
      <c r="A277"/>
      <c r="B277"/>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row>
    <row r="278" spans="1:41" ht="12.75" customHeight="1">
      <c r="A278"/>
      <c r="B278"/>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row>
    <row r="279" spans="1:41" ht="12.75" customHeight="1">
      <c r="A279"/>
      <c r="B27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row>
    <row r="280" spans="1:41" ht="12.75" customHeight="1">
      <c r="A280"/>
      <c r="B280"/>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row>
    <row r="281" spans="1:41" ht="12.75" customHeight="1">
      <c r="A281"/>
      <c r="B281"/>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row>
    <row r="282" spans="1:41" ht="12.75" customHeight="1">
      <c r="A282"/>
      <c r="B282"/>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row>
    <row r="283" spans="1:41" ht="12.75" customHeight="1">
      <c r="A283"/>
      <c r="B283"/>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row>
    <row r="284" spans="1:41" ht="12.75" customHeight="1">
      <c r="A284"/>
      <c r="B284"/>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row>
    <row r="285" spans="1:41" ht="12.75" customHeight="1">
      <c r="A285"/>
      <c r="B285"/>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row>
    <row r="286" spans="1:41" ht="12.75" customHeight="1">
      <c r="A286"/>
      <c r="B286"/>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row>
    <row r="287" spans="1:41" ht="12.75" customHeight="1">
      <c r="A287"/>
      <c r="B287"/>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row>
    <row r="288" spans="1:41" ht="12.75" customHeight="1">
      <c r="A288"/>
      <c r="B288"/>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row>
    <row r="289" spans="1:41" ht="12.75" customHeight="1">
      <c r="A289"/>
      <c r="B28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row>
    <row r="290" spans="1:41" ht="12.75" customHeight="1">
      <c r="A290"/>
      <c r="B290"/>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row>
    <row r="291" spans="1:41" ht="12.75" customHeight="1">
      <c r="A291"/>
      <c r="B291"/>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row>
    <row r="292" spans="1:41" ht="12.75" customHeight="1">
      <c r="A292"/>
      <c r="B292"/>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row>
    <row r="293" spans="1:41" ht="12.75" customHeight="1">
      <c r="A293"/>
      <c r="B293"/>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row>
    <row r="294" spans="1:41" ht="12.75" customHeight="1">
      <c r="A294"/>
      <c r="B294"/>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row>
    <row r="295" spans="1:41" ht="12.75" customHeight="1">
      <c r="A295"/>
      <c r="B295"/>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row>
    <row r="296" spans="1:41" ht="12.75" customHeight="1">
      <c r="A296"/>
      <c r="B296"/>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row>
    <row r="297" spans="1:41" ht="12.75" customHeight="1">
      <c r="A297"/>
      <c r="B297"/>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row>
    <row r="298" spans="1:41" ht="12.75" customHeight="1">
      <c r="A298"/>
      <c r="B298"/>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row>
    <row r="299" spans="1:41" ht="12.75" customHeight="1">
      <c r="A299"/>
      <c r="B29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row>
    <row r="300" spans="1:41" ht="12.75" customHeight="1">
      <c r="A300"/>
      <c r="B300"/>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row>
    <row r="301" spans="1:41" ht="12.75" customHeight="1">
      <c r="A301"/>
      <c r="B301"/>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row>
    <row r="302" spans="1:41" ht="12.75" customHeight="1">
      <c r="A302"/>
      <c r="B302"/>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row>
    <row r="303" spans="1:41" ht="12.75" customHeight="1">
      <c r="A303"/>
      <c r="B303"/>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row>
    <row r="304" spans="1:41" ht="12.75" customHeight="1">
      <c r="A304"/>
      <c r="B304"/>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row>
    <row r="305" spans="1:41" ht="12.75" customHeight="1">
      <c r="A305"/>
      <c r="B305"/>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row>
    <row r="306" spans="1:41" ht="12.75" customHeight="1">
      <c r="A306"/>
      <c r="B306"/>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row>
    <row r="307" spans="1:41" ht="12.75" customHeight="1">
      <c r="A307"/>
      <c r="B307"/>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row>
    <row r="308" spans="1:41" ht="12.75" customHeight="1">
      <c r="A308"/>
      <c r="B308"/>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row>
    <row r="309" spans="1:41" ht="12.75" customHeight="1">
      <c r="A309"/>
      <c r="B30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row>
    <row r="310" spans="1:41" ht="12.75" customHeight="1">
      <c r="A310"/>
      <c r="B310"/>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row>
    <row r="311" spans="1:41" ht="12.75" customHeight="1">
      <c r="A311"/>
      <c r="B311"/>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row>
    <row r="312" spans="1:41" ht="12.75" customHeight="1">
      <c r="A312"/>
      <c r="B312"/>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row>
    <row r="313" spans="1:41" ht="12.75" customHeight="1">
      <c r="A313"/>
      <c r="B313"/>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row>
    <row r="314" spans="1:41" ht="12.75" customHeight="1">
      <c r="A314"/>
      <c r="B314"/>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row>
    <row r="315" spans="1:41" ht="12.75" customHeight="1">
      <c r="A315"/>
      <c r="B315"/>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row>
    <row r="316" spans="1:41" ht="12.75" customHeight="1">
      <c r="A316"/>
      <c r="B316"/>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row>
    <row r="317" spans="1:41" ht="12.75" customHeight="1">
      <c r="A317"/>
      <c r="B317"/>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row>
    <row r="318" spans="1:41" ht="12.75" customHeight="1">
      <c r="A318"/>
      <c r="B318"/>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row>
    <row r="319" spans="1:41" ht="12.75" customHeight="1">
      <c r="A319"/>
      <c r="B31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row>
    <row r="320" spans="1:41" ht="12.75" customHeight="1">
      <c r="A320"/>
      <c r="B320"/>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row>
    <row r="321" spans="1:41" ht="12.75" customHeight="1">
      <c r="A321"/>
      <c r="B321"/>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row>
    <row r="322" spans="1:41" ht="12.75" customHeight="1">
      <c r="A322"/>
      <c r="B322"/>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row>
    <row r="323" spans="1:41" ht="12.75" customHeight="1">
      <c r="A323"/>
      <c r="B323"/>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row>
    <row r="324" spans="1:41" ht="12.75" customHeight="1">
      <c r="A324"/>
      <c r="B324"/>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row>
    <row r="325" spans="1:41" ht="12.75" customHeight="1">
      <c r="A325"/>
      <c r="B325"/>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row>
    <row r="326" spans="1:41" ht="12.75" customHeight="1">
      <c r="A326"/>
      <c r="B326"/>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row>
    <row r="327" spans="1:41" ht="12.75" customHeight="1">
      <c r="A327"/>
      <c r="B327"/>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row>
    <row r="328" spans="1:41" ht="12.75" customHeight="1">
      <c r="A328"/>
      <c r="B328"/>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row>
    <row r="329" spans="1:41" ht="12.75" customHeight="1">
      <c r="A329"/>
      <c r="B32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row>
    <row r="330" spans="1:41" ht="12.75" customHeight="1">
      <c r="A330"/>
      <c r="B330"/>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row>
    <row r="331" spans="1:41" ht="12.75" customHeight="1">
      <c r="A331"/>
      <c r="B331"/>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row>
    <row r="332" spans="1:41" ht="12.75" customHeight="1">
      <c r="A332"/>
      <c r="B332"/>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row>
    <row r="333" spans="1:41" ht="12.75" customHeight="1">
      <c r="A333"/>
      <c r="B333"/>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row>
    <row r="334" spans="1:41" ht="12.75" customHeight="1">
      <c r="A334"/>
      <c r="B334"/>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row>
    <row r="335" spans="1:41" ht="12.75" customHeight="1">
      <c r="A335"/>
      <c r="B335"/>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row>
    <row r="336" spans="1:41" ht="12.75" customHeight="1">
      <c r="A336"/>
      <c r="B336"/>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row>
    <row r="337" spans="1:41" ht="12.75" customHeight="1">
      <c r="A337"/>
      <c r="B337"/>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row>
    <row r="338" spans="1:41" ht="12.75" customHeight="1">
      <c r="A338"/>
      <c r="B338"/>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row>
    <row r="339" spans="1:41" ht="12.75" customHeight="1">
      <c r="A339"/>
      <c r="B33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row>
    <row r="340" spans="1:41" ht="12.75" customHeight="1">
      <c r="A340"/>
      <c r="B340"/>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row>
    <row r="341" spans="1:41" ht="12.75" customHeight="1">
      <c r="A341"/>
      <c r="B341"/>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row>
    <row r="342" spans="1:41" ht="12.75" customHeight="1">
      <c r="A342"/>
      <c r="B342"/>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row>
    <row r="343" spans="1:41" ht="12.75" customHeight="1">
      <c r="A343"/>
      <c r="B343"/>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row>
    <row r="344" spans="1:41" ht="12.75" customHeight="1">
      <c r="A344"/>
      <c r="B344"/>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row>
    <row r="345" spans="1:41" ht="12.75" customHeight="1">
      <c r="A345"/>
      <c r="B345"/>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row>
    <row r="346" spans="1:41" ht="12.75" customHeight="1">
      <c r="A346"/>
      <c r="B346"/>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row>
    <row r="347" spans="1:41" ht="12.75" customHeight="1">
      <c r="A347"/>
      <c r="B347"/>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row>
    <row r="348" spans="1:41" ht="12.75" customHeight="1">
      <c r="A348"/>
      <c r="B348"/>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row>
    <row r="349" spans="1:41" ht="12.75" customHeight="1">
      <c r="A349"/>
      <c r="B3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row>
    <row r="350" spans="1:41" ht="12.75" customHeight="1">
      <c r="A350"/>
      <c r="B350"/>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row>
    <row r="351" spans="1:41" ht="12.75" customHeight="1">
      <c r="A351"/>
      <c r="B351"/>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row>
    <row r="352" spans="1:41" ht="12.75" customHeight="1">
      <c r="A352"/>
      <c r="B352"/>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row>
    <row r="353" spans="1:41" ht="12.75" customHeight="1">
      <c r="A353"/>
      <c r="B353"/>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row>
    <row r="354" spans="1:41" ht="12.75" customHeight="1">
      <c r="A354"/>
      <c r="B354"/>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row>
    <row r="355" spans="1:41" ht="12.75" customHeight="1">
      <c r="A355"/>
      <c r="B355"/>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row>
    <row r="356" spans="1:41" ht="12.75" customHeight="1">
      <c r="A356"/>
      <c r="B356"/>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row>
    <row r="357" spans="1:41" ht="12.75" customHeight="1">
      <c r="A357"/>
      <c r="B357"/>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row>
    <row r="358" spans="1:41" ht="12.75" customHeight="1">
      <c r="A358"/>
      <c r="B358"/>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row>
    <row r="359" spans="1:41" ht="12.75" customHeight="1">
      <c r="A359"/>
      <c r="B35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row>
    <row r="360" spans="1:41" ht="12.75" customHeight="1">
      <c r="A360"/>
      <c r="B360"/>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row>
    <row r="361" spans="1:41" ht="12.75" customHeight="1">
      <c r="A361"/>
      <c r="B361"/>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row>
    <row r="362" spans="1:41" ht="12.75" customHeight="1">
      <c r="A362"/>
      <c r="B362"/>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row>
    <row r="363" spans="1:41" ht="12.75" customHeight="1">
      <c r="A363"/>
      <c r="B363"/>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row>
    <row r="364" spans="1:41" ht="12.75" customHeight="1">
      <c r="A364"/>
      <c r="B364"/>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row>
    <row r="365" spans="1:41" ht="12.75" customHeight="1">
      <c r="A365"/>
      <c r="B365"/>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row>
    <row r="366" spans="1:41" ht="12.75" customHeight="1">
      <c r="A366"/>
      <c r="B366"/>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row>
    <row r="367" spans="1:41" ht="12.75" customHeight="1">
      <c r="A367"/>
      <c r="B367"/>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row>
    <row r="368" spans="1:41" ht="12.75" customHeight="1">
      <c r="A368"/>
      <c r="B368"/>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row>
    <row r="369" spans="1:41" ht="12.75" customHeight="1">
      <c r="A369"/>
      <c r="B36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row>
    <row r="370" spans="1:41" ht="12.75" customHeight="1">
      <c r="A370"/>
      <c r="B370"/>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row>
    <row r="371" spans="1:41" ht="12.75" customHeight="1">
      <c r="A371"/>
      <c r="B371"/>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row>
    <row r="372" spans="1:41" ht="12.75" customHeight="1">
      <c r="A372"/>
      <c r="B372"/>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row>
    <row r="373" spans="1:41" ht="12.75" customHeight="1">
      <c r="A373"/>
      <c r="B373"/>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row>
    <row r="374" spans="1:41" ht="12.75" customHeight="1">
      <c r="A374"/>
      <c r="B374"/>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row>
    <row r="375" spans="1:41" ht="12.75" customHeight="1">
      <c r="A375"/>
      <c r="B375"/>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row>
    <row r="376" spans="1:41" ht="12.75" customHeight="1">
      <c r="A376"/>
      <c r="B376"/>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row>
    <row r="377" spans="1:41" ht="12.75" customHeight="1">
      <c r="A377"/>
      <c r="B377"/>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row>
    <row r="378" spans="1:41" ht="12.75" customHeight="1">
      <c r="A378"/>
      <c r="B378"/>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row>
    <row r="379" spans="1:41" ht="12.75" customHeight="1">
      <c r="A379"/>
      <c r="B37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row>
    <row r="380" spans="1:41" ht="12.75" customHeight="1">
      <c r="A380"/>
      <c r="B380"/>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row>
    <row r="381" spans="1:41" ht="12.75" customHeight="1">
      <c r="A381"/>
      <c r="B381"/>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row>
    <row r="382" spans="1:41" ht="12.75" customHeight="1">
      <c r="A382"/>
      <c r="B382"/>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row>
    <row r="383" spans="1:41" ht="12.75" customHeight="1">
      <c r="A383"/>
      <c r="B383"/>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row>
    <row r="384" spans="1:41" ht="12.75" customHeight="1">
      <c r="A384"/>
      <c r="B384"/>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row>
    <row r="385" spans="1:41" ht="12.75" customHeight="1">
      <c r="A385"/>
      <c r="B385"/>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row>
    <row r="386" spans="1:41" ht="12.75" customHeight="1">
      <c r="A386"/>
      <c r="B386"/>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row>
    <row r="387" spans="1:41" ht="12.75" customHeight="1">
      <c r="A387"/>
      <c r="B387"/>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row>
    <row r="388" spans="1:41" ht="12.75" customHeight="1">
      <c r="A388"/>
      <c r="B388"/>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row>
    <row r="389" spans="1:41" ht="12.75" customHeight="1">
      <c r="A389"/>
      <c r="B38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row>
    <row r="390" spans="1:41" ht="12.75" customHeight="1">
      <c r="A390"/>
      <c r="B390"/>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row>
    <row r="391" spans="1:41" ht="12.75" customHeight="1">
      <c r="A391"/>
      <c r="B391"/>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row>
    <row r="392" spans="1:41" ht="12.75" customHeight="1">
      <c r="A392"/>
      <c r="B392"/>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row>
    <row r="393" spans="1:41" ht="12.75" customHeight="1">
      <c r="A393"/>
      <c r="B393"/>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row>
    <row r="394" spans="1:41" ht="12.75" customHeight="1">
      <c r="A394"/>
      <c r="B394"/>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row>
    <row r="395" spans="1:41" ht="12.75" customHeight="1">
      <c r="A395"/>
      <c r="B395"/>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row>
    <row r="396" spans="1:41" ht="12.75" customHeight="1">
      <c r="A396"/>
      <c r="B396"/>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row>
    <row r="397" spans="1:41" ht="12.75" customHeight="1">
      <c r="A397"/>
      <c r="B397"/>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row>
    <row r="398" spans="1:41" ht="12.75" customHeight="1">
      <c r="A398"/>
      <c r="B398"/>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row>
    <row r="399" spans="1:41" ht="12.75" customHeight="1">
      <c r="A399"/>
      <c r="B39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row>
    <row r="400" spans="1:41" ht="12.75" customHeight="1">
      <c r="A400"/>
      <c r="B400"/>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row>
    <row r="401" spans="1:41" ht="12.75" customHeight="1">
      <c r="A401"/>
      <c r="B401"/>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row>
    <row r="402" spans="1:41" ht="12.75" customHeight="1">
      <c r="A402"/>
      <c r="B402"/>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row>
    <row r="403" spans="1:41" ht="12.75" customHeight="1">
      <c r="A403"/>
      <c r="B403"/>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row>
    <row r="404" spans="1:41" ht="12.75" customHeight="1">
      <c r="A404"/>
      <c r="B404"/>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row>
    <row r="405" spans="1:41" ht="12.75" customHeight="1">
      <c r="A405"/>
      <c r="B405"/>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row>
    <row r="406" spans="1:41" ht="12.75" customHeight="1">
      <c r="A406"/>
      <c r="B406"/>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row>
    <row r="407" spans="1:41" ht="12.75" customHeight="1">
      <c r="A407"/>
      <c r="B407"/>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row>
    <row r="408" spans="1:41" ht="12.75" customHeight="1">
      <c r="A408"/>
      <c r="B40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row>
    <row r="409" spans="1:41" ht="12.75" customHeight="1">
      <c r="A409"/>
      <c r="B40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row>
    <row r="410" spans="1:41" ht="12.75" customHeight="1">
      <c r="A410"/>
      <c r="B410"/>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row>
    <row r="411" spans="1:41" ht="12.75" customHeight="1">
      <c r="A411"/>
      <c r="B411"/>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row>
    <row r="412" spans="1:41" ht="12.75" customHeight="1">
      <c r="A412"/>
      <c r="B412"/>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row>
    <row r="413" spans="1:41" ht="12.75" customHeight="1">
      <c r="A413"/>
      <c r="B413"/>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row>
    <row r="414" spans="1:41" ht="12.75" customHeight="1">
      <c r="A414"/>
      <c r="B414"/>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row>
    <row r="415" spans="1:41" ht="12.75" customHeight="1">
      <c r="A415"/>
      <c r="B415"/>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row>
    <row r="416" spans="1:41" ht="12.75" customHeight="1">
      <c r="A416"/>
      <c r="B416"/>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row>
    <row r="417" spans="1:41" ht="12.75" customHeight="1">
      <c r="A417"/>
      <c r="B417"/>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row>
    <row r="418" spans="1:41" ht="12.75" customHeight="1">
      <c r="A418"/>
      <c r="B418"/>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row>
    <row r="419" spans="1:41" ht="12.75" customHeight="1">
      <c r="A419"/>
      <c r="B41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row>
    <row r="420" spans="1:41" ht="12.75" customHeight="1">
      <c r="A420"/>
      <c r="B420"/>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row>
    <row r="421" spans="1:41" ht="12.75" customHeight="1">
      <c r="A421"/>
      <c r="B421"/>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row>
    <row r="422" spans="1:41" ht="12.75" customHeight="1">
      <c r="A422"/>
      <c r="B422"/>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row>
    <row r="423" spans="1:41" ht="12.75" customHeight="1">
      <c r="A423"/>
      <c r="B423"/>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row>
    <row r="424" spans="1:41" ht="12.75" customHeight="1">
      <c r="A424"/>
      <c r="B424"/>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row>
    <row r="425" spans="1:41" ht="12.75" customHeight="1">
      <c r="A425"/>
      <c r="B425"/>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row>
    <row r="426" spans="1:41" ht="12.75" customHeight="1">
      <c r="A426"/>
      <c r="B426"/>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row>
    <row r="427" spans="1:41" ht="12.75" customHeight="1">
      <c r="A427"/>
      <c r="B427"/>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row>
    <row r="428" spans="1:41" ht="12.75" customHeight="1">
      <c r="A428"/>
      <c r="B42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row>
    <row r="429" spans="1:41" ht="12.75" customHeight="1">
      <c r="A429"/>
      <c r="B42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row>
    <row r="430" spans="1:41" ht="12.75" customHeight="1">
      <c r="A430"/>
      <c r="B430"/>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row>
    <row r="431" spans="1:41" ht="12.75" customHeight="1">
      <c r="A431"/>
      <c r="B431"/>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row>
    <row r="432" spans="1:41" ht="12.75" customHeight="1">
      <c r="A432"/>
      <c r="B432"/>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row>
    <row r="433" spans="1:41" ht="12.75" customHeight="1">
      <c r="A433"/>
      <c r="B433"/>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row>
    <row r="434" spans="1:41" ht="12.75" customHeight="1">
      <c r="A434"/>
      <c r="B434"/>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row>
    <row r="435" spans="1:41" ht="12.75" customHeight="1">
      <c r="A435"/>
      <c r="B435"/>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row>
    <row r="436" spans="1:41" ht="12.75" customHeight="1">
      <c r="A436"/>
      <c r="B436"/>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row>
    <row r="437" spans="1:41" ht="12.75" customHeight="1">
      <c r="A437"/>
      <c r="B437"/>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row>
    <row r="438" spans="1:41" ht="12.75" customHeight="1">
      <c r="A438"/>
      <c r="B438"/>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row>
    <row r="439" spans="1:41" ht="12.75" customHeight="1">
      <c r="A439"/>
      <c r="B43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row>
    <row r="440" spans="1:41" ht="12.75" customHeight="1">
      <c r="A440"/>
      <c r="B440"/>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row>
    <row r="441" spans="1:41" ht="12.75" customHeight="1">
      <c r="A441"/>
      <c r="B441"/>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row>
    <row r="442" spans="1:41" ht="12.75" customHeight="1">
      <c r="A442"/>
      <c r="B442"/>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row>
    <row r="443" spans="1:41" ht="12.75" customHeight="1">
      <c r="A443"/>
      <c r="B443"/>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row>
    <row r="444" spans="1:41" ht="12.75" customHeight="1">
      <c r="A444"/>
      <c r="B444"/>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row>
    <row r="445" spans="1:41" ht="12.75" customHeight="1">
      <c r="A445"/>
      <c r="B445"/>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row>
    <row r="446" spans="1:41" ht="12.75" customHeight="1">
      <c r="A446"/>
      <c r="B446"/>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row>
    <row r="447" spans="1:41" ht="12.75" customHeight="1">
      <c r="A447"/>
      <c r="B447"/>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row>
    <row r="448" spans="1:41" ht="12.75" customHeight="1">
      <c r="A448"/>
      <c r="B4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row>
    <row r="449" spans="1:41" ht="12.75" customHeight="1">
      <c r="A449"/>
      <c r="B4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row>
    <row r="450" spans="1:41" ht="12.75" customHeight="1">
      <c r="A450"/>
      <c r="B450"/>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row>
    <row r="451" spans="1:41" ht="12.75" customHeight="1">
      <c r="A451"/>
      <c r="B451"/>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row>
    <row r="452" spans="1:41" ht="12.75" customHeight="1">
      <c r="A452"/>
      <c r="B452"/>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row>
    <row r="453" spans="1:41" ht="12.75" customHeight="1">
      <c r="A453"/>
      <c r="B453"/>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row>
    <row r="454" spans="1:41" ht="12.75" customHeight="1">
      <c r="A454"/>
      <c r="B454"/>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row>
    <row r="455" spans="1:41" ht="12.75" customHeight="1">
      <c r="A455"/>
      <c r="B455"/>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row>
    <row r="456" spans="1:41" ht="12.75" customHeight="1">
      <c r="A456"/>
      <c r="B456"/>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row>
    <row r="457" spans="1:41" ht="12.75" customHeight="1">
      <c r="A457"/>
      <c r="B457"/>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row>
    <row r="458" spans="1:41" ht="12.75" customHeight="1">
      <c r="A458"/>
      <c r="B45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row>
    <row r="459" spans="1:41" ht="12.75" customHeight="1">
      <c r="A459"/>
      <c r="B45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row>
    <row r="460" spans="1:41" ht="12.75" customHeight="1">
      <c r="A460"/>
      <c r="B460"/>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row>
    <row r="461" spans="1:41" ht="12.75" customHeight="1">
      <c r="A461"/>
      <c r="B461"/>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row>
    <row r="462" spans="1:41" ht="12.75" customHeight="1">
      <c r="A462"/>
      <c r="B462"/>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row>
    <row r="463" spans="1:41" ht="12.75" customHeight="1">
      <c r="A463"/>
      <c r="B463"/>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row>
    <row r="464" spans="1:41" ht="12.75" customHeight="1">
      <c r="A464"/>
      <c r="B464"/>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row>
    <row r="465" spans="1:41" ht="12.75" customHeight="1">
      <c r="A465"/>
      <c r="B465"/>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row>
    <row r="466" spans="1:41" ht="12.75" customHeight="1">
      <c r="A466"/>
      <c r="B466"/>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row>
    <row r="467" spans="1:41" ht="12.75" customHeight="1">
      <c r="A467"/>
      <c r="B467"/>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row>
    <row r="468" spans="1:41" ht="12.75" customHeight="1">
      <c r="A468"/>
      <c r="B46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row>
    <row r="469" spans="1:41" ht="12.75" customHeight="1">
      <c r="A469"/>
      <c r="B46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row>
    <row r="470" spans="1:41" ht="12.75" customHeight="1">
      <c r="A470"/>
      <c r="B470"/>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row>
    <row r="471" spans="1:41" ht="12.75" customHeight="1">
      <c r="A471"/>
      <c r="B471"/>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row>
    <row r="472" spans="1:41" ht="12.75" customHeight="1">
      <c r="A472"/>
      <c r="B472"/>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row>
    <row r="473" spans="1:41" ht="12.75" customHeight="1">
      <c r="A473"/>
      <c r="B473"/>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row>
    <row r="474" spans="1:41" ht="12.75" customHeight="1">
      <c r="A474"/>
      <c r="B474"/>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row>
    <row r="475" spans="1:41" ht="12.75" customHeight="1">
      <c r="A475"/>
      <c r="B475"/>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row>
    <row r="476" spans="1:41" ht="12.75" customHeight="1">
      <c r="A476"/>
      <c r="B476"/>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row>
    <row r="477" spans="1:41" ht="12.75" customHeight="1">
      <c r="A477"/>
      <c r="B477"/>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row>
    <row r="478" spans="1:41" ht="12.75" customHeight="1">
      <c r="A478"/>
      <c r="B47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row>
    <row r="479" spans="1:41" ht="12.75" customHeight="1">
      <c r="A479"/>
      <c r="B47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row>
    <row r="480" spans="1:41" ht="12.75" customHeight="1">
      <c r="A480"/>
      <c r="B480"/>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row>
    <row r="481" spans="1:41" ht="12.75" customHeight="1">
      <c r="A481"/>
      <c r="B481"/>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row>
    <row r="482" spans="1:41" ht="12.75" customHeight="1">
      <c r="A482"/>
      <c r="B482"/>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row>
    <row r="483" spans="1:41" ht="12.75" customHeight="1">
      <c r="A483"/>
      <c r="B483"/>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row>
    <row r="484" spans="1:41" ht="12.75" customHeight="1">
      <c r="A484"/>
      <c r="B484"/>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row>
    <row r="485" spans="1:41" ht="12.75" customHeight="1">
      <c r="A485"/>
      <c r="B485"/>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row>
    <row r="486" spans="1:41" ht="12.75" customHeight="1">
      <c r="A486"/>
      <c r="B486"/>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row>
    <row r="487" spans="1:41" ht="12.75" customHeight="1">
      <c r="A487"/>
      <c r="B487"/>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row>
    <row r="488" spans="1:41" ht="12.75" customHeight="1">
      <c r="A488"/>
      <c r="B488"/>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row>
    <row r="489" spans="1:41" ht="12.75" customHeight="1">
      <c r="A489"/>
      <c r="B48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row>
    <row r="490" spans="1:41" ht="12.75" customHeight="1">
      <c r="A490"/>
      <c r="B490"/>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row>
    <row r="491" spans="1:41" ht="12.75" customHeight="1">
      <c r="A491"/>
      <c r="B491"/>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row>
    <row r="492" spans="1:41" ht="12.75" customHeight="1">
      <c r="A492"/>
      <c r="B492"/>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row>
    <row r="493" spans="1:41" ht="12.75" customHeight="1">
      <c r="A493"/>
      <c r="B493"/>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row>
    <row r="494" spans="1:41" ht="12.75" customHeight="1">
      <c r="A494"/>
      <c r="B494"/>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row>
    <row r="495" spans="1:41" ht="12.75" customHeight="1">
      <c r="A495"/>
      <c r="B495"/>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row>
    <row r="496" spans="1:41" ht="12.75" customHeight="1">
      <c r="A496"/>
      <c r="B496"/>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row>
    <row r="497" spans="1:41" ht="12.75" customHeight="1">
      <c r="A497"/>
      <c r="B497"/>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row>
    <row r="498" spans="1:41" ht="12.75" customHeight="1">
      <c r="A498"/>
      <c r="B49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row>
    <row r="499" spans="1:41" ht="12.75" customHeight="1">
      <c r="A499"/>
      <c r="B49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row>
    <row r="500" spans="1:41" ht="12.75" customHeight="1">
      <c r="A500"/>
      <c r="B500"/>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row>
    <row r="501" spans="1:41" ht="12.75" customHeight="1">
      <c r="A501"/>
      <c r="B501"/>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row>
    <row r="502" spans="1:41" ht="12.75" customHeight="1">
      <c r="A502"/>
      <c r="B502"/>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row>
    <row r="503" spans="1:41" ht="12.75" customHeight="1">
      <c r="A503"/>
      <c r="B503"/>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row>
    <row r="504" spans="1:41" ht="12.75" customHeight="1">
      <c r="A504"/>
      <c r="B504"/>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row>
    <row r="505" spans="1:41" ht="12.75" customHeight="1">
      <c r="A505"/>
      <c r="B505"/>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row>
    <row r="506" spans="1:41" ht="12.75" customHeight="1">
      <c r="A506"/>
      <c r="B506"/>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row>
    <row r="507" spans="1:41" ht="12.75" customHeight="1">
      <c r="A507"/>
      <c r="B507"/>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row>
    <row r="508" spans="1:41" ht="12.75" customHeight="1">
      <c r="A508"/>
      <c r="B508"/>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row>
    <row r="509" spans="1:41" ht="12.75" customHeight="1">
      <c r="A509"/>
      <c r="B50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row>
    <row r="510" spans="1:41" ht="12.75" customHeight="1">
      <c r="A510"/>
      <c r="B510"/>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row>
    <row r="511" spans="1:41" ht="12.75" customHeight="1">
      <c r="A511"/>
      <c r="B511"/>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row>
    <row r="512" spans="1:41" ht="12.75" customHeight="1">
      <c r="A512"/>
      <c r="B512"/>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row>
    <row r="513" spans="1:41" ht="12.75" customHeight="1">
      <c r="A513"/>
      <c r="B513"/>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row>
    <row r="514" spans="1:41" ht="12.75" customHeight="1">
      <c r="A514"/>
      <c r="B514"/>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row>
    <row r="515" spans="1:41" ht="12.75" customHeight="1">
      <c r="A515"/>
      <c r="B515"/>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row>
    <row r="516" spans="1:41" ht="12.75" customHeight="1">
      <c r="A516"/>
      <c r="B516"/>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row>
    <row r="517" spans="1:41" ht="12.75" customHeight="1">
      <c r="A517"/>
      <c r="B517"/>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row>
    <row r="518" spans="1:41" ht="12.75" customHeight="1">
      <c r="A518"/>
      <c r="B51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row>
    <row r="519" spans="1:41" ht="12.75" customHeight="1">
      <c r="A519"/>
      <c r="B51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row>
    <row r="520" spans="1:41" ht="12" customHeight="1">
      <c r="A520"/>
      <c r="B520"/>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39"/>
      <c r="AF520" s="39"/>
      <c r="AG520" s="39"/>
      <c r="AH520" s="39"/>
      <c r="AI520" s="39"/>
      <c r="AJ520" s="39"/>
      <c r="AK520" s="39"/>
      <c r="AL520" s="39"/>
      <c r="AM520" s="39"/>
      <c r="AN520" s="39"/>
      <c r="AO520" s="39"/>
    </row>
    <row r="521" spans="1:41" ht="12" customHeight="1">
      <c r="A521"/>
      <c r="B521"/>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c r="AB521" s="49"/>
      <c r="AC521" s="49"/>
      <c r="AD521" s="49"/>
      <c r="AE521" s="39"/>
      <c r="AF521" s="39"/>
      <c r="AG521" s="39"/>
      <c r="AH521" s="39"/>
      <c r="AI521" s="39"/>
      <c r="AJ521" s="39"/>
      <c r="AK521" s="39"/>
      <c r="AL521" s="39"/>
      <c r="AM521" s="39"/>
      <c r="AN521" s="39"/>
      <c r="AO521" s="39"/>
    </row>
    <row r="522" spans="1:41" ht="12" customHeight="1">
      <c r="A522"/>
      <c r="B522"/>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c r="AB522" s="49"/>
      <c r="AC522" s="49"/>
      <c r="AD522" s="49"/>
      <c r="AE522" s="39"/>
      <c r="AF522" s="39"/>
      <c r="AG522" s="39"/>
      <c r="AH522" s="39"/>
      <c r="AI522" s="39"/>
      <c r="AJ522" s="39"/>
      <c r="AK522" s="39"/>
      <c r="AL522" s="39"/>
      <c r="AM522" s="39"/>
      <c r="AN522" s="39"/>
      <c r="AO522" s="39"/>
    </row>
    <row r="523" spans="1:41" ht="12" customHeight="1">
      <c r="A523"/>
      <c r="B523"/>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c r="AD523" s="49"/>
      <c r="AE523" s="39"/>
      <c r="AF523" s="39"/>
      <c r="AG523" s="39"/>
      <c r="AH523" s="39"/>
      <c r="AI523" s="39"/>
      <c r="AJ523" s="39"/>
      <c r="AK523" s="39"/>
      <c r="AL523" s="39"/>
      <c r="AM523" s="39"/>
      <c r="AN523" s="39"/>
      <c r="AO523" s="39"/>
    </row>
    <row r="524" spans="1:30" ht="12.75" customHeight="1">
      <c r="A524"/>
      <c r="B524"/>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row>
    <row r="525" spans="1:30" ht="12.75" customHeight="1">
      <c r="A525"/>
      <c r="B525"/>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row>
    <row r="526" spans="1:30" ht="12.75" customHeight="1">
      <c r="A526"/>
      <c r="B526"/>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row>
    <row r="527" spans="1:30" ht="12.75" customHeight="1">
      <c r="A527"/>
      <c r="B527"/>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row>
    <row r="528" spans="1:30" ht="12.75" customHeight="1">
      <c r="A528"/>
      <c r="B52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row>
    <row r="529" spans="1:30" ht="12.75" customHeight="1">
      <c r="A529"/>
      <c r="B52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row>
    <row r="530" spans="3:30" ht="12.75">
      <c r="C530" s="39"/>
      <c r="D530" s="39"/>
      <c r="E530" s="39"/>
      <c r="F530" s="39"/>
      <c r="G530" s="39"/>
      <c r="H530" s="39"/>
      <c r="I530" s="103"/>
      <c r="J530" s="103"/>
      <c r="K530" s="103"/>
      <c r="L530" s="103"/>
      <c r="M530" s="103"/>
      <c r="S530" s="39"/>
      <c r="T530" s="39"/>
      <c r="U530" s="39"/>
      <c r="X530" s="39"/>
      <c r="Y530" s="39"/>
      <c r="Z530" s="39"/>
      <c r="AA530" s="39"/>
      <c r="AB530" s="39"/>
      <c r="AC530" s="39"/>
      <c r="AD530" s="39"/>
    </row>
    <row r="531" spans="3:30" ht="12.75">
      <c r="C531" s="39"/>
      <c r="D531" s="39"/>
      <c r="E531" s="39"/>
      <c r="F531" s="39"/>
      <c r="G531" s="39"/>
      <c r="H531" s="39"/>
      <c r="I531" s="103"/>
      <c r="J531" s="103"/>
      <c r="K531" s="103"/>
      <c r="L531" s="103"/>
      <c r="M531" s="103"/>
      <c r="S531" s="39"/>
      <c r="T531" s="39"/>
      <c r="U531" s="39"/>
      <c r="X531" s="39"/>
      <c r="Y531" s="39"/>
      <c r="Z531" s="39"/>
      <c r="AA531" s="39"/>
      <c r="AB531" s="39"/>
      <c r="AC531" s="39"/>
      <c r="AD531" s="39"/>
    </row>
    <row r="532" spans="3:30" ht="12.75">
      <c r="C532" s="39"/>
      <c r="D532" s="39"/>
      <c r="E532" s="39"/>
      <c r="F532" s="39"/>
      <c r="G532" s="39"/>
      <c r="H532" s="39"/>
      <c r="I532" s="103"/>
      <c r="J532" s="103"/>
      <c r="K532" s="103"/>
      <c r="L532" s="103"/>
      <c r="M532" s="103"/>
      <c r="S532" s="39"/>
      <c r="T532" s="39"/>
      <c r="U532" s="39"/>
      <c r="X532" s="39"/>
      <c r="Y532" s="39"/>
      <c r="Z532" s="39"/>
      <c r="AA532" s="39"/>
      <c r="AB532" s="39"/>
      <c r="AC532" s="39"/>
      <c r="AD532" s="39"/>
    </row>
    <row r="533" spans="3:30" ht="12.75">
      <c r="C533" s="39"/>
      <c r="D533" s="39"/>
      <c r="E533" s="39"/>
      <c r="F533" s="39"/>
      <c r="G533" s="39"/>
      <c r="H533" s="39"/>
      <c r="I533" s="103"/>
      <c r="J533" s="103"/>
      <c r="K533" s="103"/>
      <c r="L533" s="103"/>
      <c r="M533" s="103"/>
      <c r="S533" s="39"/>
      <c r="T533" s="39"/>
      <c r="U533" s="39"/>
      <c r="X533" s="39"/>
      <c r="Y533" s="39"/>
      <c r="Z533" s="39"/>
      <c r="AA533" s="39"/>
      <c r="AB533" s="39"/>
      <c r="AC533" s="39"/>
      <c r="AD533" s="39"/>
    </row>
  </sheetData>
  <printOptions gridLines="1" headings="1"/>
  <pageMargins left="0.75" right="0.75" top="1" bottom="1" header="0.5" footer="0.5"/>
  <pageSetup blackAndWhite="1" orientation="landscape"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9"/>
  <dimension ref="A2:BL383"/>
  <sheetViews>
    <sheetView defaultGridColor="0" zoomScale="75" zoomScaleNormal="75" colorId="8" workbookViewId="0" topLeftCell="A7">
      <selection activeCell="E202" sqref="E202"/>
    </sheetView>
  </sheetViews>
  <sheetFormatPr defaultColWidth="9.140625" defaultRowHeight="12.75"/>
  <cols>
    <col min="1" max="1" width="41.00390625" style="371" customWidth="1"/>
    <col min="2" max="2" width="16.421875" style="371" customWidth="1"/>
    <col min="3" max="3" width="12.7109375" style="371" customWidth="1"/>
    <col min="4" max="4" width="13.57421875" style="371" customWidth="1"/>
    <col min="5" max="5" width="15.8515625" style="371" customWidth="1"/>
    <col min="6" max="6" width="18.57421875" style="371" customWidth="1"/>
    <col min="7" max="7" width="19.7109375" style="371" customWidth="1"/>
    <col min="8" max="8" width="19.57421875" style="371" customWidth="1"/>
    <col min="9" max="9" width="18.7109375" style="371" customWidth="1"/>
    <col min="10" max="10" width="9.421875" style="371" customWidth="1"/>
    <col min="11" max="11" width="11.421875" style="371" customWidth="1"/>
    <col min="12" max="12" width="15.00390625" style="371" customWidth="1"/>
    <col min="13" max="13" width="19.57421875" style="371" customWidth="1"/>
    <col min="14" max="16" width="12.57421875" style="371" customWidth="1"/>
    <col min="17" max="17" width="20.140625" style="371" customWidth="1"/>
    <col min="18" max="18" width="14.28125" style="371" customWidth="1"/>
    <col min="19" max="19" width="28.57421875" style="371" customWidth="1"/>
    <col min="20" max="20" width="36.28125" style="371" customWidth="1"/>
    <col min="21" max="21" width="11.28125" style="371" customWidth="1"/>
    <col min="22" max="22" width="12.57421875" style="371" customWidth="1"/>
    <col min="23" max="23" width="12.28125" style="371" customWidth="1"/>
    <col min="24" max="25" width="10.140625" style="371" customWidth="1"/>
    <col min="26" max="26" width="35.140625" style="371" customWidth="1"/>
    <col min="27" max="27" width="10.57421875" style="371" customWidth="1"/>
    <col min="28" max="28" width="12.140625" style="371" customWidth="1"/>
    <col min="29" max="29" width="13.140625" style="371" customWidth="1"/>
    <col min="30" max="30" width="11.140625" style="371" customWidth="1"/>
    <col min="31" max="31" width="9.140625" style="371" customWidth="1"/>
    <col min="32" max="32" width="35.8515625" style="371" customWidth="1"/>
    <col min="33" max="33" width="9.57421875" style="371" customWidth="1"/>
    <col min="34" max="34" width="9.421875" style="371" customWidth="1"/>
    <col min="35" max="35" width="12.140625" style="371" customWidth="1"/>
    <col min="36" max="36" width="9.8515625" style="371" customWidth="1"/>
    <col min="37" max="37" width="10.421875" style="371" customWidth="1"/>
    <col min="38" max="42" width="8.8515625" style="371" customWidth="1"/>
    <col min="43" max="43" width="9.57421875" style="371" customWidth="1"/>
    <col min="44" max="44" width="8.8515625" style="371" customWidth="1"/>
    <col min="45" max="45" width="10.140625" style="371" customWidth="1"/>
    <col min="46" max="46" width="10.421875" style="371" customWidth="1"/>
    <col min="47" max="50" width="8.8515625" style="371" customWidth="1"/>
    <col min="51" max="51" width="10.421875" style="371" customWidth="1"/>
    <col min="52" max="52" width="8.8515625" style="371" customWidth="1"/>
    <col min="53" max="53" width="9.8515625" style="371" customWidth="1"/>
    <col min="54" max="54" width="10.57421875" style="371" customWidth="1"/>
    <col min="55" max="55" width="8.140625" style="371" customWidth="1"/>
    <col min="56" max="61" width="8.8515625" style="371" customWidth="1"/>
    <col min="62" max="62" width="10.8515625" style="371" customWidth="1"/>
    <col min="63" max="16384" width="8.8515625" style="371" customWidth="1"/>
  </cols>
  <sheetData>
    <row r="1" ht="13.5" thickBot="1"/>
    <row r="2" spans="20:64" ht="12.75">
      <c r="T2" s="595">
        <f>$A2</f>
        <v>0</v>
      </c>
      <c r="U2" s="409">
        <f>IF(V2=0,0,(W2/V2))</f>
        <v>0</v>
      </c>
      <c r="V2" s="409">
        <f>$I2</f>
        <v>0</v>
      </c>
      <c r="W2" s="332">
        <f>$M2</f>
        <v>0</v>
      </c>
      <c r="X2" s="378"/>
      <c r="Z2" s="595">
        <f>$A2</f>
        <v>0</v>
      </c>
      <c r="AA2" s="409">
        <f>IF(AB2=0,0,(AC2/AB2))</f>
        <v>0</v>
      </c>
      <c r="AB2" s="409">
        <f>$J2</f>
        <v>0</v>
      </c>
      <c r="AC2" s="332">
        <f>$N2</f>
        <v>0</v>
      </c>
      <c r="AD2" s="378"/>
      <c r="AE2"/>
      <c r="AF2" s="595">
        <f>$A2</f>
        <v>0</v>
      </c>
      <c r="AG2" s="409">
        <f>IF(AH2=0,0,(AI2/AH2))</f>
        <v>0</v>
      </c>
      <c r="AH2" s="409">
        <f>$K2</f>
        <v>0</v>
      </c>
      <c r="AI2" s="332">
        <f>$O2</f>
        <v>0</v>
      </c>
      <c r="AJ2" s="378"/>
      <c r="AQ2" s="372" t="s">
        <v>186</v>
      </c>
      <c r="AR2" s="373"/>
      <c r="AS2" s="373"/>
      <c r="AT2" s="374"/>
      <c r="AU2" s="374"/>
      <c r="AV2" s="375"/>
      <c r="AY2" s="372" t="s">
        <v>187</v>
      </c>
      <c r="AZ2" s="373"/>
      <c r="BA2" s="373"/>
      <c r="BB2" s="374"/>
      <c r="BC2" s="374"/>
      <c r="BD2" s="375"/>
      <c r="BG2" s="372" t="s">
        <v>188</v>
      </c>
      <c r="BH2" s="373"/>
      <c r="BI2" s="373"/>
      <c r="BJ2" s="374"/>
      <c r="BK2" s="374"/>
      <c r="BL2" s="375"/>
    </row>
    <row r="3" spans="31:64" ht="13.5" thickBot="1">
      <c r="AE3"/>
      <c r="AQ3" s="380">
        <f>'Cost-Effectiveness Level'!$B$3</f>
        <v>0.2</v>
      </c>
      <c r="AR3" s="381">
        <f>'Cost-Effectiveness Level'!$C$3</f>
        <v>0.5</v>
      </c>
      <c r="AS3" s="381">
        <f>'Cost-Effectiveness Level'!$D$3</f>
        <v>0.25</v>
      </c>
      <c r="AT3" s="381">
        <f>'Cost-Effectiveness Level'!$E$3</f>
        <v>0.05</v>
      </c>
      <c r="AU3" s="382"/>
      <c r="AV3" s="383"/>
      <c r="AY3" s="380">
        <f>'Cost-Effectiveness Level'!$B$3</f>
        <v>0.2</v>
      </c>
      <c r="AZ3" s="381">
        <f>'Cost-Effectiveness Level'!$C$3</f>
        <v>0.5</v>
      </c>
      <c r="BA3" s="381">
        <f>'Cost-Effectiveness Level'!$D$3</f>
        <v>0.25</v>
      </c>
      <c r="BB3" s="381">
        <f>'Cost-Effectiveness Level'!$E$3</f>
        <v>0.05</v>
      </c>
      <c r="BC3" s="382"/>
      <c r="BD3" s="383"/>
      <c r="BG3" s="380">
        <f>'Cost-Effectiveness Level'!$B$3</f>
        <v>0.2</v>
      </c>
      <c r="BH3" s="381">
        <f>'Cost-Effectiveness Level'!$C$3</f>
        <v>0.5</v>
      </c>
      <c r="BI3" s="381">
        <f>'Cost-Effectiveness Level'!$D$3</f>
        <v>0.25</v>
      </c>
      <c r="BJ3" s="381">
        <f>'Cost-Effectiveness Level'!$E$3</f>
        <v>0.05</v>
      </c>
      <c r="BK3" s="382"/>
      <c r="BL3" s="383"/>
    </row>
    <row r="4" spans="1:64" ht="13.5" thickBot="1">
      <c r="A4" s="744"/>
      <c r="B4" s="745"/>
      <c r="C4" s="744" t="s">
        <v>477</v>
      </c>
      <c r="D4" s="746"/>
      <c r="E4" s="745"/>
      <c r="F4" s="744" t="s">
        <v>194</v>
      </c>
      <c r="G4" s="746"/>
      <c r="H4" s="745"/>
      <c r="I4" s="744" t="s">
        <v>200</v>
      </c>
      <c r="J4" s="746"/>
      <c r="K4" s="746"/>
      <c r="L4" s="719" t="s">
        <v>478</v>
      </c>
      <c r="M4" s="740" t="s">
        <v>479</v>
      </c>
      <c r="N4" s="741"/>
      <c r="O4" s="741"/>
      <c r="P4" s="741"/>
      <c r="T4" s="456" t="s">
        <v>189</v>
      </c>
      <c r="U4" s="457">
        <v>850</v>
      </c>
      <c r="V4" s="458"/>
      <c r="W4" s="313"/>
      <c r="Y4"/>
      <c r="Z4" s="456" t="s">
        <v>189</v>
      </c>
      <c r="AA4" s="457">
        <v>1350</v>
      </c>
      <c r="AB4" s="458"/>
      <c r="AC4" s="313"/>
      <c r="AD4" s="378"/>
      <c r="AE4"/>
      <c r="AF4" s="456" t="s">
        <v>189</v>
      </c>
      <c r="AG4" s="457">
        <v>2184</v>
      </c>
      <c r="AH4" s="458"/>
      <c r="AI4" s="313"/>
      <c r="AJ4"/>
      <c r="AQ4" s="385" t="s">
        <v>190</v>
      </c>
      <c r="AR4" s="386" t="s">
        <v>191</v>
      </c>
      <c r="AS4" s="386" t="s">
        <v>192</v>
      </c>
      <c r="AT4" s="386" t="s">
        <v>193</v>
      </c>
      <c r="AU4" s="386" t="s">
        <v>194</v>
      </c>
      <c r="AV4" s="387" t="s">
        <v>195</v>
      </c>
      <c r="AY4" s="385" t="s">
        <v>190</v>
      </c>
      <c r="AZ4" s="386" t="s">
        <v>191</v>
      </c>
      <c r="BA4" s="386" t="s">
        <v>192</v>
      </c>
      <c r="BB4" s="386" t="s">
        <v>193</v>
      </c>
      <c r="BC4" s="386" t="s">
        <v>194</v>
      </c>
      <c r="BD4" s="387" t="s">
        <v>195</v>
      </c>
      <c r="BG4" s="385" t="s">
        <v>190</v>
      </c>
      <c r="BH4" s="386" t="s">
        <v>191</v>
      </c>
      <c r="BI4" s="386" t="s">
        <v>192</v>
      </c>
      <c r="BJ4" s="386" t="s">
        <v>193</v>
      </c>
      <c r="BK4" s="386" t="s">
        <v>194</v>
      </c>
      <c r="BL4" s="387" t="s">
        <v>195</v>
      </c>
    </row>
    <row r="5" spans="1:64" ht="13.5" thickBot="1">
      <c r="A5" s="310" t="s">
        <v>476</v>
      </c>
      <c r="B5" s="310" t="s">
        <v>196</v>
      </c>
      <c r="C5" s="310">
        <v>850</v>
      </c>
      <c r="D5" s="310">
        <v>1350</v>
      </c>
      <c r="E5" s="310">
        <v>2184</v>
      </c>
      <c r="F5" s="310">
        <v>850</v>
      </c>
      <c r="G5" s="310">
        <v>1350</v>
      </c>
      <c r="H5" s="310">
        <v>2184</v>
      </c>
      <c r="I5" s="310">
        <v>850</v>
      </c>
      <c r="J5" s="310">
        <v>1350</v>
      </c>
      <c r="K5" s="310">
        <v>2184</v>
      </c>
      <c r="L5" s="720"/>
      <c r="M5" s="310">
        <v>850</v>
      </c>
      <c r="N5" s="310">
        <v>1350</v>
      </c>
      <c r="O5" s="261">
        <v>2184</v>
      </c>
      <c r="P5" s="603">
        <f>SUMPRODUCT('Cost-Effectiveness Level'!$I$3:$K$3,M5:O5)</f>
        <v>1600.28</v>
      </c>
      <c r="T5" s="459" t="s">
        <v>57</v>
      </c>
      <c r="U5" s="384" t="s">
        <v>202</v>
      </c>
      <c r="V5" s="384" t="s">
        <v>200</v>
      </c>
      <c r="W5" s="460" t="s">
        <v>200</v>
      </c>
      <c r="Y5"/>
      <c r="Z5" s="459" t="s">
        <v>57</v>
      </c>
      <c r="AA5" s="384" t="s">
        <v>202</v>
      </c>
      <c r="AB5" s="384" t="s">
        <v>200</v>
      </c>
      <c r="AC5" s="461" t="s">
        <v>201</v>
      </c>
      <c r="AE5"/>
      <c r="AF5" s="459" t="s">
        <v>57</v>
      </c>
      <c r="AG5" s="384" t="s">
        <v>202</v>
      </c>
      <c r="AH5" s="384" t="s">
        <v>200</v>
      </c>
      <c r="AI5" s="461" t="s">
        <v>201</v>
      </c>
      <c r="AJ5"/>
      <c r="AQ5" s="290">
        <v>43977.32200410197</v>
      </c>
      <c r="AR5" s="291">
        <v>50202.10958101377</v>
      </c>
      <c r="AS5" s="291">
        <v>65026.01816583651</v>
      </c>
      <c r="AT5" s="291">
        <v>74636.03867565191</v>
      </c>
      <c r="AU5" s="388">
        <v>1500</v>
      </c>
      <c r="AV5" s="389">
        <f>('Cost-Effectiveness Level'!$B$3*AQ5)+('Cost-Effectiveness Level'!$C$3*AR5)+('Cost-Effectiveness Level'!$D$3*AS5)+('Cost-Effectiveness Level'!$E$3*AT5)</f>
        <v>53884.825666569006</v>
      </c>
      <c r="AY5" s="290">
        <v>42722.648696161734</v>
      </c>
      <c r="AZ5" s="291">
        <v>48847.23117491943</v>
      </c>
      <c r="BA5" s="291">
        <v>63476.64811016701</v>
      </c>
      <c r="BB5" s="291">
        <v>73096.04453559918</v>
      </c>
      <c r="BC5" s="388">
        <v>1500</v>
      </c>
      <c r="BD5" s="389">
        <f>('Cost-Effectiveness Level'!$B$3*AY5)+('Cost-Effectiveness Level'!$C$3*AZ5)+('Cost-Effectiveness Level'!$D$3*BA5)+('Cost-Effectiveness Level'!$E$3*BB5)</f>
        <v>52492.10958101377</v>
      </c>
      <c r="BG5" s="290">
        <v>38694.66744799297</v>
      </c>
      <c r="BH5" s="291">
        <v>44448.08086727219</v>
      </c>
      <c r="BI5" s="291">
        <v>58612.745385291535</v>
      </c>
      <c r="BJ5" s="291">
        <v>68061.5587459713</v>
      </c>
      <c r="BK5" s="388">
        <v>1500</v>
      </c>
      <c r="BL5" s="389">
        <f>('Cost-Effectiveness Level'!$B$3*BG5)+('Cost-Effectiveness Level'!$C$3*BH5)+('Cost-Effectiveness Level'!$D$3*BI5)+('Cost-Effectiveness Level'!$E$3*BJ5)</f>
        <v>48019.238206856135</v>
      </c>
    </row>
    <row r="6" spans="1:64" ht="12.75">
      <c r="A6" s="465" t="s">
        <v>203</v>
      </c>
      <c r="B6" s="466">
        <v>0.1543716268311488</v>
      </c>
      <c r="C6" s="467">
        <v>810</v>
      </c>
      <c r="D6" s="467">
        <v>1011</v>
      </c>
      <c r="E6" s="467">
        <v>1521</v>
      </c>
      <c r="F6" s="468">
        <f>$B6*C6</f>
        <v>125.04101773323053</v>
      </c>
      <c r="G6" s="468">
        <f aca="true" t="shared" si="0" ref="G6:H21">$B6*D6</f>
        <v>156.06971472629144</v>
      </c>
      <c r="H6" s="468">
        <f t="shared" si="0"/>
        <v>234.79924441017732</v>
      </c>
      <c r="I6" s="469">
        <v>0</v>
      </c>
      <c r="J6" s="469">
        <v>1</v>
      </c>
      <c r="K6" s="469">
        <v>2</v>
      </c>
      <c r="L6" s="451">
        <v>0</v>
      </c>
      <c r="M6" s="613">
        <v>0</v>
      </c>
      <c r="N6" s="540">
        <v>0</v>
      </c>
      <c r="O6" s="598">
        <v>0</v>
      </c>
      <c r="P6" s="614">
        <f>SUMPRODUCT('Cost-Effectiveness Level'!$I$3:$K$3,M6:O6)</f>
        <v>0</v>
      </c>
      <c r="S6" s="378"/>
      <c r="T6" s="595" t="s">
        <v>203</v>
      </c>
      <c r="U6" s="409">
        <v>0</v>
      </c>
      <c r="V6" s="409">
        <v>0</v>
      </c>
      <c r="W6" s="332">
        <v>0</v>
      </c>
      <c r="X6" s="378"/>
      <c r="Z6" s="595" t="s">
        <v>203</v>
      </c>
      <c r="AA6" s="409">
        <v>0</v>
      </c>
      <c r="AB6" s="409">
        <v>1</v>
      </c>
      <c r="AC6" s="332">
        <v>0</v>
      </c>
      <c r="AD6" s="378"/>
      <c r="AE6"/>
      <c r="AF6" s="595" t="s">
        <v>203</v>
      </c>
      <c r="AG6" s="409">
        <v>0</v>
      </c>
      <c r="AH6" s="409">
        <v>2</v>
      </c>
      <c r="AI6" s="332">
        <v>0</v>
      </c>
      <c r="AJ6"/>
      <c r="AQ6" s="290">
        <v>43308.29182537358</v>
      </c>
      <c r="AR6" s="291">
        <v>49442.513917374745</v>
      </c>
      <c r="AS6" s="291">
        <v>64069.967770290066</v>
      </c>
      <c r="AT6" s="291">
        <v>73547.67067096397</v>
      </c>
      <c r="AU6" s="388">
        <v>1480</v>
      </c>
      <c r="AV6" s="389">
        <f>('Cost-Effectiveness Level'!$B$3*AQ6)+('Cost-Effectiveness Level'!$C$3*AR6)+('Cost-Effectiveness Level'!$D$3*AS6)+('Cost-Effectiveness Level'!$E$3*AT6)</f>
        <v>53077.79079988281</v>
      </c>
      <c r="AY6" s="290">
        <v>42054.99560503956</v>
      </c>
      <c r="AZ6" s="291">
        <v>48090.946381482565</v>
      </c>
      <c r="BA6" s="291">
        <v>62524.02578376795</v>
      </c>
      <c r="BB6" s="291">
        <v>72010.9874011134</v>
      </c>
      <c r="BC6" s="388">
        <v>1480</v>
      </c>
      <c r="BD6" s="389">
        <f>('Cost-Effectiveness Level'!$B$3*AY6)+('Cost-Effectiveness Level'!$C$3*AZ6)+('Cost-Effectiveness Level'!$D$3*BA6)+('Cost-Effectiveness Level'!$E$3*BB6)</f>
        <v>51688.02812774685</v>
      </c>
      <c r="BG6" s="290">
        <v>38040.580134778786</v>
      </c>
      <c r="BH6" s="291">
        <v>43697.83181951363</v>
      </c>
      <c r="BI6" s="291">
        <v>57672.985643129214</v>
      </c>
      <c r="BJ6" s="291">
        <v>66982.97685320833</v>
      </c>
      <c r="BK6" s="388">
        <v>1480</v>
      </c>
      <c r="BL6" s="389">
        <f>('Cost-Effectiveness Level'!$B$3*BG6)+('Cost-Effectiveness Level'!$C$3*BH6)+('Cost-Effectiveness Level'!$D$3*BI6)+('Cost-Effectiveness Level'!$E$3*BJ6)</f>
        <v>47224.4271901553</v>
      </c>
    </row>
    <row r="7" spans="1:64" ht="13.5" thickBot="1">
      <c r="A7" s="473" t="s">
        <v>171</v>
      </c>
      <c r="B7" s="474">
        <v>0.094</v>
      </c>
      <c r="C7" s="475">
        <v>810</v>
      </c>
      <c r="D7" s="475">
        <v>1011</v>
      </c>
      <c r="E7" s="475">
        <v>1521</v>
      </c>
      <c r="F7" s="476">
        <f aca="true" t="shared" si="1" ref="F7:F36">$B7*C7</f>
        <v>76.14</v>
      </c>
      <c r="G7" s="476">
        <f t="shared" si="0"/>
        <v>95.034</v>
      </c>
      <c r="H7" s="476">
        <f t="shared" si="0"/>
        <v>142.974</v>
      </c>
      <c r="I7" s="477">
        <f>F6-F7</f>
        <v>48.90101773323053</v>
      </c>
      <c r="J7" s="477">
        <f>G6-G7</f>
        <v>61.03571472629143</v>
      </c>
      <c r="K7" s="477">
        <f>H6-H7</f>
        <v>91.82524441017733</v>
      </c>
      <c r="L7" s="478">
        <f>'Summary Table'!H11</f>
        <v>0.8075531268461642</v>
      </c>
      <c r="M7" s="479">
        <f aca="true" t="shared" si="2" ref="M7:O9">C7*$L7</f>
        <v>654.118032745393</v>
      </c>
      <c r="N7" s="480">
        <f t="shared" si="2"/>
        <v>816.436211241472</v>
      </c>
      <c r="O7" s="605">
        <f t="shared" si="2"/>
        <v>1228.2883059330159</v>
      </c>
      <c r="P7" s="611">
        <f>SUMPRODUCT('Cost-Effectiveness Level'!$I$3:$K$3,M7:O7)</f>
        <v>956.9504553127047</v>
      </c>
      <c r="S7" s="378"/>
      <c r="T7" s="595" t="s">
        <v>480</v>
      </c>
      <c r="U7" s="409">
        <v>0</v>
      </c>
      <c r="V7" s="409">
        <v>0</v>
      </c>
      <c r="W7" s="332">
        <v>0</v>
      </c>
      <c r="X7" s="378"/>
      <c r="Z7" s="595" t="s">
        <v>480</v>
      </c>
      <c r="AA7" s="409">
        <v>0</v>
      </c>
      <c r="AB7" s="409">
        <v>0</v>
      </c>
      <c r="AC7" s="332">
        <v>0</v>
      </c>
      <c r="AD7" s="378"/>
      <c r="AE7"/>
      <c r="AF7" s="595" t="s">
        <v>480</v>
      </c>
      <c r="AG7" s="409">
        <v>0</v>
      </c>
      <c r="AH7" s="409">
        <v>0</v>
      </c>
      <c r="AI7" s="332">
        <v>0</v>
      </c>
      <c r="AJ7"/>
      <c r="AQ7" s="290">
        <v>42639.320246117786</v>
      </c>
      <c r="AR7" s="291">
        <v>48683.03545268093</v>
      </c>
      <c r="AS7" s="291">
        <v>63113.85877527103</v>
      </c>
      <c r="AT7" s="291">
        <v>72460.00585994727</v>
      </c>
      <c r="AU7" s="388">
        <v>1460</v>
      </c>
      <c r="AV7" s="389">
        <f>('Cost-Effectiveness Level'!$B$3*AQ7)+('Cost-Effectiveness Level'!$C$3*AR7)+('Cost-Effectiveness Level'!$D$3*AS7)+('Cost-Effectiveness Level'!$E$3*AT7)</f>
        <v>52270.846762379144</v>
      </c>
      <c r="AY7" s="290">
        <v>41387.752710225606</v>
      </c>
      <c r="AZ7" s="291">
        <v>47334.749487254616</v>
      </c>
      <c r="BA7" s="291">
        <v>61571.43275710518</v>
      </c>
      <c r="BB7" s="291">
        <v>70926.16466451803</v>
      </c>
      <c r="BC7" s="388">
        <v>1460</v>
      </c>
      <c r="BD7" s="389">
        <f>('Cost-Effectiveness Level'!$B$3*AY7)+('Cost-Effectiveness Level'!$C$3*AZ7)+('Cost-Effectiveness Level'!$D$3*BA7)+('Cost-Effectiveness Level'!$E$3*BB7)</f>
        <v>50884.09170817462</v>
      </c>
      <c r="BG7" s="290">
        <v>37386.96161734544</v>
      </c>
      <c r="BH7" s="291">
        <v>42948.49106358043</v>
      </c>
      <c r="BI7" s="291">
        <v>56734.016993847064</v>
      </c>
      <c r="BJ7" s="291">
        <v>65904.48285965426</v>
      </c>
      <c r="BK7" s="388">
        <v>1460</v>
      </c>
      <c r="BL7" s="389">
        <f>('Cost-Effectiveness Level'!$B$3*BG7)+('Cost-Effectiveness Level'!$C$3*BH7)+('Cost-Effectiveness Level'!$D$3*BI7)+('Cost-Effectiveness Level'!$E$3*BJ7)</f>
        <v>46430.36624670378</v>
      </c>
    </row>
    <row r="8" spans="1:64" ht="12.75">
      <c r="A8" s="465" t="s">
        <v>480</v>
      </c>
      <c r="B8" s="481">
        <v>0.163</v>
      </c>
      <c r="C8" s="467">
        <v>850</v>
      </c>
      <c r="D8" s="467">
        <v>945</v>
      </c>
      <c r="E8" s="467">
        <v>728</v>
      </c>
      <c r="F8" s="468">
        <f t="shared" si="1"/>
        <v>138.55</v>
      </c>
      <c r="G8" s="468">
        <f t="shared" si="0"/>
        <v>154.035</v>
      </c>
      <c r="H8" s="468">
        <f t="shared" si="0"/>
        <v>118.664</v>
      </c>
      <c r="I8" s="469">
        <v>0</v>
      </c>
      <c r="J8" s="469">
        <v>0</v>
      </c>
      <c r="K8" s="469">
        <v>0</v>
      </c>
      <c r="L8" s="451">
        <v>0</v>
      </c>
      <c r="M8" s="470">
        <f t="shared" si="2"/>
        <v>0</v>
      </c>
      <c r="N8" s="471">
        <f t="shared" si="2"/>
        <v>0</v>
      </c>
      <c r="O8" s="604">
        <f t="shared" si="2"/>
        <v>0</v>
      </c>
      <c r="P8" s="611">
        <f>SUMPRODUCT('Cost-Effectiveness Level'!$I$3:$K$3,M8:O8)</f>
        <v>0</v>
      </c>
      <c r="S8" s="378"/>
      <c r="T8" s="595" t="s">
        <v>170</v>
      </c>
      <c r="U8" s="409">
        <v>0</v>
      </c>
      <c r="V8" s="409">
        <v>0</v>
      </c>
      <c r="W8" s="332">
        <v>0</v>
      </c>
      <c r="X8" s="378"/>
      <c r="Z8" s="595" t="s">
        <v>170</v>
      </c>
      <c r="AA8" s="409">
        <v>0</v>
      </c>
      <c r="AB8" s="409">
        <v>0</v>
      </c>
      <c r="AC8" s="332">
        <v>0</v>
      </c>
      <c r="AD8" s="378"/>
      <c r="AE8"/>
      <c r="AF8" s="595" t="s">
        <v>170</v>
      </c>
      <c r="AG8" s="409">
        <v>0</v>
      </c>
      <c r="AH8" s="409">
        <v>0</v>
      </c>
      <c r="AI8" s="332">
        <v>0</v>
      </c>
      <c r="AJ8"/>
      <c r="AQ8" s="290">
        <v>41970.348666861995</v>
      </c>
      <c r="AR8" s="291">
        <v>47923.76208614122</v>
      </c>
      <c r="AS8" s="291">
        <v>62157.74978025198</v>
      </c>
      <c r="AT8" s="291">
        <v>71372.54614708468</v>
      </c>
      <c r="AU8" s="388">
        <v>1440</v>
      </c>
      <c r="AV8" s="389">
        <f>('Cost-Effectiveness Level'!$B$3*AQ8)+('Cost-Effectiveness Level'!$C$3*AR8)+('Cost-Effectiveness Level'!$D$3*AS8)+('Cost-Effectiveness Level'!$E$3*AT8)</f>
        <v>51464.01552886023</v>
      </c>
      <c r="AY8" s="290">
        <v>40720.832112510994</v>
      </c>
      <c r="AZ8" s="291">
        <v>46578.406094345155</v>
      </c>
      <c r="BA8" s="291">
        <v>60618.89832991503</v>
      </c>
      <c r="BB8" s="291">
        <v>69841.8986229124</v>
      </c>
      <c r="BC8" s="388">
        <v>1440</v>
      </c>
      <c r="BD8" s="389">
        <f>('Cost-Effectiveness Level'!$B$3*AY8)+('Cost-Effectiveness Level'!$C$3*AZ8)+('Cost-Effectiveness Level'!$D$3*BA8)+('Cost-Effectiveness Level'!$E$3*BB8)</f>
        <v>50080.18898329916</v>
      </c>
      <c r="BG8" s="290">
        <v>36734.10489305596</v>
      </c>
      <c r="BH8" s="291">
        <v>42199.707002636984</v>
      </c>
      <c r="BI8" s="291">
        <v>55795.19484324641</v>
      </c>
      <c r="BJ8" s="291">
        <v>64825.959566363905</v>
      </c>
      <c r="BK8" s="388">
        <v>1440</v>
      </c>
      <c r="BL8" s="389">
        <f>('Cost-Effectiveness Level'!$B$3*BG8)+('Cost-Effectiveness Level'!$C$3*BH8)+('Cost-Effectiveness Level'!$D$3*BI8)+('Cost-Effectiveness Level'!$E$3*BJ8)</f>
        <v>45636.77116905949</v>
      </c>
    </row>
    <row r="9" spans="1:64" ht="12.75">
      <c r="A9" s="321" t="s">
        <v>170</v>
      </c>
      <c r="B9" s="324">
        <v>0.08</v>
      </c>
      <c r="C9" s="328">
        <v>850</v>
      </c>
      <c r="D9" s="328">
        <v>945</v>
      </c>
      <c r="E9" s="328">
        <v>728</v>
      </c>
      <c r="F9" s="348">
        <f t="shared" si="1"/>
        <v>68</v>
      </c>
      <c r="G9" s="348">
        <f t="shared" si="0"/>
        <v>75.60000000000001</v>
      </c>
      <c r="H9" s="348">
        <f t="shared" si="0"/>
        <v>58.24</v>
      </c>
      <c r="I9" s="329">
        <v>0</v>
      </c>
      <c r="J9" s="329">
        <v>0</v>
      </c>
      <c r="K9" s="329">
        <v>0</v>
      </c>
      <c r="L9" s="330">
        <v>0</v>
      </c>
      <c r="M9" s="453">
        <f t="shared" si="2"/>
        <v>0</v>
      </c>
      <c r="N9" s="332">
        <f t="shared" si="2"/>
        <v>0</v>
      </c>
      <c r="O9" s="599">
        <f t="shared" si="2"/>
        <v>0</v>
      </c>
      <c r="P9" s="611">
        <f>SUMPRODUCT('Cost-Effectiveness Level'!$I$3:$K$3,M9:O9)</f>
        <v>0</v>
      </c>
      <c r="S9" s="378"/>
      <c r="T9" s="595" t="s">
        <v>175</v>
      </c>
      <c r="U9" s="409">
        <v>0</v>
      </c>
      <c r="V9" s="409">
        <v>0</v>
      </c>
      <c r="W9" s="332">
        <v>0</v>
      </c>
      <c r="X9" s="378"/>
      <c r="Z9" s="595" t="s">
        <v>175</v>
      </c>
      <c r="AA9" s="409">
        <v>0</v>
      </c>
      <c r="AB9" s="409">
        <v>0</v>
      </c>
      <c r="AC9" s="332">
        <v>0</v>
      </c>
      <c r="AD9" s="378"/>
      <c r="AE9"/>
      <c r="AF9" s="595" t="s">
        <v>175</v>
      </c>
      <c r="AG9" s="409">
        <v>0</v>
      </c>
      <c r="AH9" s="409">
        <v>0</v>
      </c>
      <c r="AI9" s="332">
        <v>0</v>
      </c>
      <c r="AJ9"/>
      <c r="AQ9" s="290">
        <v>41301.69938470554</v>
      </c>
      <c r="AR9" s="291">
        <v>47164.78171696455</v>
      </c>
      <c r="AS9" s="291">
        <v>61201.81658365075</v>
      </c>
      <c r="AT9" s="291">
        <v>70285.1157339584</v>
      </c>
      <c r="AU9" s="388">
        <v>1420</v>
      </c>
      <c r="AV9" s="389">
        <f>('Cost-Effectiveness Level'!$B$3*AQ9)+('Cost-Effectiveness Level'!$C$3*AR9)+('Cost-Effectiveness Level'!$D$3*AS9)+('Cost-Effectiveness Level'!$E$3*AT9)</f>
        <v>50657.44066803399</v>
      </c>
      <c r="AY9" s="290">
        <v>40054.116612950485</v>
      </c>
      <c r="AZ9" s="291">
        <v>45822.1799003809</v>
      </c>
      <c r="BA9" s="291">
        <v>59666.21740404336</v>
      </c>
      <c r="BB9" s="291">
        <v>68757.51538236155</v>
      </c>
      <c r="BC9" s="388">
        <v>1420</v>
      </c>
      <c r="BD9" s="389">
        <f>('Cost-Effectiveness Level'!$B$3*AY9)+('Cost-Effectiveness Level'!$C$3*AZ9)+('Cost-Effectiveness Level'!$D$3*BA9)+('Cost-Effectiveness Level'!$E$3*BB9)</f>
        <v>49276.34339290947</v>
      </c>
      <c r="BG9" s="290">
        <v>36082.127160855554</v>
      </c>
      <c r="BH9" s="291">
        <v>41451.42103721067</v>
      </c>
      <c r="BI9" s="291">
        <v>54856.87078816291</v>
      </c>
      <c r="BJ9" s="291">
        <v>63748.1101670085</v>
      </c>
      <c r="BK9" s="388">
        <v>1420</v>
      </c>
      <c r="BL9" s="389">
        <f>('Cost-Effectiveness Level'!$B$3*BG9)+('Cost-Effectiveness Level'!$C$3*BH9)+('Cost-Effectiveness Level'!$D$3*BI9)+('Cost-Effectiveness Level'!$E$3*BJ9)</f>
        <v>44843.7591561676</v>
      </c>
    </row>
    <row r="10" spans="1:64" ht="12.75">
      <c r="A10" s="320" t="s">
        <v>172</v>
      </c>
      <c r="B10" s="323">
        <v>0.06</v>
      </c>
      <c r="C10" s="342">
        <v>850</v>
      </c>
      <c r="D10" s="342">
        <v>945</v>
      </c>
      <c r="E10" s="342">
        <v>728</v>
      </c>
      <c r="F10" s="347">
        <f t="shared" si="1"/>
        <v>51</v>
      </c>
      <c r="G10" s="347">
        <f t="shared" si="0"/>
        <v>56.699999999999996</v>
      </c>
      <c r="H10" s="347">
        <f t="shared" si="0"/>
        <v>43.68</v>
      </c>
      <c r="I10" s="343">
        <f>F8-F10</f>
        <v>87.55000000000001</v>
      </c>
      <c r="J10" s="343">
        <f>G8-G10</f>
        <v>97.33500000000001</v>
      </c>
      <c r="K10" s="343">
        <f>H8-H10</f>
        <v>74.98400000000001</v>
      </c>
      <c r="L10" s="344">
        <f>'Summary Table'!H$4</f>
        <v>0.8619925838937454</v>
      </c>
      <c r="M10" s="452">
        <f>C10*$L10</f>
        <v>732.6936963096837</v>
      </c>
      <c r="N10" s="345">
        <f>D10*$L10</f>
        <v>814.5829917795894</v>
      </c>
      <c r="O10" s="606">
        <f>E10*$L10</f>
        <v>627.5306010746467</v>
      </c>
      <c r="P10" s="611">
        <f>SUMPRODUCT('Cost-Effectiveness Level'!$I$3:$K$3,M10:O10)</f>
        <v>719.6431285895324</v>
      </c>
      <c r="S10" s="378"/>
      <c r="T10" s="595" t="s">
        <v>481</v>
      </c>
      <c r="U10" s="409">
        <v>0</v>
      </c>
      <c r="V10" s="409">
        <v>0</v>
      </c>
      <c r="W10" s="332">
        <v>0</v>
      </c>
      <c r="X10" s="378"/>
      <c r="Z10" s="595" t="s">
        <v>481</v>
      </c>
      <c r="AA10" s="409">
        <v>0</v>
      </c>
      <c r="AB10" s="409">
        <v>0</v>
      </c>
      <c r="AC10" s="332">
        <v>0</v>
      </c>
      <c r="AD10" s="378"/>
      <c r="AE10"/>
      <c r="AF10" s="595" t="s">
        <v>481</v>
      </c>
      <c r="AG10" s="409">
        <v>0</v>
      </c>
      <c r="AH10" s="409">
        <v>0</v>
      </c>
      <c r="AI10" s="332">
        <v>0</v>
      </c>
      <c r="AJ10"/>
      <c r="AQ10" s="290">
        <v>40633.07940228539</v>
      </c>
      <c r="AR10" s="291">
        <v>46405.742748315264</v>
      </c>
      <c r="AS10" s="291">
        <v>60246.05918546733</v>
      </c>
      <c r="AT10" s="291">
        <v>69197.89041898624</v>
      </c>
      <c r="AU10" s="388">
        <v>1400</v>
      </c>
      <c r="AV10" s="389">
        <f>('Cost-Effectiveness Level'!$B$3*AQ10)+('Cost-Effectiveness Level'!$C$3*AR10)+('Cost-Effectiveness Level'!$D$3*AS10)+('Cost-Effectiveness Level'!$E$3*AT10)</f>
        <v>49850.896571930854</v>
      </c>
      <c r="AY10" s="290">
        <v>39387.72341048931</v>
      </c>
      <c r="AZ10" s="291">
        <v>45066.100205098155</v>
      </c>
      <c r="BA10" s="291">
        <v>58713.38997949018</v>
      </c>
      <c r="BB10" s="291">
        <v>67673.57163785526</v>
      </c>
      <c r="BC10" s="388">
        <v>1400</v>
      </c>
      <c r="BD10" s="389">
        <f>('Cost-Effectiveness Level'!$B$3*AY10)+('Cost-Effectiveness Level'!$C$3*AZ10)+('Cost-Effectiveness Level'!$D$3*BA10)+('Cost-Effectiveness Level'!$E$3*BB10)</f>
        <v>48472.620861412244</v>
      </c>
      <c r="BG10" s="290">
        <v>35430.94052153531</v>
      </c>
      <c r="BH10" s="291">
        <v>40703.92616466452</v>
      </c>
      <c r="BI10" s="291">
        <v>53918.75183123352</v>
      </c>
      <c r="BJ10" s="291">
        <v>62670.61236448872</v>
      </c>
      <c r="BK10" s="388">
        <v>1400</v>
      </c>
      <c r="BL10" s="389">
        <f>('Cost-Effectiveness Level'!$B$3*BG10)+('Cost-Effectiveness Level'!$C$3*BH10)+('Cost-Effectiveness Level'!$D$3*BI10)+('Cost-Effectiveness Level'!$E$3*BJ10)</f>
        <v>44051.36976267214</v>
      </c>
    </row>
    <row r="11" spans="1:64" ht="12.75">
      <c r="A11" s="321" t="s">
        <v>175</v>
      </c>
      <c r="B11" s="324">
        <v>0.043</v>
      </c>
      <c r="C11" s="328">
        <v>850</v>
      </c>
      <c r="D11" s="328">
        <v>945</v>
      </c>
      <c r="E11" s="328">
        <v>728</v>
      </c>
      <c r="F11" s="348">
        <f t="shared" si="1"/>
        <v>36.55</v>
      </c>
      <c r="G11" s="348">
        <f t="shared" si="0"/>
        <v>40.635</v>
      </c>
      <c r="H11" s="348">
        <f t="shared" si="0"/>
        <v>31.304</v>
      </c>
      <c r="I11" s="329">
        <v>0</v>
      </c>
      <c r="J11" s="329">
        <v>0</v>
      </c>
      <c r="K11" s="329">
        <v>0</v>
      </c>
      <c r="L11" s="330" t="s">
        <v>564</v>
      </c>
      <c r="M11" s="453">
        <v>0</v>
      </c>
      <c r="N11" s="332">
        <v>0</v>
      </c>
      <c r="O11" s="599">
        <v>0</v>
      </c>
      <c r="P11" s="611">
        <f>SUMPRODUCT('Cost-Effectiveness Level'!$I$3:$K$3,M11:O11)</f>
        <v>0</v>
      </c>
      <c r="S11" s="378"/>
      <c r="T11" s="595" t="s">
        <v>482</v>
      </c>
      <c r="U11" s="409">
        <v>0</v>
      </c>
      <c r="V11" s="409">
        <v>0</v>
      </c>
      <c r="W11" s="332">
        <v>0</v>
      </c>
      <c r="X11" s="378"/>
      <c r="Z11" s="595" t="s">
        <v>482</v>
      </c>
      <c r="AA11" s="409">
        <v>0</v>
      </c>
      <c r="AB11" s="409">
        <v>0</v>
      </c>
      <c r="AC11" s="332">
        <v>0</v>
      </c>
      <c r="AD11" s="378"/>
      <c r="AE11"/>
      <c r="AF11" s="595" t="s">
        <v>482</v>
      </c>
      <c r="AG11" s="409">
        <v>0</v>
      </c>
      <c r="AH11" s="409">
        <v>0</v>
      </c>
      <c r="AI11" s="332">
        <v>0</v>
      </c>
      <c r="AJ11"/>
      <c r="AQ11" s="290">
        <v>39964.40082039262</v>
      </c>
      <c r="AR11" s="291">
        <v>45646.8795780838</v>
      </c>
      <c r="AS11" s="291">
        <v>59290.41898622913</v>
      </c>
      <c r="AT11" s="291">
        <v>68110.89950190448</v>
      </c>
      <c r="AU11" s="388">
        <v>1380</v>
      </c>
      <c r="AV11" s="389">
        <f>('Cost-Effectiveness Level'!$B$3*AQ11)+('Cost-Effectiveness Level'!$C$3*AR11)+('Cost-Effectiveness Level'!$D$3*AS11)+('Cost-Effectiveness Level'!$E$3*AT11)</f>
        <v>49044.46967477293</v>
      </c>
      <c r="AY11" s="290">
        <v>38721.56460591855</v>
      </c>
      <c r="AZ11" s="291">
        <v>44310.284207442135</v>
      </c>
      <c r="BA11" s="291">
        <v>57760.70905361852</v>
      </c>
      <c r="BB11" s="291">
        <v>66589.65719308527</v>
      </c>
      <c r="BC11" s="388">
        <v>1380</v>
      </c>
      <c r="BD11" s="389">
        <f>('Cost-Effectiveness Level'!$B$3*AY11)+('Cost-Effectiveness Level'!$C$3*AZ11)+('Cost-Effectiveness Level'!$D$3*BA11)+('Cost-Effectiveness Level'!$E$3*BB11)</f>
        <v>47669.115147963676</v>
      </c>
      <c r="BG11" s="290">
        <v>34779.51948432464</v>
      </c>
      <c r="BH11" s="291">
        <v>39956.25549370056</v>
      </c>
      <c r="BI11" s="291">
        <v>52980.95517140346</v>
      </c>
      <c r="BJ11" s="291">
        <v>61594.84324641079</v>
      </c>
      <c r="BK11" s="388">
        <v>1380</v>
      </c>
      <c r="BL11" s="389">
        <f>('Cost-Effectiveness Level'!$B$3*BG11)+('Cost-Effectiveness Level'!$C$3*BH11)+('Cost-Effectiveness Level'!$D$3*BI11)+('Cost-Effectiveness Level'!$E$3*BJ11)</f>
        <v>43259.01259888661</v>
      </c>
    </row>
    <row r="12" spans="1:64" ht="12.75">
      <c r="A12" s="321" t="s">
        <v>177</v>
      </c>
      <c r="B12" s="324">
        <v>0.039</v>
      </c>
      <c r="C12" s="328">
        <v>850</v>
      </c>
      <c r="D12" s="328">
        <v>945</v>
      </c>
      <c r="E12" s="328">
        <v>728</v>
      </c>
      <c r="F12" s="348">
        <f t="shared" si="1"/>
        <v>33.15</v>
      </c>
      <c r="G12" s="348">
        <f t="shared" si="0"/>
        <v>36.855</v>
      </c>
      <c r="H12" s="348">
        <f t="shared" si="0"/>
        <v>28.392</v>
      </c>
      <c r="I12" s="329">
        <f>F10-F12</f>
        <v>17.85</v>
      </c>
      <c r="J12" s="329">
        <f>G10-G12</f>
        <v>19.845</v>
      </c>
      <c r="K12" s="329">
        <f>H10-H12</f>
        <v>15.288</v>
      </c>
      <c r="L12" s="330">
        <f>'Summary Table'!H$5+'Summary Table'!H$6</f>
        <v>0.33036423134516213</v>
      </c>
      <c r="M12" s="453">
        <f aca="true" t="shared" si="3" ref="M12:M35">C12*$L12</f>
        <v>280.8095966433878</v>
      </c>
      <c r="N12" s="332">
        <f aca="true" t="shared" si="4" ref="N12:N35">D12*$L12</f>
        <v>312.1941986211782</v>
      </c>
      <c r="O12" s="599">
        <f aca="true" t="shared" si="5" ref="O12:O35">E12*$L12</f>
        <v>240.50516041927804</v>
      </c>
      <c r="P12" s="611">
        <f>SUMPRODUCT('Cost-Effectiveness Level'!$I$3:$K$3,M12:O12)</f>
        <v>275.80788218082205</v>
      </c>
      <c r="S12" s="378"/>
      <c r="T12" s="595" t="s">
        <v>483</v>
      </c>
      <c r="U12" s="409">
        <v>0</v>
      </c>
      <c r="V12" s="409">
        <v>0</v>
      </c>
      <c r="W12" s="332">
        <v>0</v>
      </c>
      <c r="X12" s="378"/>
      <c r="Z12" s="595" t="s">
        <v>484</v>
      </c>
      <c r="AA12" s="409">
        <v>0</v>
      </c>
      <c r="AB12" s="409">
        <v>0</v>
      </c>
      <c r="AC12" s="332">
        <v>0</v>
      </c>
      <c r="AD12" s="378"/>
      <c r="AE12"/>
      <c r="AF12" s="595" t="s">
        <v>483</v>
      </c>
      <c r="AG12" s="409">
        <v>0</v>
      </c>
      <c r="AH12" s="409">
        <v>0</v>
      </c>
      <c r="AI12" s="332">
        <v>0</v>
      </c>
      <c r="AJ12"/>
      <c r="AQ12" s="290">
        <v>39295.78083797246</v>
      </c>
      <c r="AR12" s="291">
        <v>44888.10430706124</v>
      </c>
      <c r="AS12" s="291">
        <v>58335.04248461764</v>
      </c>
      <c r="AT12" s="291">
        <v>67023.90858482274</v>
      </c>
      <c r="AU12" s="388">
        <v>1360</v>
      </c>
      <c r="AV12" s="389">
        <f>('Cost-Effectiveness Level'!$B$3*AQ12)+('Cost-Effectiveness Level'!$C$3*AR12)+('Cost-Effectiveness Level'!$D$3*AS12)+('Cost-Effectiveness Level'!$E$3*AT12)</f>
        <v>48238.16437152067</v>
      </c>
      <c r="AY12" s="290">
        <v>38055.25930266628</v>
      </c>
      <c r="AZ12" s="291">
        <v>43554.93700556695</v>
      </c>
      <c r="BA12" s="291">
        <v>56809.024318781136</v>
      </c>
      <c r="BB12" s="291">
        <v>65505.77204805158</v>
      </c>
      <c r="BC12" s="388">
        <v>1360</v>
      </c>
      <c r="BD12" s="389">
        <f>('Cost-Effectiveness Level'!$B$3*AY12)+('Cost-Effectiveness Level'!$C$3*AZ12)+('Cost-Effectiveness Level'!$D$3*BA12)+('Cost-Effectiveness Level'!$E$3*BB12)</f>
        <v>46866.065045414594</v>
      </c>
      <c r="BG12" s="290">
        <v>34129.06533841196</v>
      </c>
      <c r="BH12" s="291">
        <v>39208.08672721946</v>
      </c>
      <c r="BI12" s="291">
        <v>52044.35980076179</v>
      </c>
      <c r="BJ12" s="291">
        <v>60519.51362437739</v>
      </c>
      <c r="BK12" s="388">
        <v>1360</v>
      </c>
      <c r="BL12" s="389">
        <f>('Cost-Effectiveness Level'!$B$3*BG12)+('Cost-Effectiveness Level'!$C$3*BH12)+('Cost-Effectiveness Level'!$D$3*BI12)+('Cost-Effectiveness Level'!$E$3*BJ12)</f>
        <v>42466.922062701444</v>
      </c>
    </row>
    <row r="13" spans="1:64" ht="13.5" thickBot="1">
      <c r="A13" s="482" t="s">
        <v>178</v>
      </c>
      <c r="B13" s="483">
        <v>0.034</v>
      </c>
      <c r="C13" s="335">
        <v>850</v>
      </c>
      <c r="D13" s="335">
        <v>945</v>
      </c>
      <c r="E13" s="335">
        <v>728</v>
      </c>
      <c r="F13" s="349">
        <f t="shared" si="1"/>
        <v>28.900000000000002</v>
      </c>
      <c r="G13" s="349">
        <f t="shared" si="0"/>
        <v>32.13</v>
      </c>
      <c r="H13" s="349">
        <f t="shared" si="0"/>
        <v>24.752000000000002</v>
      </c>
      <c r="I13" s="336">
        <f>F12-F13</f>
        <v>4.2499999999999964</v>
      </c>
      <c r="J13" s="336">
        <f>G12-G13</f>
        <v>4.724999999999994</v>
      </c>
      <c r="K13" s="336">
        <f>H12-H13</f>
        <v>3.639999999999997</v>
      </c>
      <c r="L13" s="338">
        <v>0.18196839895363545</v>
      </c>
      <c r="M13" s="454">
        <f t="shared" si="3"/>
        <v>154.67313911059014</v>
      </c>
      <c r="N13" s="340">
        <f t="shared" si="4"/>
        <v>171.9601370111855</v>
      </c>
      <c r="O13" s="607">
        <f t="shared" si="5"/>
        <v>132.47299443824662</v>
      </c>
      <c r="P13" s="611">
        <f>SUMPRODUCT('Cost-Effectiveness Level'!$I$3:$K$3,M13:O13)</f>
        <v>151.9181375504321</v>
      </c>
      <c r="S13" s="378"/>
      <c r="T13" s="595" t="s">
        <v>484</v>
      </c>
      <c r="U13" s="409">
        <v>0</v>
      </c>
      <c r="V13" s="409">
        <v>0</v>
      </c>
      <c r="W13" s="332">
        <v>0</v>
      </c>
      <c r="X13" s="378"/>
      <c r="Z13" s="595" t="s">
        <v>204</v>
      </c>
      <c r="AA13" s="409">
        <v>0</v>
      </c>
      <c r="AB13" s="409">
        <v>0</v>
      </c>
      <c r="AC13" s="332">
        <v>0</v>
      </c>
      <c r="AD13" s="378"/>
      <c r="AE13"/>
      <c r="AF13" s="595" t="s">
        <v>484</v>
      </c>
      <c r="AG13" s="409">
        <v>0</v>
      </c>
      <c r="AH13" s="409">
        <v>0</v>
      </c>
      <c r="AI13" s="332">
        <v>0</v>
      </c>
      <c r="AJ13"/>
      <c r="AQ13" s="290">
        <v>38627.36595370642</v>
      </c>
      <c r="AR13" s="291">
        <v>44129.475534720186</v>
      </c>
      <c r="AS13" s="291">
        <v>57380.10547905069</v>
      </c>
      <c r="AT13" s="291">
        <v>65937.15206563141</v>
      </c>
      <c r="AU13" s="388">
        <v>1340</v>
      </c>
      <c r="AV13" s="389">
        <f>('Cost-Effectiveness Level'!$B$3*AQ13)+('Cost-Effectiveness Level'!$C$3*AR13)+('Cost-Effectiveness Level'!$D$3*AS13)+('Cost-Effectiveness Level'!$E$3*AT13)</f>
        <v>47432.09493114562</v>
      </c>
      <c r="AY13" s="290">
        <v>37389.27629651334</v>
      </c>
      <c r="AZ13" s="291">
        <v>42799.58980369177</v>
      </c>
      <c r="BA13" s="291">
        <v>55857.72048051568</v>
      </c>
      <c r="BB13" s="291">
        <v>64422.00410196308</v>
      </c>
      <c r="BC13" s="388">
        <v>1340</v>
      </c>
      <c r="BD13" s="389">
        <f>('Cost-Effectiveness Level'!$B$3*AY13)+('Cost-Effectiveness Level'!$C$3*AZ13)+('Cost-Effectiveness Level'!$D$3*BA13)+('Cost-Effectiveness Level'!$E$3*BB13)</f>
        <v>46063.18048637563</v>
      </c>
      <c r="BG13" s="290">
        <v>33480.164078523296</v>
      </c>
      <c r="BH13" s="291">
        <v>38460.03515968357</v>
      </c>
      <c r="BI13" s="291">
        <v>51108.29182537358</v>
      </c>
      <c r="BJ13" s="291">
        <v>59444.76999707003</v>
      </c>
      <c r="BK13" s="388">
        <v>1340</v>
      </c>
      <c r="BL13" s="389">
        <f>('Cost-Effectiveness Level'!$B$3*BG13)+('Cost-Effectiveness Level'!$C$3*BH13)+('Cost-Effectiveness Level'!$D$3*BI13)+('Cost-Effectiveness Level'!$E$3*BJ13)</f>
        <v>41675.361851743335</v>
      </c>
    </row>
    <row r="14" spans="1:64" ht="12.75">
      <c r="A14" s="465" t="s">
        <v>481</v>
      </c>
      <c r="B14" s="481">
        <v>0.177</v>
      </c>
      <c r="C14" s="467">
        <v>0</v>
      </c>
      <c r="D14" s="467">
        <v>405</v>
      </c>
      <c r="E14" s="467">
        <v>0</v>
      </c>
      <c r="F14" s="468">
        <f t="shared" si="1"/>
        <v>0</v>
      </c>
      <c r="G14" s="468">
        <f t="shared" si="0"/>
        <v>71.685</v>
      </c>
      <c r="H14" s="468">
        <f t="shared" si="0"/>
        <v>0</v>
      </c>
      <c r="I14" s="469">
        <v>0</v>
      </c>
      <c r="J14" s="469">
        <v>0</v>
      </c>
      <c r="K14" s="469">
        <v>0</v>
      </c>
      <c r="L14" s="451">
        <v>0</v>
      </c>
      <c r="M14" s="470">
        <f t="shared" si="3"/>
        <v>0</v>
      </c>
      <c r="N14" s="471">
        <f t="shared" si="4"/>
        <v>0</v>
      </c>
      <c r="O14" s="604">
        <f t="shared" si="5"/>
        <v>0</v>
      </c>
      <c r="P14" s="611">
        <f>SUMPRODUCT('Cost-Effectiveness Level'!$I$3:$K$3,M14:O14)</f>
        <v>0</v>
      </c>
      <c r="S14" s="378"/>
      <c r="T14" s="595" t="s">
        <v>485</v>
      </c>
      <c r="U14" s="409">
        <v>0</v>
      </c>
      <c r="V14" s="409">
        <v>0</v>
      </c>
      <c r="W14" s="332">
        <v>0</v>
      </c>
      <c r="X14" s="378"/>
      <c r="Z14" s="595" t="s">
        <v>487</v>
      </c>
      <c r="AA14" s="409">
        <v>0</v>
      </c>
      <c r="AB14" s="409">
        <v>0</v>
      </c>
      <c r="AC14" s="332">
        <v>0</v>
      </c>
      <c r="AD14" s="378"/>
      <c r="AE14"/>
      <c r="AF14" s="595" t="s">
        <v>485</v>
      </c>
      <c r="AG14" s="409">
        <v>0</v>
      </c>
      <c r="AH14" s="409">
        <v>0</v>
      </c>
      <c r="AI14" s="332">
        <v>0</v>
      </c>
      <c r="AJ14"/>
      <c r="AQ14" s="290">
        <v>37959.12686785819</v>
      </c>
      <c r="AR14" s="291">
        <v>43371.08116026956</v>
      </c>
      <c r="AS14" s="291">
        <v>56425.49077058307</v>
      </c>
      <c r="AT14" s="291">
        <v>64850.33694696749</v>
      </c>
      <c r="AU14" s="388">
        <v>1320</v>
      </c>
      <c r="AV14" s="389">
        <f>('Cost-Effectiveness Level'!$B$3*AQ14)+('Cost-Effectiveness Level'!$C$3*AR14)+('Cost-Effectiveness Level'!$D$3*AS14)+('Cost-Effectiveness Level'!$E$3*AT14)</f>
        <v>46626.255493700555</v>
      </c>
      <c r="AY14" s="290">
        <v>36724.05508350425</v>
      </c>
      <c r="AZ14" s="291">
        <v>42044.12540287138</v>
      </c>
      <c r="BA14" s="291">
        <v>54906.29944330502</v>
      </c>
      <c r="BB14" s="291">
        <v>63338.03105772049</v>
      </c>
      <c r="BC14" s="388">
        <v>1320</v>
      </c>
      <c r="BD14" s="389">
        <f>('Cost-Effectiveness Level'!$B$3*AY14)+('Cost-Effectiveness Level'!$C$3*AZ14)+('Cost-Effectiveness Level'!$D$3*BA14)+('Cost-Effectiveness Level'!$E$3*BB14)</f>
        <v>45260.35013184882</v>
      </c>
      <c r="BG14" s="290">
        <v>32831.936712569586</v>
      </c>
      <c r="BH14" s="291">
        <v>37712.13009082918</v>
      </c>
      <c r="BI14" s="291">
        <v>50172.7805449751</v>
      </c>
      <c r="BJ14" s="291">
        <v>58369.90917081747</v>
      </c>
      <c r="BK14" s="388">
        <v>1320</v>
      </c>
      <c r="BL14" s="389">
        <f>('Cost-Effectiveness Level'!$B$3*BG14)+('Cost-Effectiveness Level'!$C$3*BH14)+('Cost-Effectiveness Level'!$D$3*BI14)+('Cost-Effectiveness Level'!$E$3*BJ14)</f>
        <v>40884.14298271315</v>
      </c>
    </row>
    <row r="15" spans="1:64" ht="12.75">
      <c r="A15" s="322" t="s">
        <v>482</v>
      </c>
      <c r="B15" s="324">
        <v>0.073</v>
      </c>
      <c r="C15" s="328">
        <v>0</v>
      </c>
      <c r="D15" s="328">
        <v>405</v>
      </c>
      <c r="E15" s="328">
        <v>0</v>
      </c>
      <c r="F15" s="348">
        <f t="shared" si="1"/>
        <v>0</v>
      </c>
      <c r="G15" s="348">
        <f t="shared" si="0"/>
        <v>29.564999999999998</v>
      </c>
      <c r="H15" s="348">
        <f t="shared" si="0"/>
        <v>0</v>
      </c>
      <c r="I15" s="329">
        <v>0</v>
      </c>
      <c r="J15" s="329">
        <v>0</v>
      </c>
      <c r="K15" s="329">
        <v>0</v>
      </c>
      <c r="L15" s="330">
        <v>0</v>
      </c>
      <c r="M15" s="453">
        <f t="shared" si="3"/>
        <v>0</v>
      </c>
      <c r="N15" s="332">
        <f t="shared" si="4"/>
        <v>0</v>
      </c>
      <c r="O15" s="599">
        <f t="shared" si="5"/>
        <v>0</v>
      </c>
      <c r="P15" s="611">
        <f>SUMPRODUCT('Cost-Effectiveness Level'!$I$3:$K$3,M15:O15)</f>
        <v>0</v>
      </c>
      <c r="S15" s="378"/>
      <c r="T15" s="595" t="s">
        <v>486</v>
      </c>
      <c r="U15" s="409">
        <v>0</v>
      </c>
      <c r="V15" s="409">
        <v>0</v>
      </c>
      <c r="W15" s="332">
        <v>0</v>
      </c>
      <c r="X15" s="378"/>
      <c r="Z15" s="595" t="s">
        <v>566</v>
      </c>
      <c r="AA15" s="409">
        <v>0</v>
      </c>
      <c r="AB15" s="409">
        <v>91.50407074677149</v>
      </c>
      <c r="AC15" s="332">
        <v>0</v>
      </c>
      <c r="AD15" s="378"/>
      <c r="AE15"/>
      <c r="AF15" s="595" t="s">
        <v>486</v>
      </c>
      <c r="AG15" s="409">
        <v>0</v>
      </c>
      <c r="AH15" s="409">
        <v>0</v>
      </c>
      <c r="AI15" s="332">
        <v>0</v>
      </c>
      <c r="AJ15"/>
      <c r="AQ15" s="290">
        <v>37291.18077937299</v>
      </c>
      <c r="AR15" s="291">
        <v>42612.68678581893</v>
      </c>
      <c r="AS15" s="291">
        <v>55471.13975974217</v>
      </c>
      <c r="AT15" s="291">
        <v>63763.66832698506</v>
      </c>
      <c r="AU15" s="388">
        <v>1300</v>
      </c>
      <c r="AV15" s="389">
        <f>('Cost-Effectiveness Level'!$B$3*AQ15)+('Cost-Effectiveness Level'!$C$3*AR15)+('Cost-Effectiveness Level'!$D$3*AS15)+('Cost-Effectiveness Level'!$E$3*AT15)</f>
        <v>45820.54790506886</v>
      </c>
      <c r="AY15" s="290">
        <v>36059.09756812189</v>
      </c>
      <c r="AZ15" s="291">
        <v>41288.983299150306</v>
      </c>
      <c r="BA15" s="291">
        <v>53954.81980662174</v>
      </c>
      <c r="BB15" s="291">
        <v>62253.88221506007</v>
      </c>
      <c r="BC15" s="388">
        <v>1300</v>
      </c>
      <c r="BD15" s="389">
        <f>('Cost-Effectiveness Level'!$B$3*AY15)+('Cost-Effectiveness Level'!$C$3*AZ15)+('Cost-Effectiveness Level'!$D$3*BA15)+('Cost-Effectiveness Level'!$E$3*BB15)</f>
        <v>44457.71022560797</v>
      </c>
      <c r="BG15" s="290">
        <v>32185.584529739233</v>
      </c>
      <c r="BH15" s="291">
        <v>36965.719308526226</v>
      </c>
      <c r="BI15" s="291">
        <v>49237.562261939645</v>
      </c>
      <c r="BJ15" s="291">
        <v>57295.19484324641</v>
      </c>
      <c r="BK15" s="388">
        <v>1300</v>
      </c>
      <c r="BL15" s="389">
        <f>('Cost-Effectiveness Level'!$B$3*BG15)+('Cost-Effectiveness Level'!$C$3*BH15)+('Cost-Effectiveness Level'!$D$3*BI15)+('Cost-Effectiveness Level'!$E$3*BJ15)</f>
        <v>40094.1268678582</v>
      </c>
    </row>
    <row r="16" spans="1:64" ht="12.75">
      <c r="A16" s="320" t="s">
        <v>483</v>
      </c>
      <c r="B16" s="323">
        <v>0.048</v>
      </c>
      <c r="C16" s="342">
        <v>0</v>
      </c>
      <c r="D16" s="342">
        <v>405</v>
      </c>
      <c r="E16" s="342">
        <v>0</v>
      </c>
      <c r="F16" s="347">
        <f t="shared" si="1"/>
        <v>0</v>
      </c>
      <c r="G16" s="347">
        <f t="shared" si="0"/>
        <v>19.44</v>
      </c>
      <c r="H16" s="347">
        <f t="shared" si="0"/>
        <v>0</v>
      </c>
      <c r="I16" s="343">
        <f>F14-F16</f>
        <v>0</v>
      </c>
      <c r="J16" s="343">
        <f>G14-G16</f>
        <v>52.245000000000005</v>
      </c>
      <c r="K16" s="343">
        <f>H14-H16</f>
        <v>0</v>
      </c>
      <c r="L16" s="344">
        <f>'Summary Table'!H$4</f>
        <v>0.8619925838937454</v>
      </c>
      <c r="M16" s="452">
        <f t="shared" si="3"/>
        <v>0</v>
      </c>
      <c r="N16" s="345">
        <f t="shared" si="4"/>
        <v>349.1069964769669</v>
      </c>
      <c r="O16" s="606">
        <f t="shared" si="5"/>
        <v>0</v>
      </c>
      <c r="P16" s="611">
        <f>SUMPRODUCT('Cost-Effectiveness Level'!$I$3:$K$3,M16:O16)</f>
        <v>132.66065866124742</v>
      </c>
      <c r="S16" s="378"/>
      <c r="T16" s="595" t="s">
        <v>204</v>
      </c>
      <c r="U16" s="409">
        <v>0</v>
      </c>
      <c r="V16" s="409">
        <v>0</v>
      </c>
      <c r="W16" s="332">
        <v>0</v>
      </c>
      <c r="X16" s="378"/>
      <c r="Z16" s="595" t="s">
        <v>567</v>
      </c>
      <c r="AA16" s="409">
        <v>0</v>
      </c>
      <c r="AB16" s="409">
        <v>91.50407074677149</v>
      </c>
      <c r="AC16" s="332">
        <v>0</v>
      </c>
      <c r="AD16" s="378"/>
      <c r="AE16"/>
      <c r="AF16" s="595" t="s">
        <v>204</v>
      </c>
      <c r="AG16" s="409">
        <v>0</v>
      </c>
      <c r="AH16" s="409">
        <v>0</v>
      </c>
      <c r="AI16" s="332">
        <v>0</v>
      </c>
      <c r="AJ16"/>
      <c r="AQ16" s="290">
        <v>36623.52768825081</v>
      </c>
      <c r="AR16" s="291">
        <v>41854.38031057721</v>
      </c>
      <c r="AS16" s="291">
        <v>54516.84734837387</v>
      </c>
      <c r="AT16" s="291">
        <v>62677.46850278348</v>
      </c>
      <c r="AU16" s="388">
        <v>1280</v>
      </c>
      <c r="AV16" s="389">
        <f>('Cost-Effectiveness Level'!$B$3*AQ16)+('Cost-Effectiveness Level'!$C$3*AR16)+('Cost-Effectiveness Level'!$D$3*AS16)+('Cost-Effectiveness Level'!$E$3*AT16)</f>
        <v>45014.980955171406</v>
      </c>
      <c r="AY16" s="290">
        <v>35394.462349838854</v>
      </c>
      <c r="AZ16" s="291">
        <v>40534.046293583364</v>
      </c>
      <c r="BA16" s="291">
        <v>53004.04336360973</v>
      </c>
      <c r="BB16" s="291">
        <v>61170.46586580721</v>
      </c>
      <c r="BC16" s="388">
        <v>1280</v>
      </c>
      <c r="BD16" s="389">
        <f>('Cost-Effectiveness Level'!$B$3*AY16)+('Cost-Effectiveness Level'!$C$3*AZ16)+('Cost-Effectiveness Level'!$D$3*BA16)+('Cost-Effectiveness Level'!$E$3*BB16)</f>
        <v>43655.44975095225</v>
      </c>
      <c r="BG16" s="290">
        <v>31540.785232932903</v>
      </c>
      <c r="BH16" s="291">
        <v>36220.71491356578</v>
      </c>
      <c r="BI16" s="291">
        <v>48302.92997363024</v>
      </c>
      <c r="BJ16" s="291">
        <v>56221.359507764435</v>
      </c>
      <c r="BK16" s="388">
        <v>1280</v>
      </c>
      <c r="BL16" s="389">
        <f>('Cost-Effectiveness Level'!$B$3*BG16)+('Cost-Effectiveness Level'!$C$3*BH16)+('Cost-Effectiveness Level'!$D$3*BI16)+('Cost-Effectiveness Level'!$E$3*BJ16)</f>
        <v>39305.31497216525</v>
      </c>
    </row>
    <row r="17" spans="1:64" ht="12.75">
      <c r="A17" s="322" t="s">
        <v>484</v>
      </c>
      <c r="B17" s="324">
        <v>0.035</v>
      </c>
      <c r="C17" s="328">
        <v>0</v>
      </c>
      <c r="D17" s="328">
        <v>405</v>
      </c>
      <c r="E17" s="328">
        <v>0</v>
      </c>
      <c r="F17" s="348">
        <f t="shared" si="1"/>
        <v>0</v>
      </c>
      <c r="G17" s="348">
        <f t="shared" si="0"/>
        <v>14.175</v>
      </c>
      <c r="H17" s="348">
        <f t="shared" si="0"/>
        <v>0</v>
      </c>
      <c r="I17" s="329">
        <f aca="true" t="shared" si="6" ref="I17:K19">F16-F17</f>
        <v>0</v>
      </c>
      <c r="J17" s="329">
        <v>0</v>
      </c>
      <c r="K17" s="329">
        <f t="shared" si="6"/>
        <v>0</v>
      </c>
      <c r="L17" s="330">
        <v>0</v>
      </c>
      <c r="M17" s="453">
        <f t="shared" si="3"/>
        <v>0</v>
      </c>
      <c r="N17" s="332">
        <f t="shared" si="4"/>
        <v>0</v>
      </c>
      <c r="O17" s="599">
        <f t="shared" si="5"/>
        <v>0</v>
      </c>
      <c r="P17" s="611">
        <f>SUMPRODUCT('Cost-Effectiveness Level'!$I$3:$K$3,M17:O17)</f>
        <v>0</v>
      </c>
      <c r="S17" s="378"/>
      <c r="T17" s="595" t="s">
        <v>487</v>
      </c>
      <c r="U17" s="409">
        <v>0</v>
      </c>
      <c r="V17" s="409">
        <v>0</v>
      </c>
      <c r="W17" s="332">
        <v>0</v>
      </c>
      <c r="X17" s="378"/>
      <c r="Z17" s="595" t="s">
        <v>205</v>
      </c>
      <c r="AA17" s="409">
        <v>0</v>
      </c>
      <c r="AB17" s="409">
        <v>1</v>
      </c>
      <c r="AC17" s="332">
        <v>0</v>
      </c>
      <c r="AD17" s="378"/>
      <c r="AE17"/>
      <c r="AF17" s="595" t="s">
        <v>487</v>
      </c>
      <c r="AG17" s="409">
        <v>0</v>
      </c>
      <c r="AH17" s="409">
        <v>0</v>
      </c>
      <c r="AI17" s="332">
        <v>0</v>
      </c>
      <c r="AJ17"/>
      <c r="AQ17" s="290">
        <v>35956.16759449165</v>
      </c>
      <c r="AR17" s="291">
        <v>41096.2496337533</v>
      </c>
      <c r="AS17" s="291">
        <v>53562.84793436859</v>
      </c>
      <c r="AT17" s="291">
        <v>61591.67887489013</v>
      </c>
      <c r="AU17" s="388">
        <v>1260</v>
      </c>
      <c r="AV17" s="389">
        <f>('Cost-Effectiveness Level'!$B$3*AQ17)+('Cost-Effectiveness Level'!$C$3*AR17)+('Cost-Effectiveness Level'!$D$3*AS17)+('Cost-Effectiveness Level'!$E$3*AT17)</f>
        <v>44209.65426311163</v>
      </c>
      <c r="AY17" s="290">
        <v>34730.38382654556</v>
      </c>
      <c r="AZ17" s="291">
        <v>39779.07998828011</v>
      </c>
      <c r="BA17" s="291">
        <v>52054.38031057721</v>
      </c>
      <c r="BB17" s="291">
        <v>60087.43041312628</v>
      </c>
      <c r="BC17" s="388">
        <v>1260</v>
      </c>
      <c r="BD17" s="389">
        <f>('Cost-Effectiveness Level'!$B$3*AY17)+('Cost-Effectiveness Level'!$C$3*AZ17)+('Cost-Effectiveness Level'!$D$3*BA17)+('Cost-Effectiveness Level'!$E$3*BB17)</f>
        <v>42853.58335774978</v>
      </c>
      <c r="BG17" s="290">
        <v>30898.505713448583</v>
      </c>
      <c r="BH17" s="291">
        <v>35476.20861412248</v>
      </c>
      <c r="BI17" s="291">
        <v>47370.524465279814</v>
      </c>
      <c r="BJ17" s="291">
        <v>55147.34837386464</v>
      </c>
      <c r="BK17" s="388">
        <v>1260</v>
      </c>
      <c r="BL17" s="389">
        <f>('Cost-Effectiveness Level'!$B$3*BG17)+('Cost-Effectiveness Level'!$C$3*BH17)+('Cost-Effectiveness Level'!$D$3*BI17)+('Cost-Effectiveness Level'!$E$3*BJ17)</f>
        <v>38517.80398476415</v>
      </c>
    </row>
    <row r="18" spans="1:64" ht="12.75">
      <c r="A18" s="322" t="s">
        <v>485</v>
      </c>
      <c r="B18" s="324">
        <v>0.03</v>
      </c>
      <c r="C18" s="328">
        <v>0</v>
      </c>
      <c r="D18" s="328">
        <v>405</v>
      </c>
      <c r="E18" s="328">
        <v>0</v>
      </c>
      <c r="F18" s="348">
        <f t="shared" si="1"/>
        <v>0</v>
      </c>
      <c r="G18" s="348">
        <f t="shared" si="0"/>
        <v>12.15</v>
      </c>
      <c r="H18" s="348">
        <f t="shared" si="0"/>
        <v>0</v>
      </c>
      <c r="I18" s="329">
        <f>F16-F18</f>
        <v>0</v>
      </c>
      <c r="J18" s="329">
        <f>G16-G18</f>
        <v>7.290000000000001</v>
      </c>
      <c r="K18" s="329">
        <f>H16-H18</f>
        <v>0</v>
      </c>
      <c r="L18" s="330">
        <f>'Summary Table'!H$5+'Summary Table'!H$6</f>
        <v>0.33036423134516213</v>
      </c>
      <c r="M18" s="453">
        <f t="shared" si="3"/>
        <v>0</v>
      </c>
      <c r="N18" s="332">
        <f t="shared" si="4"/>
        <v>133.79751369479067</v>
      </c>
      <c r="O18" s="599">
        <f t="shared" si="5"/>
        <v>0</v>
      </c>
      <c r="P18" s="611">
        <f>SUMPRODUCT('Cost-Effectiveness Level'!$I$3:$K$3,M18:O18)</f>
        <v>50.84305520402045</v>
      </c>
      <c r="S18" s="378"/>
      <c r="T18" s="595" t="s">
        <v>566</v>
      </c>
      <c r="U18" s="409">
        <v>0</v>
      </c>
      <c r="V18" s="409">
        <v>57.727400336889396</v>
      </c>
      <c r="W18" s="332">
        <v>0</v>
      </c>
      <c r="X18" s="378"/>
      <c r="Z18" s="595" t="s">
        <v>206</v>
      </c>
      <c r="AA18" s="409">
        <v>0</v>
      </c>
      <c r="AB18" s="409">
        <v>1</v>
      </c>
      <c r="AC18" s="332">
        <v>0</v>
      </c>
      <c r="AD18" s="378"/>
      <c r="AE18"/>
      <c r="AF18" s="595" t="s">
        <v>566</v>
      </c>
      <c r="AG18" s="409">
        <v>0</v>
      </c>
      <c r="AH18" s="409">
        <v>193.44820325659742</v>
      </c>
      <c r="AI18" s="332">
        <v>0</v>
      </c>
      <c r="AJ18"/>
      <c r="AQ18" s="290">
        <v>35288.8953999414</v>
      </c>
      <c r="AR18" s="291">
        <v>40338.79285086434</v>
      </c>
      <c r="AS18" s="291">
        <v>52609.024318781136</v>
      </c>
      <c r="AT18" s="291">
        <v>60505.80134778787</v>
      </c>
      <c r="AU18" s="388">
        <v>1240</v>
      </c>
      <c r="AV18" s="389">
        <f>('Cost-Effectiveness Level'!$B$3*AQ18)+('Cost-Effectiveness Level'!$C$3*AR18)+('Cost-Effectiveness Level'!$D$3*AS18)+('Cost-Effectiveness Level'!$E$3*AT18)</f>
        <v>43404.721652505126</v>
      </c>
      <c r="AY18" s="290">
        <v>34066.451801933785</v>
      </c>
      <c r="AZ18" s="291">
        <v>39024.31878113097</v>
      </c>
      <c r="BA18" s="291">
        <v>51104.68795780838</v>
      </c>
      <c r="BB18" s="291">
        <v>59004.424260181666</v>
      </c>
      <c r="BC18" s="388">
        <v>1240</v>
      </c>
      <c r="BD18" s="389">
        <f>('Cost-Effectiveness Level'!$B$3*AY18)+('Cost-Effectiveness Level'!$C$3*AZ18)+('Cost-Effectiveness Level'!$D$3*BA18)+('Cost-Effectiveness Level'!$E$3*BB18)</f>
        <v>42051.84295341342</v>
      </c>
      <c r="BG18" s="290">
        <v>30256.841488426606</v>
      </c>
      <c r="BH18" s="291">
        <v>34734.10489305596</v>
      </c>
      <c r="BI18" s="291">
        <v>46439.14444769997</v>
      </c>
      <c r="BJ18" s="291">
        <v>54073.33723996484</v>
      </c>
      <c r="BK18" s="388">
        <v>1240</v>
      </c>
      <c r="BL18" s="389">
        <f>('Cost-Effectiveness Level'!$B$3*BG18)+('Cost-Effectiveness Level'!$C$3*BH18)+('Cost-Effectiveness Level'!$D$3*BI18)+('Cost-Effectiveness Level'!$E$3*BJ18)</f>
        <v>37731.87371813654</v>
      </c>
    </row>
    <row r="19" spans="1:64" ht="13.5" thickBot="1">
      <c r="A19" s="492" t="s">
        <v>486</v>
      </c>
      <c r="B19" s="483">
        <v>0.027</v>
      </c>
      <c r="C19" s="335">
        <v>0</v>
      </c>
      <c r="D19" s="335">
        <v>405</v>
      </c>
      <c r="E19" s="335">
        <v>0</v>
      </c>
      <c r="F19" s="349">
        <f t="shared" si="1"/>
        <v>0</v>
      </c>
      <c r="G19" s="349">
        <f t="shared" si="0"/>
        <v>10.935</v>
      </c>
      <c r="H19" s="349">
        <f t="shared" si="0"/>
        <v>0</v>
      </c>
      <c r="I19" s="336">
        <f t="shared" si="6"/>
        <v>0</v>
      </c>
      <c r="J19" s="336">
        <f t="shared" si="6"/>
        <v>1.2149999999999999</v>
      </c>
      <c r="K19" s="336">
        <f t="shared" si="6"/>
        <v>0</v>
      </c>
      <c r="L19" s="338">
        <v>0.18196839895363545</v>
      </c>
      <c r="M19" s="454">
        <f t="shared" si="3"/>
        <v>0</v>
      </c>
      <c r="N19" s="340">
        <f t="shared" si="4"/>
        <v>73.69720157622235</v>
      </c>
      <c r="O19" s="607">
        <f t="shared" si="5"/>
        <v>0</v>
      </c>
      <c r="P19" s="611">
        <f>SUMPRODUCT('Cost-Effectiveness Level'!$I$3:$K$3,M19:O19)</f>
        <v>28.004936598964495</v>
      </c>
      <c r="S19" s="378"/>
      <c r="T19" s="595" t="s">
        <v>567</v>
      </c>
      <c r="U19" s="409">
        <v>0</v>
      </c>
      <c r="V19" s="409">
        <v>57.727400336889396</v>
      </c>
      <c r="W19" s="332">
        <v>0</v>
      </c>
      <c r="X19" s="378"/>
      <c r="Z19" s="595" t="s">
        <v>184</v>
      </c>
      <c r="AA19" s="409">
        <v>0</v>
      </c>
      <c r="AB19" s="409">
        <v>0</v>
      </c>
      <c r="AC19" s="332">
        <v>0</v>
      </c>
      <c r="AD19" s="378"/>
      <c r="AE19"/>
      <c r="AF19" s="595" t="s">
        <v>567</v>
      </c>
      <c r="AG19" s="409">
        <v>0</v>
      </c>
      <c r="AH19" s="409">
        <v>193.44820325659742</v>
      </c>
      <c r="AI19" s="332">
        <v>0</v>
      </c>
      <c r="AJ19"/>
      <c r="AQ19" s="290">
        <v>34621.62320539115</v>
      </c>
      <c r="AR19" s="291">
        <v>39581.5411661295</v>
      </c>
      <c r="AS19" s="291">
        <v>51655.25930266628</v>
      </c>
      <c r="AT19" s="291">
        <v>59420.04101963083</v>
      </c>
      <c r="AU19" s="388">
        <v>1220</v>
      </c>
      <c r="AV19" s="389">
        <f>('Cost-Effectiveness Level'!$B$3*AQ19)+('Cost-Effectiveness Level'!$C$3*AR19)+('Cost-Effectiveness Level'!$D$3*AS19)+('Cost-Effectiveness Level'!$E$3*AT19)</f>
        <v>42599.912100791094</v>
      </c>
      <c r="AY19" s="290">
        <v>33402.98857310284</v>
      </c>
      <c r="AZ19" s="291">
        <v>38269.99707002637</v>
      </c>
      <c r="BA19" s="291">
        <v>50155.28860240258</v>
      </c>
      <c r="BB19" s="291">
        <v>57921.97480222679</v>
      </c>
      <c r="BC19" s="388">
        <v>1220</v>
      </c>
      <c r="BD19" s="389">
        <f>('Cost-Effectiveness Level'!$B$3*AY19)+('Cost-Effectiveness Level'!$C$3*AZ19)+('Cost-Effectiveness Level'!$D$3*BA19)+('Cost-Effectiveness Level'!$E$3*BB19)</f>
        <v>41250.517140345735</v>
      </c>
      <c r="BG19" s="290">
        <v>29616.17345443891</v>
      </c>
      <c r="BH19" s="291">
        <v>33993.58335774978</v>
      </c>
      <c r="BI19" s="291">
        <v>45507.38353354821</v>
      </c>
      <c r="BJ19" s="291">
        <v>53001.67008496924</v>
      </c>
      <c r="BK19" s="388">
        <v>1220</v>
      </c>
      <c r="BL19" s="389">
        <f>('Cost-Effectiveness Level'!$B$3*BG19)+('Cost-Effectiveness Level'!$C$3*BH19)+('Cost-Effectiveness Level'!$D$3*BI19)+('Cost-Effectiveness Level'!$E$3*BJ19)</f>
        <v>36946.95575739819</v>
      </c>
    </row>
    <row r="20" spans="1:64" ht="12.75">
      <c r="A20" s="493" t="s">
        <v>204</v>
      </c>
      <c r="B20" s="481">
        <v>0.10596804511278195</v>
      </c>
      <c r="C20" s="467">
        <v>850</v>
      </c>
      <c r="D20" s="467">
        <v>1350</v>
      </c>
      <c r="E20" s="467">
        <v>728</v>
      </c>
      <c r="F20" s="468">
        <f t="shared" si="1"/>
        <v>90.07283834586465</v>
      </c>
      <c r="G20" s="468">
        <f t="shared" si="0"/>
        <v>143.05686090225564</v>
      </c>
      <c r="H20" s="468">
        <f t="shared" si="0"/>
        <v>77.14473684210526</v>
      </c>
      <c r="I20" s="469">
        <v>0</v>
      </c>
      <c r="J20" s="469">
        <v>0</v>
      </c>
      <c r="K20" s="469">
        <v>0</v>
      </c>
      <c r="L20" s="451">
        <v>0</v>
      </c>
      <c r="M20" s="470">
        <f t="shared" si="3"/>
        <v>0</v>
      </c>
      <c r="N20" s="471">
        <f t="shared" si="4"/>
        <v>0</v>
      </c>
      <c r="O20" s="604">
        <f t="shared" si="5"/>
        <v>0</v>
      </c>
      <c r="P20" s="611">
        <f>SUMPRODUCT('Cost-Effectiveness Level'!$I$3:$K$3,M20:O20)</f>
        <v>0</v>
      </c>
      <c r="S20" s="378"/>
      <c r="T20" s="595" t="s">
        <v>205</v>
      </c>
      <c r="U20" s="409">
        <v>0</v>
      </c>
      <c r="V20" s="409">
        <v>0</v>
      </c>
      <c r="W20" s="332">
        <v>0</v>
      </c>
      <c r="X20" s="378"/>
      <c r="Z20" s="595" t="s">
        <v>185</v>
      </c>
      <c r="AA20" s="409">
        <v>0</v>
      </c>
      <c r="AB20" s="409">
        <v>0</v>
      </c>
      <c r="AC20" s="332">
        <v>0</v>
      </c>
      <c r="AD20" s="378"/>
      <c r="AE20"/>
      <c r="AF20" s="595" t="s">
        <v>205</v>
      </c>
      <c r="AG20" s="409">
        <v>0</v>
      </c>
      <c r="AH20" s="409">
        <v>2</v>
      </c>
      <c r="AI20" s="332">
        <v>0</v>
      </c>
      <c r="AJ20"/>
      <c r="AQ20" s="290">
        <v>33954.52680925872</v>
      </c>
      <c r="AR20" s="291">
        <v>38824.14298271316</v>
      </c>
      <c r="AS20" s="291">
        <v>50701.55288602403</v>
      </c>
      <c r="AT20" s="291">
        <v>58334.573688836805</v>
      </c>
      <c r="AU20" s="388">
        <v>1200</v>
      </c>
      <c r="AV20" s="389">
        <f>('Cost-Effectiveness Level'!$B$3*AQ20)+('Cost-Effectiveness Level'!$C$3*AR20)+('Cost-Effectiveness Level'!$D$3*AS20)+('Cost-Effectiveness Level'!$E$3*AT20)</f>
        <v>41795.093759156174</v>
      </c>
      <c r="AY20" s="290">
        <v>32739.96484031644</v>
      </c>
      <c r="AZ20" s="291">
        <v>37515.558159976565</v>
      </c>
      <c r="BA20" s="291">
        <v>49205.85994726048</v>
      </c>
      <c r="BB20" s="291">
        <v>56839.496044535605</v>
      </c>
      <c r="BC20" s="388">
        <v>1200</v>
      </c>
      <c r="BD20" s="389">
        <f>('Cost-Effectiveness Level'!$B$3*AY20)+('Cost-Effectiveness Level'!$C$3*AZ20)+('Cost-Effectiveness Level'!$D$3*BA20)+('Cost-Effectiveness Level'!$E$3*BB20)</f>
        <v>40449.21183709347</v>
      </c>
      <c r="BG20" s="290">
        <v>28976.062115440964</v>
      </c>
      <c r="BH20" s="291">
        <v>33253.618517433344</v>
      </c>
      <c r="BI20" s="291">
        <v>44576.91180779373</v>
      </c>
      <c r="BJ20" s="291">
        <v>51931.14561968943</v>
      </c>
      <c r="BK20" s="388">
        <v>1200</v>
      </c>
      <c r="BL20" s="389">
        <f>('Cost-Effectiveness Level'!$B$3*BG20)+('Cost-Effectiveness Level'!$C$3*BH20)+('Cost-Effectiveness Level'!$D$3*BI20)+('Cost-Effectiveness Level'!$E$3*BJ20)</f>
        <v>36162.80691473777</v>
      </c>
    </row>
    <row r="21" spans="1:64" ht="12.75">
      <c r="A21" s="321" t="s">
        <v>173</v>
      </c>
      <c r="B21" s="324">
        <v>0.055</v>
      </c>
      <c r="C21" s="328">
        <v>850</v>
      </c>
      <c r="D21" s="328">
        <v>1350</v>
      </c>
      <c r="E21" s="328">
        <v>728</v>
      </c>
      <c r="F21" s="348">
        <f t="shared" si="1"/>
        <v>46.75</v>
      </c>
      <c r="G21" s="348">
        <f t="shared" si="0"/>
        <v>74.25</v>
      </c>
      <c r="H21" s="348">
        <f t="shared" si="0"/>
        <v>40.04</v>
      </c>
      <c r="I21" s="329">
        <f aca="true" t="shared" si="7" ref="I21:K24">F20-F21</f>
        <v>43.32283834586465</v>
      </c>
      <c r="J21" s="329">
        <f t="shared" si="7"/>
        <v>68.80686090225564</v>
      </c>
      <c r="K21" s="329">
        <f t="shared" si="7"/>
        <v>37.10473684210526</v>
      </c>
      <c r="L21" s="330">
        <v>0.6</v>
      </c>
      <c r="M21" s="453">
        <f t="shared" si="3"/>
        <v>510</v>
      </c>
      <c r="N21" s="332">
        <f t="shared" si="4"/>
        <v>810</v>
      </c>
      <c r="O21" s="599">
        <f t="shared" si="5"/>
        <v>436.8</v>
      </c>
      <c r="P21" s="611">
        <f>SUMPRODUCT('Cost-Effectiveness Level'!$I$3:$K$3,M21:O21)</f>
        <v>593.256</v>
      </c>
      <c r="S21" s="378"/>
      <c r="T21" s="595" t="s">
        <v>206</v>
      </c>
      <c r="U21" s="409">
        <v>0</v>
      </c>
      <c r="V21" s="409">
        <v>0</v>
      </c>
      <c r="W21" s="332">
        <v>0</v>
      </c>
      <c r="X21" s="378"/>
      <c r="Z21" s="595" t="s">
        <v>491</v>
      </c>
      <c r="AA21" s="409">
        <v>0</v>
      </c>
      <c r="AB21" s="409">
        <v>0</v>
      </c>
      <c r="AC21" s="332">
        <v>0</v>
      </c>
      <c r="AD21" s="378"/>
      <c r="AE21"/>
      <c r="AF21" s="595" t="s">
        <v>206</v>
      </c>
      <c r="AG21" s="409">
        <v>0</v>
      </c>
      <c r="AH21" s="409">
        <v>2</v>
      </c>
      <c r="AI21" s="332">
        <v>0</v>
      </c>
      <c r="AJ21"/>
      <c r="AQ21" s="290">
        <v>33287.84060943451</v>
      </c>
      <c r="AR21" s="291">
        <v>38066.803398769414</v>
      </c>
      <c r="AS21" s="291">
        <v>49747.817169645474</v>
      </c>
      <c r="AT21" s="291">
        <v>57249.39935540581</v>
      </c>
      <c r="AU21" s="388">
        <v>1180</v>
      </c>
      <c r="AV21" s="389">
        <f>('Cost-Effectiveness Level'!$B$3*AQ21)+('Cost-Effectiveness Level'!$C$3*AR21)+('Cost-Effectiveness Level'!$D$3*AS21)+('Cost-Effectiveness Level'!$E$3*AT21)</f>
        <v>40990.39408145327</v>
      </c>
      <c r="AY21" s="290">
        <v>32077.468502783475</v>
      </c>
      <c r="AZ21" s="291">
        <v>36761.002050981544</v>
      </c>
      <c r="BA21" s="291">
        <v>48256.548491063586</v>
      </c>
      <c r="BB21" s="291">
        <v>55757.01728684443</v>
      </c>
      <c r="BC21" s="388">
        <v>1180</v>
      </c>
      <c r="BD21" s="389">
        <f>('Cost-Effectiveness Level'!$B$3*AY21)+('Cost-Effectiveness Level'!$C$3*AZ21)+('Cost-Effectiveness Level'!$D$3*BA21)+('Cost-Effectiveness Level'!$E$3*BB21)</f>
        <v>39647.98271315559</v>
      </c>
      <c r="BG21" s="290">
        <v>28336.771169059477</v>
      </c>
      <c r="BH21" s="291">
        <v>32514.913565777908</v>
      </c>
      <c r="BI21" s="291">
        <v>43647.55347201876</v>
      </c>
      <c r="BJ21" s="291">
        <v>50861.58804570759</v>
      </c>
      <c r="BK21" s="388">
        <v>1180</v>
      </c>
      <c r="BL21" s="389">
        <f>('Cost-Effectiveness Level'!$B$3*BG21)+('Cost-Effectiveness Level'!$C$3*BH21)+('Cost-Effectiveness Level'!$D$3*BI21)+('Cost-Effectiveness Level'!$E$3*BJ21)</f>
        <v>35379.77878699092</v>
      </c>
    </row>
    <row r="22" spans="1:64" ht="12.75">
      <c r="A22" s="320" t="s">
        <v>174</v>
      </c>
      <c r="B22" s="323">
        <v>0.041</v>
      </c>
      <c r="C22" s="342">
        <v>850</v>
      </c>
      <c r="D22" s="342">
        <v>1350</v>
      </c>
      <c r="E22" s="342">
        <v>728</v>
      </c>
      <c r="F22" s="347">
        <f t="shared" si="1"/>
        <v>34.85</v>
      </c>
      <c r="G22" s="347">
        <f aca="true" t="shared" si="8" ref="G22:G36">$B22*D22</f>
        <v>55.35</v>
      </c>
      <c r="H22" s="347">
        <f aca="true" t="shared" si="9" ref="H22:H36">$B22*E22</f>
        <v>29.848000000000003</v>
      </c>
      <c r="I22" s="343">
        <f t="shared" si="7"/>
        <v>11.899999999999999</v>
      </c>
      <c r="J22" s="343">
        <f t="shared" si="7"/>
        <v>18.9</v>
      </c>
      <c r="K22" s="343">
        <f t="shared" si="7"/>
        <v>10.191999999999997</v>
      </c>
      <c r="L22" s="344">
        <f>'Summary Table'!H8-L21</f>
        <v>0.19862486244447952</v>
      </c>
      <c r="M22" s="452">
        <f t="shared" si="3"/>
        <v>168.8311330778076</v>
      </c>
      <c r="N22" s="345">
        <f t="shared" si="4"/>
        <v>268.14356430004733</v>
      </c>
      <c r="O22" s="606">
        <f t="shared" si="5"/>
        <v>144.59889985958108</v>
      </c>
      <c r="P22" s="611">
        <f>SUMPRODUCT('Cost-Effectiveness Level'!$I$3:$K$3,M22:O22)</f>
        <v>196.39231899060354</v>
      </c>
      <c r="S22" s="378"/>
      <c r="T22" s="595" t="s">
        <v>184</v>
      </c>
      <c r="U22" s="409">
        <v>0</v>
      </c>
      <c r="V22" s="409">
        <v>0</v>
      </c>
      <c r="W22" s="332">
        <v>0</v>
      </c>
      <c r="X22" s="378"/>
      <c r="Z22" s="595">
        <v>0</v>
      </c>
      <c r="AA22" s="409">
        <v>0</v>
      </c>
      <c r="AB22" s="409">
        <v>0</v>
      </c>
      <c r="AC22" s="332">
        <v>0</v>
      </c>
      <c r="AD22" s="378"/>
      <c r="AE22"/>
      <c r="AF22" s="595" t="s">
        <v>491</v>
      </c>
      <c r="AG22" s="409">
        <v>0</v>
      </c>
      <c r="AH22" s="409">
        <v>0</v>
      </c>
      <c r="AI22" s="332">
        <v>0</v>
      </c>
      <c r="AJ22"/>
      <c r="AQ22" s="290">
        <v>32621.388807500734</v>
      </c>
      <c r="AR22" s="291">
        <v>37309.8447113976</v>
      </c>
      <c r="AS22" s="291">
        <v>48794.257251684736</v>
      </c>
      <c r="AT22" s="291">
        <v>56164.342220920014</v>
      </c>
      <c r="AU22" s="388">
        <v>1160</v>
      </c>
      <c r="AV22" s="389">
        <f>('Cost-Effectiveness Level'!$B$3*AQ22)+('Cost-Effectiveness Level'!$C$3*AR22)+('Cost-Effectiveness Level'!$D$3*AS22)+('Cost-Effectiveness Level'!$E$3*AT22)</f>
        <v>40185.98154116613</v>
      </c>
      <c r="AY22" s="290">
        <v>31415.29446234984</v>
      </c>
      <c r="AZ22" s="291">
        <v>36006.44594198652</v>
      </c>
      <c r="BA22" s="291">
        <v>47307.20773513039</v>
      </c>
      <c r="BB22" s="291">
        <v>54674.65572809845</v>
      </c>
      <c r="BC22" s="388">
        <v>1160</v>
      </c>
      <c r="BD22" s="389">
        <f>('Cost-Effectiveness Level'!$B$3*AY22)+('Cost-Effectiveness Level'!$C$3*AZ22)+('Cost-Effectiveness Level'!$D$3*BA22)+('Cost-Effectiveness Level'!$E$3*BB22)</f>
        <v>38846.81658365075</v>
      </c>
      <c r="BG22" s="290">
        <v>27698.7694110753</v>
      </c>
      <c r="BH22" s="291">
        <v>31777.38060357457</v>
      </c>
      <c r="BI22" s="291">
        <v>42719.220627014365</v>
      </c>
      <c r="BJ22" s="291">
        <v>49791.88397304425</v>
      </c>
      <c r="BK22" s="388">
        <v>1160</v>
      </c>
      <c r="BL22" s="389">
        <f>('Cost-Effectiveness Level'!$B$3*BG22)+('Cost-Effectiveness Level'!$C$3*BH22)+('Cost-Effectiveness Level'!$D$3*BI22)+('Cost-Effectiveness Level'!$E$3*BJ22)</f>
        <v>34597.843539408146</v>
      </c>
    </row>
    <row r="23" spans="1:64" ht="12.75">
      <c r="A23" s="321" t="s">
        <v>176</v>
      </c>
      <c r="B23" s="324">
        <v>0.029</v>
      </c>
      <c r="C23" s="328">
        <v>850</v>
      </c>
      <c r="D23" s="328">
        <v>1350</v>
      </c>
      <c r="E23" s="328">
        <v>728</v>
      </c>
      <c r="F23" s="348">
        <f t="shared" si="1"/>
        <v>24.650000000000002</v>
      </c>
      <c r="G23" s="348">
        <f t="shared" si="8"/>
        <v>39.15</v>
      </c>
      <c r="H23" s="348">
        <f t="shared" si="9"/>
        <v>21.112000000000002</v>
      </c>
      <c r="I23" s="329">
        <f t="shared" si="7"/>
        <v>10.2</v>
      </c>
      <c r="J23" s="329">
        <f t="shared" si="7"/>
        <v>16.200000000000003</v>
      </c>
      <c r="K23" s="329">
        <f t="shared" si="7"/>
        <v>8.736</v>
      </c>
      <c r="L23" s="330">
        <v>0.25</v>
      </c>
      <c r="M23" s="453">
        <f t="shared" si="3"/>
        <v>212.5</v>
      </c>
      <c r="N23" s="332">
        <f t="shared" si="4"/>
        <v>337.5</v>
      </c>
      <c r="O23" s="599">
        <f t="shared" si="5"/>
        <v>182</v>
      </c>
      <c r="P23" s="611">
        <f>SUMPRODUCT('Cost-Effectiveness Level'!$I$3:$K$3,M23:O23)</f>
        <v>247.19</v>
      </c>
      <c r="S23" s="378"/>
      <c r="T23" s="595" t="s">
        <v>185</v>
      </c>
      <c r="U23" s="409">
        <v>0</v>
      </c>
      <c r="V23" s="409">
        <v>0</v>
      </c>
      <c r="W23" s="332">
        <v>0</v>
      </c>
      <c r="X23" s="378"/>
      <c r="Z23" s="595" t="s">
        <v>483</v>
      </c>
      <c r="AA23" s="409">
        <v>6.6821130534398865</v>
      </c>
      <c r="AB23" s="409">
        <v>52.245</v>
      </c>
      <c r="AC23" s="332">
        <v>349.1069964769669</v>
      </c>
      <c r="AD23" s="378"/>
      <c r="AE23"/>
      <c r="AF23" s="595">
        <v>0</v>
      </c>
      <c r="AG23" s="409">
        <v>0</v>
      </c>
      <c r="AH23" s="409">
        <v>0</v>
      </c>
      <c r="AI23" s="332">
        <v>0</v>
      </c>
      <c r="AJ23"/>
      <c r="AQ23" s="290">
        <v>31954.995605039556</v>
      </c>
      <c r="AR23" s="291">
        <v>36553.061822443604</v>
      </c>
      <c r="AS23" s="291">
        <v>47840.580134778786</v>
      </c>
      <c r="AT23" s="291">
        <v>55079.57808379725</v>
      </c>
      <c r="AU23" s="388">
        <v>1140</v>
      </c>
      <c r="AV23" s="389">
        <f>('Cost-Effectiveness Level'!$B$3*AQ23)+('Cost-Effectiveness Level'!$C$3*AR23)+('Cost-Effectiveness Level'!$D$3*AS23)+('Cost-Effectiveness Level'!$E$3*AT23)</f>
        <v>39381.65397011427</v>
      </c>
      <c r="AY23" s="290">
        <v>30753.735716378553</v>
      </c>
      <c r="AZ23" s="291">
        <v>35252.41722824495</v>
      </c>
      <c r="BA23" s="291">
        <v>46357.72048051568</v>
      </c>
      <c r="BB23" s="291">
        <v>53592.645766188114</v>
      </c>
      <c r="BC23" s="388">
        <v>1140</v>
      </c>
      <c r="BD23" s="389">
        <f>('Cost-Effectiveness Level'!$B$3*AY23)+('Cost-Effectiveness Level'!$C$3*AZ23)+('Cost-Effectiveness Level'!$D$3*BA23)+('Cost-Effectiveness Level'!$E$3*BB23)</f>
        <v>38046.01816583651</v>
      </c>
      <c r="BG23" s="290">
        <v>27061.7052446528</v>
      </c>
      <c r="BH23" s="291">
        <v>31041.136829768533</v>
      </c>
      <c r="BI23" s="291">
        <v>41791.00498095518</v>
      </c>
      <c r="BJ23" s="291">
        <v>48722.12130090829</v>
      </c>
      <c r="BK23" s="388">
        <v>1140</v>
      </c>
      <c r="BL23" s="389">
        <f>('Cost-Effectiveness Level'!$B$3*BG23)+('Cost-Effectiveness Level'!$C$3*BH23)+('Cost-Effectiveness Level'!$D$3*BI23)+('Cost-Effectiveness Level'!$E$3*BJ23)</f>
        <v>33816.76677409904</v>
      </c>
    </row>
    <row r="24" spans="1:64" ht="13.5" thickBot="1">
      <c r="A24" s="602" t="s">
        <v>179</v>
      </c>
      <c r="B24" s="615">
        <v>0.025</v>
      </c>
      <c r="C24" s="498">
        <v>850</v>
      </c>
      <c r="D24" s="498">
        <v>1350</v>
      </c>
      <c r="E24" s="498">
        <v>728</v>
      </c>
      <c r="F24" s="499">
        <f t="shared" si="1"/>
        <v>21.25</v>
      </c>
      <c r="G24" s="499">
        <f t="shared" si="8"/>
        <v>33.75</v>
      </c>
      <c r="H24" s="499">
        <f t="shared" si="9"/>
        <v>18.2</v>
      </c>
      <c r="I24" s="418">
        <f t="shared" si="7"/>
        <v>3.400000000000002</v>
      </c>
      <c r="J24" s="418">
        <f t="shared" si="7"/>
        <v>5.399999999999999</v>
      </c>
      <c r="K24" s="418">
        <f t="shared" si="7"/>
        <v>2.9120000000000026</v>
      </c>
      <c r="L24" s="500">
        <v>0.13</v>
      </c>
      <c r="M24" s="501">
        <f>C24*$L24</f>
        <v>110.5</v>
      </c>
      <c r="N24" s="502">
        <f>D24*$L24</f>
        <v>175.5</v>
      </c>
      <c r="O24" s="608">
        <f>E24*$L24</f>
        <v>94.64</v>
      </c>
      <c r="P24" s="611">
        <f>SUMPRODUCT('Cost-Effectiveness Level'!$I$3:$K$3,M24:O24)</f>
        <v>128.53879999999998</v>
      </c>
      <c r="S24" s="378"/>
      <c r="T24" s="595" t="s">
        <v>491</v>
      </c>
      <c r="U24" s="409">
        <v>0</v>
      </c>
      <c r="V24" s="409">
        <v>0</v>
      </c>
      <c r="W24" s="332">
        <v>0</v>
      </c>
      <c r="X24" s="378"/>
      <c r="Z24" s="595" t="s">
        <v>172</v>
      </c>
      <c r="AA24" s="409">
        <v>8.368860037803353</v>
      </c>
      <c r="AB24" s="409">
        <v>97.335</v>
      </c>
      <c r="AC24" s="332">
        <v>814.5829917795894</v>
      </c>
      <c r="AD24" s="378"/>
      <c r="AE24"/>
      <c r="AF24" s="595" t="s">
        <v>184</v>
      </c>
      <c r="AG24" s="409">
        <v>1.7303385055878824</v>
      </c>
      <c r="AH24" s="409">
        <v>173.23199999999997</v>
      </c>
      <c r="AI24" s="332">
        <v>299.75</v>
      </c>
      <c r="AJ24"/>
      <c r="AQ24" s="290">
        <v>31288.690301787286</v>
      </c>
      <c r="AR24" s="291">
        <v>35796.220334016994</v>
      </c>
      <c r="AS24" s="291">
        <v>46886.90301787284</v>
      </c>
      <c r="AT24" s="291">
        <v>53995.0190448286</v>
      </c>
      <c r="AU24" s="388">
        <v>1120</v>
      </c>
      <c r="AV24" s="389">
        <f>('Cost-Effectiveness Level'!$B$3*AQ24)+('Cost-Effectiveness Level'!$C$3*AR24)+('Cost-Effectiveness Level'!$D$3*AS24)+('Cost-Effectiveness Level'!$E$3*AT24)</f>
        <v>38577.3249340756</v>
      </c>
      <c r="AY24" s="290">
        <v>30092.616466451804</v>
      </c>
      <c r="AZ24" s="291">
        <v>34498.828010547906</v>
      </c>
      <c r="BA24" s="291">
        <v>45408.20392616467</v>
      </c>
      <c r="BB24" s="291">
        <v>52511.63199531205</v>
      </c>
      <c r="BC24" s="388">
        <v>1120</v>
      </c>
      <c r="BD24" s="389">
        <f>('Cost-Effectiveness Level'!$B$3*AY24)+('Cost-Effectiveness Level'!$C$3*AZ24)+('Cost-Effectiveness Level'!$D$3*BA24)+('Cost-Effectiveness Level'!$E$3*BB24)</f>
        <v>37245.56987987108</v>
      </c>
      <c r="BG24" s="290">
        <v>26424.875476120716</v>
      </c>
      <c r="BH24" s="291">
        <v>30306.68033987694</v>
      </c>
      <c r="BI24" s="291">
        <v>40862.61353647817</v>
      </c>
      <c r="BJ24" s="291">
        <v>47653.17902138881</v>
      </c>
      <c r="BK24" s="388">
        <v>1120</v>
      </c>
      <c r="BL24" s="389">
        <f>('Cost-Effectiveness Level'!$B$3*BG24)+('Cost-Effectiveness Level'!$C$3*BH24)+('Cost-Effectiveness Level'!$D$3*BI24)+('Cost-Effectiveness Level'!$E$3*BJ24)</f>
        <v>33036.627600351596</v>
      </c>
    </row>
    <row r="25" spans="1:64" ht="12.75">
      <c r="A25" s="493" t="s">
        <v>487</v>
      </c>
      <c r="B25" s="637">
        <f>1/((1/1.2)+0.08)</f>
        <v>1.094890510948905</v>
      </c>
      <c r="C25" s="467">
        <v>94</v>
      </c>
      <c r="D25" s="467">
        <v>149</v>
      </c>
      <c r="E25" s="467">
        <v>315</v>
      </c>
      <c r="F25" s="468">
        <f t="shared" si="1"/>
        <v>102.91970802919708</v>
      </c>
      <c r="G25" s="468">
        <f t="shared" si="8"/>
        <v>163.13868613138686</v>
      </c>
      <c r="H25" s="468">
        <f t="shared" si="9"/>
        <v>344.8905109489051</v>
      </c>
      <c r="I25" s="469">
        <v>0</v>
      </c>
      <c r="J25" s="469">
        <v>0</v>
      </c>
      <c r="K25" s="469">
        <v>0</v>
      </c>
      <c r="L25" s="451">
        <v>0</v>
      </c>
      <c r="M25" s="470">
        <f t="shared" si="3"/>
        <v>0</v>
      </c>
      <c r="N25" s="471">
        <f t="shared" si="4"/>
        <v>0</v>
      </c>
      <c r="O25" s="472">
        <f t="shared" si="5"/>
        <v>0</v>
      </c>
      <c r="P25" s="611">
        <f>SUMPRODUCT('Cost-Effectiveness Level'!$I$3:$K$3,M25:O25)</f>
        <v>0</v>
      </c>
      <c r="S25" s="378"/>
      <c r="T25" s="595">
        <v>0</v>
      </c>
      <c r="U25" s="409">
        <v>0</v>
      </c>
      <c r="V25" s="409">
        <v>0</v>
      </c>
      <c r="W25" s="332">
        <v>0</v>
      </c>
      <c r="X25" s="378"/>
      <c r="Z25" s="595" t="s">
        <v>173</v>
      </c>
      <c r="AA25" s="409">
        <v>11.772081873501753</v>
      </c>
      <c r="AB25" s="409">
        <v>68.80686090225564</v>
      </c>
      <c r="AC25" s="332">
        <v>810</v>
      </c>
      <c r="AD25" s="378"/>
      <c r="AE25"/>
      <c r="AF25" s="595" t="s">
        <v>172</v>
      </c>
      <c r="AG25" s="409">
        <v>8.368860037803353</v>
      </c>
      <c r="AH25" s="409">
        <v>74.98400000000001</v>
      </c>
      <c r="AI25" s="332">
        <v>627.5306010746467</v>
      </c>
      <c r="AJ25"/>
      <c r="AQ25" s="290">
        <v>30622.502197480226</v>
      </c>
      <c r="AR25" s="291">
        <v>35039.496044535605</v>
      </c>
      <c r="AS25" s="291">
        <v>45933.46029885731</v>
      </c>
      <c r="AT25" s="291">
        <v>52910.84090243188</v>
      </c>
      <c r="AU25" s="388">
        <v>1100</v>
      </c>
      <c r="AV25" s="389">
        <f>('Cost-Effectiveness Level'!$B$3*AQ25)+('Cost-Effectiveness Level'!$C$3*AR25)+('Cost-Effectiveness Level'!$D$3*AS25)+('Cost-Effectiveness Level'!$E$3*AT25)</f>
        <v>37773.15558159977</v>
      </c>
      <c r="AY25" s="290">
        <v>29431.966012305893</v>
      </c>
      <c r="AZ25" s="291">
        <v>33745.76618810431</v>
      </c>
      <c r="BA25" s="291">
        <v>44458.540873132144</v>
      </c>
      <c r="BB25" s="291">
        <v>51431.93671256959</v>
      </c>
      <c r="BC25" s="388">
        <v>1100</v>
      </c>
      <c r="BD25" s="389">
        <f>('Cost-Effectiveness Level'!$B$3*AY25)+('Cost-Effectiveness Level'!$C$3*AZ25)+('Cost-Effectiveness Level'!$D$3*BA25)+('Cost-Effectiveness Level'!$E$3*BB25)</f>
        <v>36445.50835042485</v>
      </c>
      <c r="BG25" s="290">
        <v>25788.162906533842</v>
      </c>
      <c r="BH25" s="291">
        <v>29572.370348666864</v>
      </c>
      <c r="BI25" s="291">
        <v>39935.01318488134</v>
      </c>
      <c r="BJ25" s="291">
        <v>46585.848227365954</v>
      </c>
      <c r="BK25" s="388">
        <v>1100</v>
      </c>
      <c r="BL25" s="389">
        <f>('Cost-Effectiveness Level'!$B$3*BG25)+('Cost-Effectiveness Level'!$C$3*BH25)+('Cost-Effectiveness Level'!$D$3*BI25)+('Cost-Effectiveness Level'!$E$3*BJ25)</f>
        <v>32256.86346322883</v>
      </c>
    </row>
    <row r="26" spans="1:64" ht="12.75">
      <c r="A26" s="320" t="str">
        <f>"BASE CASE WINDOW - CLASS "&amp;(ROUND((1/((1/B26)-0.08)*100),0))</f>
        <v>BASE CASE WINDOW - CLASS 54</v>
      </c>
      <c r="B26" s="485">
        <f>1/((1/0.535)+0.08)</f>
        <v>0.513041810510165</v>
      </c>
      <c r="C26" s="342">
        <v>94</v>
      </c>
      <c r="D26" s="342">
        <v>149</v>
      </c>
      <c r="E26" s="342">
        <v>315</v>
      </c>
      <c r="F26" s="347">
        <f t="shared" si="1"/>
        <v>48.225930187955505</v>
      </c>
      <c r="G26" s="347">
        <f t="shared" si="8"/>
        <v>76.44322976601458</v>
      </c>
      <c r="H26" s="347">
        <f t="shared" si="9"/>
        <v>161.60817031070195</v>
      </c>
      <c r="I26" s="343">
        <f>F25-F26</f>
        <v>54.69377784124158</v>
      </c>
      <c r="J26" s="343">
        <f>G25-G26</f>
        <v>86.69545636537228</v>
      </c>
      <c r="K26" s="343">
        <f>H25-H26</f>
        <v>183.28234063820315</v>
      </c>
      <c r="L26" s="344">
        <v>0</v>
      </c>
      <c r="M26" s="452">
        <f t="shared" si="3"/>
        <v>0</v>
      </c>
      <c r="N26" s="345">
        <f t="shared" si="4"/>
        <v>0</v>
      </c>
      <c r="O26" s="346">
        <f t="shared" si="5"/>
        <v>0</v>
      </c>
      <c r="P26" s="611">
        <f>SUMPRODUCT('Cost-Effectiveness Level'!$I$3:$K$3,M26:O26)</f>
        <v>0</v>
      </c>
      <c r="S26" s="378"/>
      <c r="T26" s="595" t="s">
        <v>172</v>
      </c>
      <c r="U26" s="409">
        <v>8.368860037803353</v>
      </c>
      <c r="V26" s="409">
        <v>87.55</v>
      </c>
      <c r="W26" s="332">
        <v>732.6936963096837</v>
      </c>
      <c r="X26" s="378"/>
      <c r="Z26" s="595" t="s">
        <v>171</v>
      </c>
      <c r="AA26" s="409">
        <v>13.37636849019789</v>
      </c>
      <c r="AB26" s="409">
        <v>61.03571472629143</v>
      </c>
      <c r="AC26" s="332">
        <v>816.436211241472</v>
      </c>
      <c r="AD26" s="378"/>
      <c r="AE26"/>
      <c r="AF26" s="595" t="s">
        <v>173</v>
      </c>
      <c r="AG26" s="409">
        <v>11.772081873501753</v>
      </c>
      <c r="AH26" s="409">
        <v>37.10473684210526</v>
      </c>
      <c r="AI26" s="332">
        <v>436.8</v>
      </c>
      <c r="AJ26"/>
      <c r="AQ26" s="290">
        <v>29956.782888954</v>
      </c>
      <c r="AR26" s="291">
        <v>34283.006152944625</v>
      </c>
      <c r="AS26" s="291">
        <v>44980.42777615002</v>
      </c>
      <c r="AT26" s="291">
        <v>51826.838558452975</v>
      </c>
      <c r="AU26" s="388">
        <v>1080</v>
      </c>
      <c r="AV26" s="389">
        <f>('Cost-Effectiveness Level'!$B$3*AQ26)+('Cost-Effectiveness Level'!$C$3*AR26)+('Cost-Effectiveness Level'!$D$3*AS26)+('Cost-Effectiveness Level'!$E$3*AT26)</f>
        <v>36969.30852622327</v>
      </c>
      <c r="AY26" s="290">
        <v>28772.135950776446</v>
      </c>
      <c r="AZ26" s="291">
        <v>32992.90946381483</v>
      </c>
      <c r="BA26" s="291">
        <v>43508.70202168181</v>
      </c>
      <c r="BB26" s="291">
        <v>50352.036331673015</v>
      </c>
      <c r="BC26" s="388">
        <v>1080</v>
      </c>
      <c r="BD26" s="389">
        <f>('Cost-Effectiveness Level'!$B$3*AY26)+('Cost-Effectiveness Level'!$C$3*AZ26)+('Cost-Effectiveness Level'!$D$3*BA26)+('Cost-Effectiveness Level'!$E$3*BB26)</f>
        <v>35645.65924406681</v>
      </c>
      <c r="BG26" s="290">
        <v>25151.626135364782</v>
      </c>
      <c r="BH26" s="291">
        <v>28839.818341634927</v>
      </c>
      <c r="BI26" s="291">
        <v>39008.37972458248</v>
      </c>
      <c r="BJ26" s="291">
        <v>45518.75183123352</v>
      </c>
      <c r="BK26" s="388">
        <v>1080</v>
      </c>
      <c r="BL26" s="389">
        <f>('Cost-Effectiveness Level'!$B$3*BG26)+('Cost-Effectiveness Level'!$C$3*BH26)+('Cost-Effectiveness Level'!$D$3*BI26)+('Cost-Effectiveness Level'!$E$3*BJ26)</f>
        <v>31478.266920597718</v>
      </c>
    </row>
    <row r="27" spans="1:64" ht="12.75">
      <c r="A27" s="617" t="str">
        <f>"RETROFITTED AVERAGE WINDOW - CLASS "&amp;(ROUND((1/((1/B27)-0.08)*100),0))</f>
        <v>RETROFITTED AVERAGE WINDOW - CLASS 50</v>
      </c>
      <c r="B27" s="552">
        <f>1/((1/0.5)+0.08)</f>
        <v>0.4807692307692307</v>
      </c>
      <c r="C27" s="328">
        <v>94</v>
      </c>
      <c r="D27" s="328">
        <v>149</v>
      </c>
      <c r="E27" s="328">
        <v>315</v>
      </c>
      <c r="F27" s="348">
        <f t="shared" si="1"/>
        <v>45.192307692307686</v>
      </c>
      <c r="G27" s="348">
        <f t="shared" si="8"/>
        <v>71.63461538461537</v>
      </c>
      <c r="H27" s="348">
        <f t="shared" si="9"/>
        <v>151.44230769230768</v>
      </c>
      <c r="I27" s="329">
        <f>F25-F27</f>
        <v>57.727400336889396</v>
      </c>
      <c r="J27" s="329">
        <f>G25-G27</f>
        <v>91.50407074677149</v>
      </c>
      <c r="K27" s="329">
        <f>H25-H27</f>
        <v>193.44820325659742</v>
      </c>
      <c r="L27" s="330">
        <v>0</v>
      </c>
      <c r="M27" s="453">
        <f t="shared" si="3"/>
        <v>0</v>
      </c>
      <c r="N27" s="332">
        <f t="shared" si="4"/>
        <v>0</v>
      </c>
      <c r="O27" s="303">
        <f t="shared" si="5"/>
        <v>0</v>
      </c>
      <c r="P27" s="611">
        <f>SUMPRODUCT('Cost-Effectiveness Level'!$I$3:$K$3,M27:O27)</f>
        <v>0</v>
      </c>
      <c r="S27" s="378"/>
      <c r="T27" s="595" t="s">
        <v>173</v>
      </c>
      <c r="U27" s="409">
        <v>11.772081873501755</v>
      </c>
      <c r="V27" s="409">
        <v>43.32283834586465</v>
      </c>
      <c r="W27" s="332">
        <v>510</v>
      </c>
      <c r="X27" s="378"/>
      <c r="Z27" s="595" t="s">
        <v>174</v>
      </c>
      <c r="AA27" s="409">
        <v>14.18749017460568</v>
      </c>
      <c r="AB27" s="409">
        <v>18.9</v>
      </c>
      <c r="AC27" s="332">
        <v>268.14356430004733</v>
      </c>
      <c r="AD27" s="378"/>
      <c r="AE27"/>
      <c r="AF27" s="595" t="s">
        <v>171</v>
      </c>
      <c r="AG27" s="409">
        <v>13.376368490197889</v>
      </c>
      <c r="AH27" s="409">
        <v>91.82524441017733</v>
      </c>
      <c r="AI27" s="332">
        <v>1228.2883059330159</v>
      </c>
      <c r="AJ27"/>
      <c r="AQ27" s="290">
        <v>29291.297978318195</v>
      </c>
      <c r="AR27" s="291">
        <v>33526.72135950776</v>
      </c>
      <c r="AS27" s="291">
        <v>44028.27424553179</v>
      </c>
      <c r="AT27" s="291">
        <v>50743.12921183709</v>
      </c>
      <c r="AU27" s="388">
        <v>1060</v>
      </c>
      <c r="AV27" s="389">
        <f>('Cost-Effectiveness Level'!$B$3*AQ27)+('Cost-Effectiveness Level'!$C$3*AR27)+('Cost-Effectiveness Level'!$D$3*AS27)+('Cost-Effectiveness Level'!$E$3*AT27)</f>
        <v>36165.84529739233</v>
      </c>
      <c r="AY27" s="290">
        <v>28112.657486082626</v>
      </c>
      <c r="AZ27" s="291">
        <v>32240.19923820686</v>
      </c>
      <c r="BA27" s="291">
        <v>42559.33196601231</v>
      </c>
      <c r="BB27" s="291">
        <v>49271.872253149726</v>
      </c>
      <c r="BC27" s="388">
        <v>1060</v>
      </c>
      <c r="BD27" s="389">
        <f>('Cost-Effectiveness Level'!$B$3*AY27)+('Cost-Effectiveness Level'!$C$3*AZ27)+('Cost-Effectiveness Level'!$D$3*BA27)+('Cost-Effectiveness Level'!$E$3*BB27)</f>
        <v>34846.05772048052</v>
      </c>
      <c r="BG27" s="290">
        <v>24517.198945209493</v>
      </c>
      <c r="BH27" s="291">
        <v>28108.76062115441</v>
      </c>
      <c r="BI27" s="291">
        <v>38084.47113975974</v>
      </c>
      <c r="BJ27" s="291">
        <v>44451.56753589218</v>
      </c>
      <c r="BK27" s="388">
        <v>1060</v>
      </c>
      <c r="BL27" s="389">
        <f>('Cost-Effectiveness Level'!$B$3*BG27)+('Cost-Effectiveness Level'!$C$3*BH27)+('Cost-Effectiveness Level'!$D$3*BI27)+('Cost-Effectiveness Level'!$E$3*BJ27)</f>
        <v>30701.51626135365</v>
      </c>
    </row>
    <row r="28" spans="1:64" ht="12.75">
      <c r="A28" s="616" t="s">
        <v>488</v>
      </c>
      <c r="B28" s="600">
        <v>0.34</v>
      </c>
      <c r="C28" s="328">
        <v>94</v>
      </c>
      <c r="D28" s="328">
        <v>149</v>
      </c>
      <c r="E28" s="328">
        <v>315</v>
      </c>
      <c r="F28" s="348">
        <f t="shared" si="1"/>
        <v>31.96</v>
      </c>
      <c r="G28" s="348">
        <f t="shared" si="8"/>
        <v>50.660000000000004</v>
      </c>
      <c r="H28" s="348">
        <f t="shared" si="9"/>
        <v>107.10000000000001</v>
      </c>
      <c r="I28" s="329">
        <f>F$25-F28</f>
        <v>70.95970802919709</v>
      </c>
      <c r="J28" s="329">
        <f>G$25-G28</f>
        <v>112.47868613138687</v>
      </c>
      <c r="K28" s="329">
        <f>H$25-H28</f>
        <v>237.79051094890508</v>
      </c>
      <c r="L28" s="330">
        <f>'Summary Table'!H13</f>
        <v>16.01236479744562</v>
      </c>
      <c r="M28" s="453">
        <f>C28*$L28</f>
        <v>1505.1622909598884</v>
      </c>
      <c r="N28" s="332">
        <f>D28*$L28</f>
        <v>2385.8423548193973</v>
      </c>
      <c r="O28" s="303">
        <f>E28*$L28</f>
        <v>5043.894911195371</v>
      </c>
      <c r="P28" s="611">
        <f>SUMPRODUCT('Cost-Effectiveness Level'!$I$3:$K$3,M28:O28)</f>
        <v>3326.088415725404</v>
      </c>
      <c r="Q28" s="390"/>
      <c r="R28" s="390"/>
      <c r="S28" s="378"/>
      <c r="T28" s="595" t="s">
        <v>171</v>
      </c>
      <c r="U28" s="409">
        <v>13.376368490197887</v>
      </c>
      <c r="V28" s="409">
        <v>48.90101773323053</v>
      </c>
      <c r="W28" s="332">
        <v>654.118032745393</v>
      </c>
      <c r="X28" s="378"/>
      <c r="Z28" s="595" t="s">
        <v>177</v>
      </c>
      <c r="AA28" s="409">
        <v>15.73163006405534</v>
      </c>
      <c r="AB28" s="409">
        <v>19.845</v>
      </c>
      <c r="AC28" s="332">
        <v>312.1941986211782</v>
      </c>
      <c r="AD28" s="378"/>
      <c r="AE28"/>
      <c r="AF28" s="595" t="s">
        <v>174</v>
      </c>
      <c r="AG28" s="409">
        <v>14.187490174605683</v>
      </c>
      <c r="AH28" s="409">
        <v>10.191999999999997</v>
      </c>
      <c r="AI28" s="332">
        <v>144.59889985958108</v>
      </c>
      <c r="AJ28"/>
      <c r="AQ28" s="290">
        <v>28625.871667155</v>
      </c>
      <c r="AR28" s="291">
        <v>32770.81746264284</v>
      </c>
      <c r="AS28" s="291">
        <v>43076.26721359508</v>
      </c>
      <c r="AT28" s="291">
        <v>49659.390565484915</v>
      </c>
      <c r="AU28" s="388">
        <v>1040</v>
      </c>
      <c r="AV28" s="389">
        <f>('Cost-Effectiveness Level'!$B$3*AQ28)+('Cost-Effectiveness Level'!$C$3*AR28)+('Cost-Effectiveness Level'!$D$3*AS28)+('Cost-Effectiveness Level'!$E$3*AT28)</f>
        <v>35362.619396425434</v>
      </c>
      <c r="AY28" s="290">
        <v>27453.23762086141</v>
      </c>
      <c r="AZ28" s="291">
        <v>31487.40111338998</v>
      </c>
      <c r="BA28" s="291">
        <v>41610.51860533256</v>
      </c>
      <c r="BB28" s="291">
        <v>48191.53237620862</v>
      </c>
      <c r="BC28" s="388">
        <v>1040</v>
      </c>
      <c r="BD28" s="389">
        <f>('Cost-Effectiveness Level'!$B$3*AY28)+('Cost-Effectiveness Level'!$C$3*AZ28)+('Cost-Effectiveness Level'!$D$3*BA28)+('Cost-Effectiveness Level'!$E$3*BB28)</f>
        <v>34046.55435101084</v>
      </c>
      <c r="BG28" s="290">
        <v>23883.09405215353</v>
      </c>
      <c r="BH28" s="291">
        <v>27377.585701728683</v>
      </c>
      <c r="BI28" s="291">
        <v>37161.29504834457</v>
      </c>
      <c r="BJ28" s="291">
        <v>43385.64312921184</v>
      </c>
      <c r="BK28" s="388">
        <v>1040</v>
      </c>
      <c r="BL28" s="389">
        <f>('Cost-Effectiveness Level'!$B$3*BG28)+('Cost-Effectiveness Level'!$C$3*BH28)+('Cost-Effectiveness Level'!$D$3*BI28)+('Cost-Effectiveness Level'!$E$3*BJ28)</f>
        <v>29925.017579841784</v>
      </c>
    </row>
    <row r="29" spans="1:64" ht="13.5" thickBot="1">
      <c r="A29" s="494" t="s">
        <v>489</v>
      </c>
      <c r="B29" s="601">
        <v>0.245</v>
      </c>
      <c r="C29" s="335">
        <v>94</v>
      </c>
      <c r="D29" s="335">
        <v>149</v>
      </c>
      <c r="E29" s="335">
        <v>315</v>
      </c>
      <c r="F29" s="349">
        <f t="shared" si="1"/>
        <v>23.03</v>
      </c>
      <c r="G29" s="349">
        <f t="shared" si="8"/>
        <v>36.505</v>
      </c>
      <c r="H29" s="349">
        <f t="shared" si="9"/>
        <v>77.175</v>
      </c>
      <c r="I29" s="336">
        <f>F28-F29</f>
        <v>8.93</v>
      </c>
      <c r="J29" s="336">
        <f>G28-G29</f>
        <v>14.155000000000001</v>
      </c>
      <c r="K29" s="336">
        <f>H28-H29</f>
        <v>29.92500000000001</v>
      </c>
      <c r="L29" s="338">
        <v>4.8</v>
      </c>
      <c r="M29" s="454">
        <f t="shared" si="3"/>
        <v>451.2</v>
      </c>
      <c r="N29" s="340">
        <f t="shared" si="4"/>
        <v>715.1999999999999</v>
      </c>
      <c r="O29" s="341">
        <f t="shared" si="5"/>
        <v>1512</v>
      </c>
      <c r="P29" s="611">
        <f>SUMPRODUCT('Cost-Effectiveness Level'!$I$3:$K$3,M29:O29)</f>
        <v>997.0559999999999</v>
      </c>
      <c r="S29" s="378"/>
      <c r="T29" s="595" t="s">
        <v>174</v>
      </c>
      <c r="U29" s="409">
        <v>14.187490174605683</v>
      </c>
      <c r="V29" s="409">
        <v>11.9</v>
      </c>
      <c r="W29" s="332">
        <v>168.8311330778076</v>
      </c>
      <c r="X29" s="378"/>
      <c r="Z29" s="595" t="s">
        <v>485</v>
      </c>
      <c r="AA29" s="409">
        <v>18.35356840806456</v>
      </c>
      <c r="AB29" s="409">
        <v>7.29</v>
      </c>
      <c r="AC29" s="332">
        <v>133.79751369479067</v>
      </c>
      <c r="AD29" s="378"/>
      <c r="AE29"/>
      <c r="AF29" s="595" t="s">
        <v>177</v>
      </c>
      <c r="AG29" s="409">
        <v>15.73163006405534</v>
      </c>
      <c r="AH29" s="409">
        <v>15.288</v>
      </c>
      <c r="AI29" s="332">
        <v>240.50516041927804</v>
      </c>
      <c r="AJ29"/>
      <c r="AQ29" s="290">
        <v>27960.474655728103</v>
      </c>
      <c r="AR29" s="291">
        <v>32015.29446234984</v>
      </c>
      <c r="AS29" s="291">
        <v>42124.11368297686</v>
      </c>
      <c r="AT29" s="291">
        <v>48576.003515968354</v>
      </c>
      <c r="AU29" s="388">
        <v>1020</v>
      </c>
      <c r="AV29" s="389">
        <f>('Cost-Effectiveness Level'!$B$3*AQ29)+('Cost-Effectiveness Level'!$C$3*AR29)+('Cost-Effectiveness Level'!$D$3*AS29)+('Cost-Effectiveness Level'!$E$3*AT29)</f>
        <v>34559.57075886317</v>
      </c>
      <c r="AY29" s="290">
        <v>26794.286551421035</v>
      </c>
      <c r="AZ29" s="291">
        <v>30734.720187518316</v>
      </c>
      <c r="BA29" s="291">
        <v>40662.203340169945</v>
      </c>
      <c r="BB29" s="291">
        <v>47110.98740111339</v>
      </c>
      <c r="BC29" s="388">
        <v>1020</v>
      </c>
      <c r="BD29" s="389">
        <f>('Cost-Effectiveness Level'!$B$3*AY29)+('Cost-Effectiveness Level'!$C$3*AZ29)+('Cost-Effectiveness Level'!$D$3*BA29)+('Cost-Effectiveness Level'!$E$3*BB29)</f>
        <v>33247.31760914152</v>
      </c>
      <c r="BG29" s="290">
        <v>23250.6006445942</v>
      </c>
      <c r="BH29" s="291">
        <v>26646.79167887489</v>
      </c>
      <c r="BI29" s="291">
        <v>36239.173747436274</v>
      </c>
      <c r="BJ29" s="291">
        <v>42320.8907119836</v>
      </c>
      <c r="BK29" s="388">
        <v>1020</v>
      </c>
      <c r="BL29" s="389">
        <f>('Cost-Effectiveness Level'!$B$3*BG29)+('Cost-Effectiveness Level'!$C$3*BH29)+('Cost-Effectiveness Level'!$D$3*BI29)+('Cost-Effectiveness Level'!$E$3*BJ29)</f>
        <v>29149.353940814533</v>
      </c>
    </row>
    <row r="30" spans="1:64" ht="12.75">
      <c r="A30" s="484" t="s">
        <v>205</v>
      </c>
      <c r="B30" s="485">
        <v>0.47</v>
      </c>
      <c r="C30" s="486">
        <v>40</v>
      </c>
      <c r="D30" s="486">
        <v>40</v>
      </c>
      <c r="E30" s="486">
        <v>40</v>
      </c>
      <c r="F30" s="487">
        <f t="shared" si="1"/>
        <v>18.799999999999997</v>
      </c>
      <c r="G30" s="487">
        <f t="shared" si="8"/>
        <v>18.799999999999997</v>
      </c>
      <c r="H30" s="487">
        <f t="shared" si="9"/>
        <v>18.799999999999997</v>
      </c>
      <c r="I30" s="488">
        <v>0</v>
      </c>
      <c r="J30" s="488">
        <v>1</v>
      </c>
      <c r="K30" s="488">
        <v>2</v>
      </c>
      <c r="L30" s="489">
        <v>0</v>
      </c>
      <c r="M30" s="490">
        <f t="shared" si="3"/>
        <v>0</v>
      </c>
      <c r="N30" s="491">
        <f t="shared" si="4"/>
        <v>0</v>
      </c>
      <c r="O30" s="609">
        <f t="shared" si="5"/>
        <v>0</v>
      </c>
      <c r="P30" s="611">
        <f>SUMPRODUCT('Cost-Effectiveness Level'!$I$3:$K$3,M30:O30)</f>
        <v>0</v>
      </c>
      <c r="S30" s="378"/>
      <c r="T30" s="595" t="s">
        <v>177</v>
      </c>
      <c r="U30" s="409">
        <v>15.731630064055338</v>
      </c>
      <c r="V30" s="409">
        <v>17.85</v>
      </c>
      <c r="W30" s="332">
        <v>280.8095966433878</v>
      </c>
      <c r="X30" s="378"/>
      <c r="Z30" s="595" t="s">
        <v>176</v>
      </c>
      <c r="AA30" s="409">
        <v>20.83333333333333</v>
      </c>
      <c r="AB30" s="409">
        <v>16.2</v>
      </c>
      <c r="AC30" s="332">
        <v>337.5</v>
      </c>
      <c r="AD30" s="378"/>
      <c r="AE30"/>
      <c r="AF30" s="595" t="s">
        <v>176</v>
      </c>
      <c r="AG30" s="409">
        <v>20.833333333333332</v>
      </c>
      <c r="AH30" s="409">
        <v>8.736</v>
      </c>
      <c r="AI30" s="332">
        <v>182</v>
      </c>
      <c r="AJ30"/>
      <c r="AQ30" s="290">
        <v>27295.253442719015</v>
      </c>
      <c r="AR30" s="291">
        <v>31259.947260474655</v>
      </c>
      <c r="AS30" s="291">
        <v>41172.22384998535</v>
      </c>
      <c r="AT30" s="291">
        <v>47492.675065924406</v>
      </c>
      <c r="AU30" s="388">
        <v>1000</v>
      </c>
      <c r="AV30" s="389">
        <f>('Cost-Effectiveness Level'!$B$3*AQ30)+('Cost-Effectiveness Level'!$C$3*AR30)+('Cost-Effectiveness Level'!$D$3*AS30)+('Cost-Effectiveness Level'!$E$3*AT30)</f>
        <v>33756.71403457369</v>
      </c>
      <c r="AY30" s="290">
        <v>26135.511280398478</v>
      </c>
      <c r="AZ30" s="291">
        <v>29982.420158218578</v>
      </c>
      <c r="BA30" s="291">
        <v>39714.62056841489</v>
      </c>
      <c r="BB30" s="291">
        <v>46030.44242601817</v>
      </c>
      <c r="BC30" s="388">
        <v>1000</v>
      </c>
      <c r="BD30" s="389">
        <f>('Cost-Effectiveness Level'!$B$3*AY30)+('Cost-Effectiveness Level'!$C$3*AZ30)+('Cost-Effectiveness Level'!$D$3*BA30)+('Cost-Effectiveness Level'!$E$3*BB30)</f>
        <v>32448.489598593616</v>
      </c>
      <c r="BG30" s="290">
        <v>22620.33401699385</v>
      </c>
      <c r="BH30" s="291">
        <v>25917.550542045126</v>
      </c>
      <c r="BI30" s="291">
        <v>35318.4881336068</v>
      </c>
      <c r="BJ30" s="291">
        <v>41258.365074714326</v>
      </c>
      <c r="BK30" s="388">
        <v>1000</v>
      </c>
      <c r="BL30" s="389">
        <f>('Cost-Effectiveness Level'!$B$3*BG30)+('Cost-Effectiveness Level'!$C$3*BH30)+('Cost-Effectiveness Level'!$D$3*BI30)+('Cost-Effectiveness Level'!$E$3*BJ30)</f>
        <v>28375.38236155875</v>
      </c>
    </row>
    <row r="31" spans="1:64" ht="13.5" thickBot="1">
      <c r="A31" s="417" t="s">
        <v>180</v>
      </c>
      <c r="B31" s="497">
        <v>0.19</v>
      </c>
      <c r="C31" s="498">
        <v>40</v>
      </c>
      <c r="D31" s="498">
        <v>40</v>
      </c>
      <c r="E31" s="498">
        <v>40</v>
      </c>
      <c r="F31" s="499">
        <f t="shared" si="1"/>
        <v>7.6</v>
      </c>
      <c r="G31" s="499">
        <f t="shared" si="8"/>
        <v>7.6</v>
      </c>
      <c r="H31" s="499">
        <f t="shared" si="9"/>
        <v>7.6</v>
      </c>
      <c r="I31" s="418">
        <f>F30-F31</f>
        <v>11.199999999999998</v>
      </c>
      <c r="J31" s="418">
        <f>G30-G31</f>
        <v>11.199999999999998</v>
      </c>
      <c r="K31" s="418">
        <f>H30-H31</f>
        <v>11.199999999999998</v>
      </c>
      <c r="L31" s="500">
        <v>15.01171875</v>
      </c>
      <c r="M31" s="501">
        <f t="shared" si="3"/>
        <v>600.46875</v>
      </c>
      <c r="N31" s="502">
        <f t="shared" si="4"/>
        <v>600.46875</v>
      </c>
      <c r="O31" s="608">
        <f t="shared" si="5"/>
        <v>600.46875</v>
      </c>
      <c r="P31" s="611">
        <f>SUMPRODUCT('Cost-Effectiveness Level'!$I$3:$K$3,M31:O31)</f>
        <v>600.46875</v>
      </c>
      <c r="S31" s="378"/>
      <c r="T31" s="595" t="s">
        <v>176</v>
      </c>
      <c r="U31" s="409">
        <v>20.833333333333336</v>
      </c>
      <c r="V31" s="409">
        <v>10.2</v>
      </c>
      <c r="W31" s="332">
        <v>212.5</v>
      </c>
      <c r="X31" s="378"/>
      <c r="Z31" s="595" t="s">
        <v>488</v>
      </c>
      <c r="AA31" s="409">
        <v>21.211506258461128</v>
      </c>
      <c r="AB31" s="409">
        <v>112.47868613138687</v>
      </c>
      <c r="AC31" s="332">
        <v>2385.8423548193973</v>
      </c>
      <c r="AD31" s="378"/>
      <c r="AE31"/>
      <c r="AF31" s="595" t="s">
        <v>488</v>
      </c>
      <c r="AG31" s="409">
        <v>21.21150625846113</v>
      </c>
      <c r="AH31" s="409">
        <v>237.79051094890508</v>
      </c>
      <c r="AI31" s="332">
        <v>5043.894911195371</v>
      </c>
      <c r="AJ31"/>
      <c r="AQ31" s="290">
        <v>26630.530325227075</v>
      </c>
      <c r="AR31" s="291">
        <v>30505.27395253443</v>
      </c>
      <c r="AS31" s="291">
        <v>40220.480515675365</v>
      </c>
      <c r="AT31" s="291">
        <v>46409.258716671546</v>
      </c>
      <c r="AU31" s="388">
        <v>980</v>
      </c>
      <c r="AV31" s="389">
        <f>('Cost-Effectiveness Level'!$B$3*AQ31)+('Cost-Effectiveness Level'!$C$3*AR31)+('Cost-Effectiveness Level'!$D$3*AS31)+('Cost-Effectiveness Level'!$E$3*AT31)</f>
        <v>32954.326106065055</v>
      </c>
      <c r="AY31" s="290">
        <v>25476.82390858482</v>
      </c>
      <c r="AZ31" s="291">
        <v>29230.35452680926</v>
      </c>
      <c r="BA31" s="291">
        <v>38767.21359507764</v>
      </c>
      <c r="BB31" s="291">
        <v>44950.33694696748</v>
      </c>
      <c r="BC31" s="388">
        <v>980</v>
      </c>
      <c r="BD31" s="389">
        <f>('Cost-Effectiveness Level'!$B$3*AY31)+('Cost-Effectiveness Level'!$C$3*AZ31)+('Cost-Effectiveness Level'!$D$3*BA31)+('Cost-Effectiveness Level'!$E$3*BB31)</f>
        <v>31649.86229123938</v>
      </c>
      <c r="BG31" s="290">
        <v>21989.97949018459</v>
      </c>
      <c r="BH31" s="291">
        <v>25190.301787283915</v>
      </c>
      <c r="BI31" s="291">
        <v>34399.58980369177</v>
      </c>
      <c r="BJ31" s="291">
        <v>40196.07383533549</v>
      </c>
      <c r="BK31" s="388">
        <v>980</v>
      </c>
      <c r="BL31" s="389">
        <f>('Cost-Effectiveness Level'!$B$3*BG31)+('Cost-Effectiveness Level'!$C$3*BH31)+('Cost-Effectiveness Level'!$D$3*BI31)+('Cost-Effectiveness Level'!$E$3*BJ31)</f>
        <v>27602.847934368594</v>
      </c>
    </row>
    <row r="32" spans="1:64" ht="12.75">
      <c r="A32" s="493" t="s">
        <v>206</v>
      </c>
      <c r="B32" s="481">
        <v>0.33116666666666666</v>
      </c>
      <c r="C32" s="467">
        <v>0</v>
      </c>
      <c r="D32" s="467">
        <v>0</v>
      </c>
      <c r="E32" s="467">
        <v>864</v>
      </c>
      <c r="F32" s="468">
        <f t="shared" si="1"/>
        <v>0</v>
      </c>
      <c r="G32" s="468">
        <f t="shared" si="8"/>
        <v>0</v>
      </c>
      <c r="H32" s="468">
        <f t="shared" si="9"/>
        <v>286.128</v>
      </c>
      <c r="I32" s="469">
        <v>0</v>
      </c>
      <c r="J32" s="469">
        <v>1</v>
      </c>
      <c r="K32" s="469">
        <v>2</v>
      </c>
      <c r="L32" s="504">
        <v>0</v>
      </c>
      <c r="M32" s="471">
        <f t="shared" si="3"/>
        <v>0</v>
      </c>
      <c r="N32" s="471">
        <f t="shared" si="4"/>
        <v>0</v>
      </c>
      <c r="O32" s="604">
        <f t="shared" si="5"/>
        <v>0</v>
      </c>
      <c r="P32" s="611">
        <f>SUMPRODUCT('Cost-Effectiveness Level'!$I$3:$K$3,M32:O32)</f>
        <v>0</v>
      </c>
      <c r="S32" s="378"/>
      <c r="T32" s="595" t="s">
        <v>488</v>
      </c>
      <c r="U32" s="409">
        <v>21.211506258461128</v>
      </c>
      <c r="V32" s="409">
        <v>70.95970802919709</v>
      </c>
      <c r="W32" s="332">
        <v>1505.1622909598884</v>
      </c>
      <c r="X32" s="378"/>
      <c r="Z32" s="595" t="s">
        <v>179</v>
      </c>
      <c r="AA32" s="409">
        <v>32.5</v>
      </c>
      <c r="AB32" s="409">
        <v>5.4</v>
      </c>
      <c r="AC32" s="332">
        <v>175.5</v>
      </c>
      <c r="AD32" s="378"/>
      <c r="AE32"/>
      <c r="AF32" s="595" t="s">
        <v>185</v>
      </c>
      <c r="AG32" s="409">
        <v>21.609195402298816</v>
      </c>
      <c r="AH32" s="409">
        <v>18.79200000000003</v>
      </c>
      <c r="AI32" s="332">
        <v>406.08</v>
      </c>
      <c r="AJ32"/>
      <c r="AQ32" s="290">
        <v>25965.983006152943</v>
      </c>
      <c r="AR32" s="291">
        <v>29751.303838265456</v>
      </c>
      <c r="AS32" s="291">
        <v>39268.91297978318</v>
      </c>
      <c r="AT32" s="291">
        <v>45326.04746557281</v>
      </c>
      <c r="AU32" s="388">
        <v>960</v>
      </c>
      <c r="AV32" s="389">
        <f>('Cost-Effectiveness Level'!$B$3*AQ32)+('Cost-Effectiveness Level'!$C$3*AR32)+('Cost-Effectiveness Level'!$D$3*AS32)+('Cost-Effectiveness Level'!$E$3*AT32)</f>
        <v>32152.37913858775</v>
      </c>
      <c r="AY32" s="290">
        <v>24819.162027541755</v>
      </c>
      <c r="AZ32" s="291">
        <v>28478.75769118078</v>
      </c>
      <c r="BA32" s="291">
        <v>37820.89071198359</v>
      </c>
      <c r="BB32" s="291">
        <v>43870.319367125696</v>
      </c>
      <c r="BC32" s="388">
        <v>960</v>
      </c>
      <c r="BD32" s="389">
        <f>('Cost-Effectiveness Level'!$B$3*AY32)+('Cost-Effectiveness Level'!$C$3*AZ32)+('Cost-Effectiveness Level'!$D$3*BA32)+('Cost-Effectiveness Level'!$E$3*BB32)</f>
        <v>30851.949897450926</v>
      </c>
      <c r="BG32" s="290">
        <v>21360.914151772635</v>
      </c>
      <c r="BH32" s="291">
        <v>24464.78171696455</v>
      </c>
      <c r="BI32" s="291">
        <v>33482.03926164665</v>
      </c>
      <c r="BJ32" s="291">
        <v>39134.5736888368</v>
      </c>
      <c r="BK32" s="388">
        <v>960</v>
      </c>
      <c r="BL32" s="389">
        <f>('Cost-Effectiveness Level'!$B$3*BG32)+('Cost-Effectiveness Level'!$C$3*BH32)+('Cost-Effectiveness Level'!$D$3*BI32)+('Cost-Effectiveness Level'!$E$3*BJ32)</f>
        <v>26831.812188690303</v>
      </c>
    </row>
    <row r="33" spans="1:64" ht="12.75">
      <c r="A33" s="320" t="s">
        <v>184</v>
      </c>
      <c r="B33" s="323">
        <v>0.13066666666666668</v>
      </c>
      <c r="C33" s="342">
        <v>0</v>
      </c>
      <c r="D33" s="342">
        <v>0</v>
      </c>
      <c r="E33" s="342">
        <v>864</v>
      </c>
      <c r="F33" s="347">
        <f t="shared" si="1"/>
        <v>0</v>
      </c>
      <c r="G33" s="347">
        <f t="shared" si="8"/>
        <v>0</v>
      </c>
      <c r="H33" s="347">
        <f t="shared" si="9"/>
        <v>112.89600000000002</v>
      </c>
      <c r="I33" s="343">
        <f aca="true" t="shared" si="10" ref="I33:K34">F32-F33</f>
        <v>0</v>
      </c>
      <c r="J33" s="343">
        <f t="shared" si="10"/>
        <v>0</v>
      </c>
      <c r="K33" s="343">
        <f t="shared" si="10"/>
        <v>173.23199999999997</v>
      </c>
      <c r="L33" s="503">
        <v>0.34693287037037035</v>
      </c>
      <c r="M33" s="345">
        <f t="shared" si="3"/>
        <v>0</v>
      </c>
      <c r="N33" s="345">
        <f t="shared" si="4"/>
        <v>0</v>
      </c>
      <c r="O33" s="606">
        <f t="shared" si="5"/>
        <v>299.75</v>
      </c>
      <c r="P33" s="611">
        <f>SUMPRODUCT('Cost-Effectiveness Level'!$I$3:$K$3,M33:O33)</f>
        <v>125.895</v>
      </c>
      <c r="S33" s="378"/>
      <c r="T33" s="595" t="s">
        <v>179</v>
      </c>
      <c r="U33" s="409">
        <v>32.5</v>
      </c>
      <c r="V33" s="409">
        <v>3.4</v>
      </c>
      <c r="W33" s="332">
        <v>110.5</v>
      </c>
      <c r="X33" s="378"/>
      <c r="Z33" s="595" t="s">
        <v>178</v>
      </c>
      <c r="AA33" s="409">
        <v>36.393679790727134</v>
      </c>
      <c r="AB33" s="409">
        <v>4.724999999999994</v>
      </c>
      <c r="AC33" s="332">
        <v>171.9601370111855</v>
      </c>
      <c r="AD33" s="378"/>
      <c r="AE33"/>
      <c r="AF33" s="595" t="s">
        <v>179</v>
      </c>
      <c r="AG33" s="409">
        <v>32.5</v>
      </c>
      <c r="AH33" s="409">
        <v>2.9120000000000026</v>
      </c>
      <c r="AI33" s="332">
        <v>94.64</v>
      </c>
      <c r="AJ33"/>
      <c r="AQ33" s="290">
        <v>25301.640785232936</v>
      </c>
      <c r="AR33" s="291">
        <v>28997.42162320539</v>
      </c>
      <c r="AS33" s="291">
        <v>38318.01933782596</v>
      </c>
      <c r="AT33" s="291">
        <v>44242.95341341929</v>
      </c>
      <c r="AU33" s="388">
        <v>940</v>
      </c>
      <c r="AV33" s="389">
        <f>('Cost-Effectiveness Level'!$B$3*AQ33)+('Cost-Effectiveness Level'!$C$3*AR33)+('Cost-Effectiveness Level'!$D$3*AS33)+('Cost-Effectiveness Level'!$E$3*AT33)</f>
        <v>31350.69147377674</v>
      </c>
      <c r="AY33" s="290">
        <v>24162.379138587752</v>
      </c>
      <c r="AZ33" s="291">
        <v>27727.453852915325</v>
      </c>
      <c r="BA33" s="291">
        <v>36875.35892176971</v>
      </c>
      <c r="BB33" s="291">
        <v>42789.77439203047</v>
      </c>
      <c r="BC33" s="388">
        <v>940</v>
      </c>
      <c r="BD33" s="389">
        <f>('Cost-Effectiveness Level'!$B$3*AY33)+('Cost-Effectiveness Level'!$C$3*AZ33)+('Cost-Effectiveness Level'!$D$3*BA33)+('Cost-Effectiveness Level'!$E$3*BB33)</f>
        <v>30054.53120421916</v>
      </c>
      <c r="BG33" s="290">
        <v>20733.95839437445</v>
      </c>
      <c r="BH33" s="291">
        <v>23742.68971579256</v>
      </c>
      <c r="BI33" s="291">
        <v>32565.572809844714</v>
      </c>
      <c r="BJ33" s="291">
        <v>38073.45443891005</v>
      </c>
      <c r="BK33" s="388">
        <v>940</v>
      </c>
      <c r="BL33" s="389">
        <f>('Cost-Effectiveness Level'!$B$3*BG33)+('Cost-Effectiveness Level'!$C$3*BH33)+('Cost-Effectiveness Level'!$D$3*BI33)+('Cost-Effectiveness Level'!$E$3*BJ33)</f>
        <v>26063.20246117785</v>
      </c>
    </row>
    <row r="34" spans="1:64" ht="13.5" thickBot="1">
      <c r="A34" s="495" t="s">
        <v>185</v>
      </c>
      <c r="B34" s="496">
        <v>0.10891666666666665</v>
      </c>
      <c r="C34" s="335">
        <v>0</v>
      </c>
      <c r="D34" s="335">
        <v>0</v>
      </c>
      <c r="E34" s="335">
        <v>864</v>
      </c>
      <c r="F34" s="349">
        <f t="shared" si="1"/>
        <v>0</v>
      </c>
      <c r="G34" s="349">
        <f t="shared" si="8"/>
        <v>0</v>
      </c>
      <c r="H34" s="349">
        <f t="shared" si="9"/>
        <v>94.10399999999998</v>
      </c>
      <c r="I34" s="336">
        <f t="shared" si="10"/>
        <v>0</v>
      </c>
      <c r="J34" s="336">
        <f t="shared" si="10"/>
        <v>0</v>
      </c>
      <c r="K34" s="336">
        <f t="shared" si="10"/>
        <v>18.79200000000003</v>
      </c>
      <c r="L34" s="505">
        <v>0.47</v>
      </c>
      <c r="M34" s="340">
        <f t="shared" si="3"/>
        <v>0</v>
      </c>
      <c r="N34" s="340">
        <f t="shared" si="4"/>
        <v>0</v>
      </c>
      <c r="O34" s="607">
        <f t="shared" si="5"/>
        <v>406.08</v>
      </c>
      <c r="P34" s="611">
        <f>SUMPRODUCT('Cost-Effectiveness Level'!$I$3:$K$3,M34:O34)</f>
        <v>170.5536</v>
      </c>
      <c r="S34" s="378"/>
      <c r="T34" s="595" t="s">
        <v>490</v>
      </c>
      <c r="U34" s="409">
        <v>34.72222222222222</v>
      </c>
      <c r="V34" s="409">
        <v>12.24</v>
      </c>
      <c r="W34" s="332">
        <v>425</v>
      </c>
      <c r="X34" s="378"/>
      <c r="Z34" s="595" t="s">
        <v>489</v>
      </c>
      <c r="AA34" s="409">
        <v>50.52631578947368</v>
      </c>
      <c r="AB34" s="409">
        <v>14.155</v>
      </c>
      <c r="AC34" s="332">
        <v>715.2</v>
      </c>
      <c r="AD34" s="378"/>
      <c r="AE34"/>
      <c r="AF34" s="595" t="s">
        <v>178</v>
      </c>
      <c r="AG34" s="409">
        <v>36.39367979072712</v>
      </c>
      <c r="AH34" s="409">
        <v>3.64</v>
      </c>
      <c r="AI34" s="332">
        <v>132.47299443824662</v>
      </c>
      <c r="AJ34"/>
      <c r="AQ34" s="290">
        <v>24637.85525930267</v>
      </c>
      <c r="AR34" s="291">
        <v>28243.92030471726</v>
      </c>
      <c r="AS34" s="291">
        <v>37368.180486375626</v>
      </c>
      <c r="AT34" s="291">
        <v>43160.12305889247</v>
      </c>
      <c r="AU34" s="388">
        <v>920</v>
      </c>
      <c r="AV34" s="389">
        <f>('Cost-Effectiveness Level'!$B$3*AQ34)+('Cost-Effectiveness Level'!$C$3*AR34)+('Cost-Effectiveness Level'!$D$3*AS34)+('Cost-Effectiveness Level'!$E$3*AT34)</f>
        <v>30549.582478757697</v>
      </c>
      <c r="AY34" s="290">
        <v>23506.24084383241</v>
      </c>
      <c r="AZ34" s="291">
        <v>26977.439203047175</v>
      </c>
      <c r="BA34" s="291">
        <v>35930.911221799004</v>
      </c>
      <c r="BB34" s="291">
        <v>41710.22560796953</v>
      </c>
      <c r="BC34" s="388">
        <v>920</v>
      </c>
      <c r="BD34" s="389">
        <f>('Cost-Effectiveness Level'!$B$3*AY34)+('Cost-Effectiveness Level'!$C$3*AZ34)+('Cost-Effectiveness Level'!$D$3*BA34)+('Cost-Effectiveness Level'!$E$3*BB34)</f>
        <v>29258.2068561383</v>
      </c>
      <c r="BG34" s="290">
        <v>20108.057427483156</v>
      </c>
      <c r="BH34" s="291">
        <v>23022.47289774392</v>
      </c>
      <c r="BI34" s="291">
        <v>31649.83885145034</v>
      </c>
      <c r="BJ34" s="291">
        <v>37014.825666569006</v>
      </c>
      <c r="BK34" s="388">
        <v>920</v>
      </c>
      <c r="BL34" s="389">
        <f>('Cost-Effectiveness Level'!$B$3*BG34)+('Cost-Effectiveness Level'!$C$3*BH34)+('Cost-Effectiveness Level'!$D$3*BI34)+('Cost-Effectiveness Level'!$E$3*BJ34)</f>
        <v>25296.048930559624</v>
      </c>
    </row>
    <row r="35" spans="1:64" ht="12.75">
      <c r="A35" s="484" t="s">
        <v>491</v>
      </c>
      <c r="B35" s="485">
        <f>0.018*0.45</f>
        <v>0.0081</v>
      </c>
      <c r="C35" s="486">
        <v>6800</v>
      </c>
      <c r="D35" s="486">
        <v>10800</v>
      </c>
      <c r="E35" s="486">
        <v>17472</v>
      </c>
      <c r="F35" s="487">
        <f t="shared" si="1"/>
        <v>55.08</v>
      </c>
      <c r="G35" s="487">
        <f t="shared" si="8"/>
        <v>87.47999999999999</v>
      </c>
      <c r="H35" s="487">
        <f t="shared" si="9"/>
        <v>141.5232</v>
      </c>
      <c r="I35" s="488">
        <v>0</v>
      </c>
      <c r="J35" s="488">
        <v>0</v>
      </c>
      <c r="K35" s="488">
        <v>0</v>
      </c>
      <c r="L35" s="489">
        <v>0</v>
      </c>
      <c r="M35" s="490">
        <f t="shared" si="3"/>
        <v>0</v>
      </c>
      <c r="N35" s="491">
        <f t="shared" si="4"/>
        <v>0</v>
      </c>
      <c r="O35" s="609">
        <f t="shared" si="5"/>
        <v>0</v>
      </c>
      <c r="P35" s="611">
        <f>SUMPRODUCT('Cost-Effectiveness Level'!$I$3:$K$3,M35:O35)</f>
        <v>0</v>
      </c>
      <c r="S35" s="378"/>
      <c r="T35" s="595" t="s">
        <v>178</v>
      </c>
      <c r="U35" s="409">
        <v>36.39367979072712</v>
      </c>
      <c r="V35" s="409">
        <v>4.25</v>
      </c>
      <c r="W35" s="332">
        <v>154.67313911059014</v>
      </c>
      <c r="X35" s="378"/>
      <c r="Z35" s="595" t="s">
        <v>180</v>
      </c>
      <c r="AA35" s="409">
        <v>53.61328125</v>
      </c>
      <c r="AB35" s="409">
        <v>11.2</v>
      </c>
      <c r="AC35" s="332">
        <v>600.46875</v>
      </c>
      <c r="AD35" s="378"/>
      <c r="AE35"/>
      <c r="AF35" s="595" t="s">
        <v>489</v>
      </c>
      <c r="AG35" s="409">
        <v>50.526315789473664</v>
      </c>
      <c r="AH35" s="409">
        <v>29.925</v>
      </c>
      <c r="AI35" s="332">
        <v>1512</v>
      </c>
      <c r="AJ35"/>
      <c r="AQ35" s="290">
        <v>23975.241722824496</v>
      </c>
      <c r="AR35" s="291">
        <v>27490.858482273663</v>
      </c>
      <c r="AS35" s="291">
        <v>36419.16202754176</v>
      </c>
      <c r="AT35" s="291">
        <v>42077.58570172868</v>
      </c>
      <c r="AU35" s="388">
        <v>900</v>
      </c>
      <c r="AV35" s="389">
        <f>('Cost-Effectiveness Level'!$B$3*AQ35)+('Cost-Effectiveness Level'!$C$3*AR35)+('Cost-Effectiveness Level'!$D$3*AS35)+('Cost-Effectiveness Level'!$E$3*AT35)</f>
        <v>29749.147377673602</v>
      </c>
      <c r="AY35" s="290">
        <v>22851.040140638735</v>
      </c>
      <c r="AZ35" s="291">
        <v>26227.600351596837</v>
      </c>
      <c r="BA35" s="291">
        <v>34987.225314972166</v>
      </c>
      <c r="BB35" s="291">
        <v>40631.29211837094</v>
      </c>
      <c r="BC35" s="388">
        <v>900</v>
      </c>
      <c r="BD35" s="389">
        <f>('Cost-Effectiveness Level'!$B$3*AY35)+('Cost-Effectiveness Level'!$C$3*AZ35)+('Cost-Effectiveness Level'!$D$3*BA35)+('Cost-Effectiveness Level'!$E$3*BB35)</f>
        <v>28462.379138587752</v>
      </c>
      <c r="BG35" s="290">
        <v>19486.697919718725</v>
      </c>
      <c r="BH35" s="291">
        <v>22305.039554644012</v>
      </c>
      <c r="BI35" s="291">
        <v>30737.12276589511</v>
      </c>
      <c r="BJ35" s="291">
        <v>35958.39437445063</v>
      </c>
      <c r="BK35" s="388">
        <v>900</v>
      </c>
      <c r="BL35" s="389">
        <f>('Cost-Effectiveness Level'!$B$3*BG35)+('Cost-Effectiveness Level'!$C$3*BH35)+('Cost-Effectiveness Level'!$D$3*BI35)+('Cost-Effectiveness Level'!$E$3*BJ35)</f>
        <v>24532.059771462064</v>
      </c>
    </row>
    <row r="36" spans="1:64" ht="13.5" thickBot="1">
      <c r="A36" s="334" t="s">
        <v>490</v>
      </c>
      <c r="B36" s="326">
        <f>0.018*0.35</f>
        <v>0.006299999999999999</v>
      </c>
      <c r="C36" s="335">
        <v>6800</v>
      </c>
      <c r="D36" s="335">
        <v>10800</v>
      </c>
      <c r="E36" s="335">
        <v>17472</v>
      </c>
      <c r="F36" s="349">
        <f t="shared" si="1"/>
        <v>42.839999999999996</v>
      </c>
      <c r="G36" s="349">
        <f t="shared" si="8"/>
        <v>68.03999999999999</v>
      </c>
      <c r="H36" s="349">
        <f t="shared" si="9"/>
        <v>110.07359999999998</v>
      </c>
      <c r="I36" s="337">
        <v>12.24</v>
      </c>
      <c r="J36" s="337">
        <v>12.24</v>
      </c>
      <c r="K36" s="337">
        <v>12.24</v>
      </c>
      <c r="L36" s="338">
        <v>0.5</v>
      </c>
      <c r="M36" s="454">
        <f>$L36*M5</f>
        <v>425</v>
      </c>
      <c r="N36" s="339">
        <f>$L36*N5</f>
        <v>675</v>
      </c>
      <c r="O36" s="610">
        <f>$L36*O5</f>
        <v>1092</v>
      </c>
      <c r="P36" s="612">
        <f>SUMPRODUCT('Cost-Effectiveness Level'!$I$3:$K$3,M36:O36)</f>
        <v>800.14</v>
      </c>
      <c r="S36" s="378"/>
      <c r="T36" s="595" t="s">
        <v>489</v>
      </c>
      <c r="U36" s="409">
        <v>50.526315789473685</v>
      </c>
      <c r="V36" s="409">
        <v>8.93</v>
      </c>
      <c r="W36" s="332">
        <v>451.2</v>
      </c>
      <c r="X36" s="378"/>
      <c r="Z36" s="595" t="s">
        <v>490</v>
      </c>
      <c r="AA36" s="409">
        <v>55.14705882352941</v>
      </c>
      <c r="AB36" s="409">
        <v>12.24</v>
      </c>
      <c r="AC36" s="332">
        <v>675</v>
      </c>
      <c r="AD36" s="378"/>
      <c r="AE36"/>
      <c r="AF36" s="595" t="s">
        <v>180</v>
      </c>
      <c r="AG36" s="409">
        <v>53.61328125</v>
      </c>
      <c r="AH36" s="409">
        <v>11.2</v>
      </c>
      <c r="AI36" s="332">
        <v>600.46875</v>
      </c>
      <c r="AJ36"/>
      <c r="AQ36" s="290">
        <v>23313.68297685321</v>
      </c>
      <c r="AR36" s="291">
        <v>26737.738060357457</v>
      </c>
      <c r="AS36" s="291">
        <v>35470.72956343393</v>
      </c>
      <c r="AT36" s="291">
        <v>40996.07383533548</v>
      </c>
      <c r="AU36" s="388">
        <v>880</v>
      </c>
      <c r="AV36" s="389">
        <f>('Cost-Effectiveness Level'!$B$3*AQ36)+('Cost-Effectiveness Level'!$C$3*AR36)+('Cost-Effectiveness Level'!$D$3*AS36)+('Cost-Effectiveness Level'!$E$3*AT36)</f>
        <v>28949.091708174627</v>
      </c>
      <c r="AY36" s="290">
        <v>22196.39613243481</v>
      </c>
      <c r="AZ36" s="291">
        <v>25478.552593026667</v>
      </c>
      <c r="BA36" s="291">
        <v>34044.00820392617</v>
      </c>
      <c r="BB36" s="291">
        <v>39552.24142982713</v>
      </c>
      <c r="BC36" s="388">
        <v>880</v>
      </c>
      <c r="BD36" s="389">
        <f>('Cost-Effectiveness Level'!$B$3*AY36)+('Cost-Effectiveness Level'!$C$3*AZ36)+('Cost-Effectiveness Level'!$D$3*BA36)+('Cost-Effectiveness Level'!$E$3*BB36)</f>
        <v>27667.169645473194</v>
      </c>
      <c r="BG36" s="290">
        <v>18867.740990331087</v>
      </c>
      <c r="BH36" s="291">
        <v>21589.51069440375</v>
      </c>
      <c r="BI36" s="291">
        <v>29825.63726926458</v>
      </c>
      <c r="BJ36" s="291">
        <v>34905.332552007036</v>
      </c>
      <c r="BK36" s="388">
        <v>880</v>
      </c>
      <c r="BL36" s="389">
        <f>('Cost-Effectiveness Level'!$B$3*BG36)+('Cost-Effectiveness Level'!$C$3*BH36)+('Cost-Effectiveness Level'!$D$3*BI36)+('Cost-Effectiveness Level'!$E$3*BJ36)</f>
        <v>23769.97949018459</v>
      </c>
    </row>
    <row r="37" spans="20:64" ht="12.75">
      <c r="T37" s="595" t="s">
        <v>180</v>
      </c>
      <c r="U37" s="409">
        <v>53.61328125</v>
      </c>
      <c r="V37" s="409">
        <v>11.2</v>
      </c>
      <c r="W37" s="332">
        <v>600.46875</v>
      </c>
      <c r="X37" s="378"/>
      <c r="Z37" s="595" t="s">
        <v>486</v>
      </c>
      <c r="AA37" s="409">
        <v>60.65613298454515</v>
      </c>
      <c r="AB37" s="409">
        <v>1.215</v>
      </c>
      <c r="AC37" s="332">
        <v>73.69720157622235</v>
      </c>
      <c r="AD37" s="378"/>
      <c r="AE37"/>
      <c r="AF37" s="595" t="s">
        <v>490</v>
      </c>
      <c r="AG37" s="409">
        <v>89.2156862745098</v>
      </c>
      <c r="AH37" s="409">
        <v>12.24</v>
      </c>
      <c r="AI37" s="332">
        <v>1092</v>
      </c>
      <c r="AQ37" s="290">
        <v>22652.827424553183</v>
      </c>
      <c r="AR37" s="291">
        <v>25985.232932903607</v>
      </c>
      <c r="AS37" s="291">
        <v>34522.29709932611</v>
      </c>
      <c r="AT37" s="291">
        <v>39914.532669205975</v>
      </c>
      <c r="AU37" s="388">
        <v>860</v>
      </c>
      <c r="AV37" s="389">
        <f>('Cost-Effectiveness Level'!$B$3*AQ37)+('Cost-Effectiveness Level'!$C$3*AR37)+('Cost-Effectiveness Level'!$D$3*AS37)+('Cost-Effectiveness Level'!$E$3*AT37)</f>
        <v>28149.482859654265</v>
      </c>
      <c r="AY37" s="290">
        <v>21542.68971579256</v>
      </c>
      <c r="AZ37" s="291">
        <v>24730.032229709937</v>
      </c>
      <c r="BA37" s="291">
        <v>33101.464986815125</v>
      </c>
      <c r="BB37" s="291">
        <v>38473.89393495458</v>
      </c>
      <c r="BC37" s="388">
        <v>860</v>
      </c>
      <c r="BD37" s="389">
        <f>('Cost-Effectiveness Level'!$B$3*AY37)+('Cost-Effectiveness Level'!$C$3*AZ37)+('Cost-Effectiveness Level'!$D$3*BA37)+('Cost-Effectiveness Level'!$E$3*BB37)</f>
        <v>26872.615001464994</v>
      </c>
      <c r="BG37" s="290">
        <v>18250.161148549665</v>
      </c>
      <c r="BH37" s="291">
        <v>20875.710518605334</v>
      </c>
      <c r="BI37" s="291">
        <v>28914.737767360097</v>
      </c>
      <c r="BJ37" s="291">
        <v>33851.36243773806</v>
      </c>
      <c r="BK37" s="388">
        <v>860</v>
      </c>
      <c r="BL37" s="389">
        <f>('Cost-Effectiveness Level'!$B$3*BG37)+('Cost-Effectiveness Level'!$C$3*BH37)+('Cost-Effectiveness Level'!$D$3*BI37)+('Cost-Effectiveness Level'!$E$3*BJ37)</f>
        <v>23009.140052739527</v>
      </c>
    </row>
    <row r="38" spans="1:64" ht="12.75">
      <c r="A38" s="396"/>
      <c r="B38" s="391"/>
      <c r="C38" s="392"/>
      <c r="D38" s="392"/>
      <c r="E38" s="393"/>
      <c r="F38" s="394"/>
      <c r="G38" s="394"/>
      <c r="H38" s="394"/>
      <c r="S38" s="5"/>
      <c r="T38" s="5"/>
      <c r="U38" s="5"/>
      <c r="V38" s="5"/>
      <c r="W38" s="5"/>
      <c r="X38" s="5"/>
      <c r="AQ38" s="290">
        <v>21992.5578669792</v>
      </c>
      <c r="AR38" s="291">
        <v>25232.786404922357</v>
      </c>
      <c r="AS38" s="291">
        <v>33574.18693231761</v>
      </c>
      <c r="AT38" s="291">
        <v>38833.69469674773</v>
      </c>
      <c r="AU38" s="388">
        <v>840</v>
      </c>
      <c r="AV38" s="389">
        <f>('Cost-Effectiveness Level'!$B$3*AQ38)+('Cost-Effectiveness Level'!$C$3*AR38)+('Cost-Effectiveness Level'!$D$3*AS38)+('Cost-Effectiveness Level'!$E$3*AT38)</f>
        <v>27350.136243773806</v>
      </c>
      <c r="AY38" s="290">
        <v>20888.63170231468</v>
      </c>
      <c r="AZ38" s="291">
        <v>23981.83416349253</v>
      </c>
      <c r="BA38" s="291">
        <v>32159.419865221218</v>
      </c>
      <c r="BB38" s="291">
        <v>37396.396132434806</v>
      </c>
      <c r="BC38" s="388">
        <v>840</v>
      </c>
      <c r="BD38" s="389">
        <f>('Cost-Effectiveness Level'!$B$3*AY38)+('Cost-Effectiveness Level'!$C$3*AZ38)+('Cost-Effectiveness Level'!$D$3*BA38)+('Cost-Effectiveness Level'!$E$3*BB38)</f>
        <v>26078.31819513625</v>
      </c>
      <c r="BG38" s="290">
        <v>17634.866686199824</v>
      </c>
      <c r="BH38" s="291">
        <v>20165.104014063876</v>
      </c>
      <c r="BI38" s="291">
        <v>28005.42045121594</v>
      </c>
      <c r="BJ38" s="291">
        <v>32797.978318195135</v>
      </c>
      <c r="BK38" s="388">
        <v>840</v>
      </c>
      <c r="BL38" s="389">
        <f>('Cost-Effectiveness Level'!$B$3*BG38)+('Cost-Effectiveness Level'!$C$3*BH38)+('Cost-Effectiveness Level'!$D$3*BI38)+('Cost-Effectiveness Level'!$E$3*BJ38)</f>
        <v>22250.779372985646</v>
      </c>
    </row>
    <row r="39" spans="5:64" ht="13.5" thickBot="1">
      <c r="E39" s="379"/>
      <c r="T39" s="371" t="s">
        <v>438</v>
      </c>
      <c r="AQ39" s="290">
        <v>21333.07940228538</v>
      </c>
      <c r="AR39" s="291">
        <v>24480.60357456783</v>
      </c>
      <c r="AS39" s="291">
        <v>32626.193964254322</v>
      </c>
      <c r="AT39" s="291">
        <v>37753.50131848813</v>
      </c>
      <c r="AU39" s="388">
        <v>820</v>
      </c>
      <c r="AV39" s="389">
        <f>('Cost-Effectiveness Level'!$B$3*AQ39)+('Cost-Effectiveness Level'!$C$3*AR39)+('Cost-Effectiveness Level'!$D$3*AS39)+('Cost-Effectiveness Level'!$E$3*AT39)</f>
        <v>26551.141224728977</v>
      </c>
      <c r="AY39" s="290">
        <v>20235.628479343686</v>
      </c>
      <c r="AZ39" s="291">
        <v>23235.628479343686</v>
      </c>
      <c r="BA39" s="291">
        <v>31218.517433343102</v>
      </c>
      <c r="BB39" s="291">
        <v>36319.748022267806</v>
      </c>
      <c r="BC39" s="388">
        <v>820</v>
      </c>
      <c r="BD39" s="389">
        <f>('Cost-Effectiveness Level'!$B$3*AY39)+('Cost-Effectiveness Level'!$C$3*AZ39)+('Cost-Effectiveness Level'!$D$3*BA39)+('Cost-Effectiveness Level'!$E$3*BB39)</f>
        <v>25285.556694989747</v>
      </c>
      <c r="BG39" s="290">
        <v>17022.502197480226</v>
      </c>
      <c r="BH39" s="291">
        <v>19458.833870495168</v>
      </c>
      <c r="BI39" s="291">
        <v>27099.648403164374</v>
      </c>
      <c r="BJ39" s="291">
        <v>31746.205684148845</v>
      </c>
      <c r="BK39" s="388">
        <v>820</v>
      </c>
      <c r="BL39" s="389">
        <f>('Cost-Effectiveness Level'!$B$3*BG39)+('Cost-Effectiveness Level'!$C$3*BH39)+('Cost-Effectiveness Level'!$D$3*BI39)+('Cost-Effectiveness Level'!$E$3*BJ39)</f>
        <v>21496.139759742167</v>
      </c>
    </row>
    <row r="40" spans="1:64" ht="13.5" thickBot="1">
      <c r="A40" s="742" t="s">
        <v>220</v>
      </c>
      <c r="B40" s="717"/>
      <c r="C40" s="717"/>
      <c r="D40" s="717"/>
      <c r="E40" s="717"/>
      <c r="F40" s="718"/>
      <c r="AQ40" s="290">
        <v>20674.18693231761</v>
      </c>
      <c r="AR40" s="291">
        <v>23728.537943158513</v>
      </c>
      <c r="AS40" s="291">
        <v>31678.25959566364</v>
      </c>
      <c r="AT40" s="291">
        <v>36673.54233811896</v>
      </c>
      <c r="AU40" s="388">
        <v>800</v>
      </c>
      <c r="AV40" s="389">
        <f>('Cost-Effectiveness Level'!$B$3*AQ40)+('Cost-Effectiveness Level'!$C$3*AR40)+('Cost-Effectiveness Level'!$D$3*AS40)+('Cost-Effectiveness Level'!$E$3*AT40)</f>
        <v>25752.348373864636</v>
      </c>
      <c r="AY40" s="290">
        <v>19583.9437445063</v>
      </c>
      <c r="AZ40" s="291">
        <v>22490.624084383242</v>
      </c>
      <c r="BA40" s="291">
        <v>30278.02519777322</v>
      </c>
      <c r="BB40" s="291">
        <v>35242.63111631996</v>
      </c>
      <c r="BC40" s="388">
        <v>800</v>
      </c>
      <c r="BD40" s="389">
        <f>('Cost-Effectiveness Level'!$B$3*AY40)+('Cost-Effectiveness Level'!$C$3*AZ40)+('Cost-Effectiveness Level'!$D$3*BA40)+('Cost-Effectiveness Level'!$E$3*BB40)</f>
        <v>24493.738646352183</v>
      </c>
      <c r="BG40" s="290">
        <v>16411.749194257252</v>
      </c>
      <c r="BH40" s="291">
        <v>18758.482273659538</v>
      </c>
      <c r="BI40" s="291">
        <v>26195.57573981834</v>
      </c>
      <c r="BJ40" s="291">
        <v>30696.952827424553</v>
      </c>
      <c r="BK40" s="388">
        <v>800</v>
      </c>
      <c r="BL40" s="389">
        <f>('Cost-Effectiveness Level'!$B$3*BG40)+('Cost-Effectiveness Level'!$C$3*BH40)+('Cost-Effectiveness Level'!$D$3*BI40)+('Cost-Effectiveness Level'!$E$3*BJ40)</f>
        <v>20745.332552007032</v>
      </c>
    </row>
    <row r="41" spans="1:64" ht="13.5" thickBot="1">
      <c r="A41" s="404" t="s">
        <v>189</v>
      </c>
      <c r="B41" s="406"/>
      <c r="C41" s="441">
        <v>850</v>
      </c>
      <c r="D41" s="441">
        <v>1350</v>
      </c>
      <c r="E41" s="441">
        <v>2184</v>
      </c>
      <c r="F41" s="442">
        <f>SUMPRODUCT('Cost-Effectiveness Level'!$I$3:$K$3,C41:E41)</f>
        <v>1600.28</v>
      </c>
      <c r="AQ41" s="290">
        <v>20016.67154995605</v>
      </c>
      <c r="AR41" s="291">
        <v>22977.52710225608</v>
      </c>
      <c r="AS41" s="291">
        <v>30730.32522707296</v>
      </c>
      <c r="AT41" s="291">
        <v>35594.31585115734</v>
      </c>
      <c r="AU41" s="388">
        <v>780</v>
      </c>
      <c r="AV41" s="389">
        <f>('Cost-Effectiveness Level'!$B$3*AQ41)+('Cost-Effectiveness Level'!$C$3*AR41)+('Cost-Effectiveness Level'!$D$3*AS41)+('Cost-Effectiveness Level'!$E$3*AT41)</f>
        <v>24954.39496044536</v>
      </c>
      <c r="AY41" s="290">
        <v>18933.81189569294</v>
      </c>
      <c r="AZ41" s="291">
        <v>21746.938177556403</v>
      </c>
      <c r="BA41" s="291">
        <v>29337.415763258134</v>
      </c>
      <c r="BB41" s="291">
        <v>34165.748608262526</v>
      </c>
      <c r="BC41" s="388">
        <v>780</v>
      </c>
      <c r="BD41" s="389">
        <f>('Cost-Effectiveness Level'!$B$3*AY41)+('Cost-Effectiveness Level'!$C$3*AZ41)+('Cost-Effectiveness Level'!$D$3*BA41)+('Cost-Effectiveness Level'!$E$3*BB41)</f>
        <v>23702.87283914445</v>
      </c>
      <c r="BG41" s="290">
        <v>15802.168180486377</v>
      </c>
      <c r="BH41" s="291">
        <v>18063.05303252271</v>
      </c>
      <c r="BI41" s="291">
        <v>25296.308233225904</v>
      </c>
      <c r="BJ41" s="291">
        <v>29648.49106358043</v>
      </c>
      <c r="BK41" s="388">
        <v>780</v>
      </c>
      <c r="BL41" s="389">
        <f>('Cost-Effectiveness Level'!$B$3*BG41)+('Cost-Effectiveness Level'!$C$3*BH41)+('Cost-Effectiveness Level'!$D$3*BI41)+('Cost-Effectiveness Level'!$E$3*BJ41)</f>
        <v>19998.461763844127</v>
      </c>
    </row>
    <row r="42" spans="1:64" ht="13.5" thickBot="1">
      <c r="A42" s="399" t="s">
        <v>221</v>
      </c>
      <c r="B42" s="400"/>
      <c r="C42" s="401">
        <f>C6+C8+C19+C26+C30+C32</f>
        <v>1794</v>
      </c>
      <c r="D42" s="401">
        <f>D6+D8+D19+D26+D30+D32</f>
        <v>2550</v>
      </c>
      <c r="E42" s="401">
        <f>E6+E8+E19+E26+E30+E32</f>
        <v>3468</v>
      </c>
      <c r="F42" s="402"/>
      <c r="T42" s="463" t="s">
        <v>213</v>
      </c>
      <c r="Z42" s="463" t="s">
        <v>214</v>
      </c>
      <c r="AF42" s="463" t="s">
        <v>215</v>
      </c>
      <c r="AQ42" s="290">
        <v>19359.419865221214</v>
      </c>
      <c r="AR42" s="291">
        <v>22226.721359507766</v>
      </c>
      <c r="AS42" s="291">
        <v>29782.537357163787</v>
      </c>
      <c r="AT42" s="291">
        <v>34515.49956050396</v>
      </c>
      <c r="AU42" s="388">
        <v>760</v>
      </c>
      <c r="AV42" s="389">
        <f>('Cost-Effectiveness Level'!$B$3*AQ42)+('Cost-Effectiveness Level'!$C$3*AR42)+('Cost-Effectiveness Level'!$D$3*AS42)+('Cost-Effectiveness Level'!$E$3*AT42)</f>
        <v>24156.653970114272</v>
      </c>
      <c r="AY42" s="290">
        <v>18284.705537650163</v>
      </c>
      <c r="AZ42" s="291">
        <v>21004.629358335776</v>
      </c>
      <c r="BA42" s="291">
        <v>28397.773220041025</v>
      </c>
      <c r="BB42" s="291">
        <v>33089.36419572224</v>
      </c>
      <c r="BC42" s="388">
        <v>760</v>
      </c>
      <c r="BD42" s="389">
        <f>('Cost-Effectiveness Level'!$B$3*AY42)+('Cost-Effectiveness Level'!$C$3*AZ42)+('Cost-Effectiveness Level'!$D$3*BA42)+('Cost-Effectiveness Level'!$E$3*BB42)</f>
        <v>22913.16730149429</v>
      </c>
      <c r="BG42" s="290">
        <v>15192.880164078524</v>
      </c>
      <c r="BH42" s="291">
        <v>17371.960152358628</v>
      </c>
      <c r="BI42" s="291">
        <v>24400.23439789042</v>
      </c>
      <c r="BJ42" s="291">
        <v>28606.533841195433</v>
      </c>
      <c r="BK42" s="388">
        <v>760</v>
      </c>
      <c r="BL42" s="389">
        <f>('Cost-Effectiveness Level'!$B$3*BG42)+('Cost-Effectiveness Level'!$C$3*BH42)+('Cost-Effectiveness Level'!$D$3*BI42)+('Cost-Effectiveness Level'!$E$3*BJ42)</f>
        <v>19254.941400527394</v>
      </c>
    </row>
    <row r="43" spans="1:64" ht="39" thickBot="1">
      <c r="A43" s="439" t="s">
        <v>222</v>
      </c>
      <c r="B43" s="403" t="s">
        <v>28</v>
      </c>
      <c r="C43" s="440" t="s">
        <v>223</v>
      </c>
      <c r="D43" s="403" t="s">
        <v>224</v>
      </c>
      <c r="E43" s="403"/>
      <c r="F43" s="455" t="s">
        <v>494</v>
      </c>
      <c r="T43" s="517" t="s">
        <v>57</v>
      </c>
      <c r="U43" s="518" t="s">
        <v>194</v>
      </c>
      <c r="V43" s="518" t="s">
        <v>496</v>
      </c>
      <c r="W43" s="518" t="s">
        <v>502</v>
      </c>
      <c r="X43" s="518" t="s">
        <v>497</v>
      </c>
      <c r="Y43" s="519" t="s">
        <v>475</v>
      </c>
      <c r="Z43" s="517" t="s">
        <v>57</v>
      </c>
      <c r="AA43" s="518" t="s">
        <v>194</v>
      </c>
      <c r="AB43" s="518" t="s">
        <v>496</v>
      </c>
      <c r="AC43" s="518" t="s">
        <v>502</v>
      </c>
      <c r="AD43" s="518" t="s">
        <v>497</v>
      </c>
      <c r="AE43" s="519" t="s">
        <v>475</v>
      </c>
      <c r="AF43" s="628" t="s">
        <v>57</v>
      </c>
      <c r="AG43" s="520" t="s">
        <v>194</v>
      </c>
      <c r="AH43" s="520" t="s">
        <v>496</v>
      </c>
      <c r="AI43" s="520" t="s">
        <v>502</v>
      </c>
      <c r="AJ43" s="520" t="s">
        <v>497</v>
      </c>
      <c r="AK43" s="521" t="s">
        <v>475</v>
      </c>
      <c r="AQ43" s="290">
        <v>18703.34016993847</v>
      </c>
      <c r="AR43" s="291">
        <v>21475.76911807794</v>
      </c>
      <c r="AS43" s="291">
        <v>28834.808086727222</v>
      </c>
      <c r="AT43" s="291">
        <v>33436.302373278646</v>
      </c>
      <c r="AU43" s="388">
        <v>740</v>
      </c>
      <c r="AV43" s="389">
        <f>('Cost-Effectiveness Level'!$B$3*AQ43)+('Cost-Effectiveness Level'!$C$3*AR43)+('Cost-Effectiveness Level'!$D$3*AS43)+('Cost-Effectiveness Level'!$E$3*AT43)</f>
        <v>23359.069733372406</v>
      </c>
      <c r="AY43" s="290">
        <v>17636.77116905948</v>
      </c>
      <c r="AZ43" s="291">
        <v>20262.46703779666</v>
      </c>
      <c r="BA43" s="291">
        <v>27459.419865221214</v>
      </c>
      <c r="BB43" s="291">
        <v>32013.97597421623</v>
      </c>
      <c r="BC43" s="388">
        <v>740</v>
      </c>
      <c r="BD43" s="389">
        <f>('Cost-Effectiveness Level'!$B$3*AY43)+('Cost-Effectiveness Level'!$C$3*AZ43)+('Cost-Effectiveness Level'!$D$3*BA43)+('Cost-Effectiveness Level'!$E$3*BB43)</f>
        <v>22124.141517726344</v>
      </c>
      <c r="BG43" s="290">
        <v>14586.961617345445</v>
      </c>
      <c r="BH43" s="291">
        <v>16683.59214767067</v>
      </c>
      <c r="BI43" s="291">
        <v>23505.215353061823</v>
      </c>
      <c r="BJ43" s="291">
        <v>27570.905361851746</v>
      </c>
      <c r="BK43" s="388">
        <v>740</v>
      </c>
      <c r="BL43" s="389">
        <f>('Cost-Effectiveness Level'!$B$3*BG43)+('Cost-Effectiveness Level'!$C$3*BH43)+('Cost-Effectiveness Level'!$D$3*BI43)+('Cost-Effectiveness Level'!$E$3*BJ43)</f>
        <v>18514.03750366247</v>
      </c>
    </row>
    <row r="44" spans="1:64" ht="12.75">
      <c r="A44" s="404" t="s">
        <v>225</v>
      </c>
      <c r="B44" s="405">
        <f>0.35/0.86</f>
        <v>0.4069767441860465</v>
      </c>
      <c r="C44" s="406">
        <v>7.16</v>
      </c>
      <c r="D44" s="407">
        <f>B44*C44</f>
        <v>2.9139534883720932</v>
      </c>
      <c r="E44" s="406"/>
      <c r="F44" s="408"/>
      <c r="T44" s="514" t="s">
        <v>216</v>
      </c>
      <c r="U44" s="469">
        <f>B77</f>
        <v>530.4635641082923</v>
      </c>
      <c r="V44" s="516">
        <v>0</v>
      </c>
      <c r="W44" s="536">
        <f>SUM(V$44:V44)</f>
        <v>0</v>
      </c>
      <c r="X44" s="469">
        <f aca="true" ca="1" t="shared" si="11" ref="X44:X56">IF(ISNA(INDEX($AU$5:$AV$73,MATCH(U44,$AU$5:$AU$73,0),1)),TREND(OFFSET(INDEX($AU$5:$AV$73,MATCH(U44,$AU$5:$AU$73,-1),2),0,0,2,1),OFFSET(INDEX($AU$5:$AV$73,MATCH(U44,$AU$5:$AU$73,-1),1),0,0,2,1),U44),INDEX($AU$5:$AV$73,MATCH(U44,$AU$5:$AU$73,0),2))</f>
        <v>15070.122043760688</v>
      </c>
      <c r="Y44" s="627"/>
      <c r="Z44" s="514" t="s">
        <v>216</v>
      </c>
      <c r="AA44" s="469">
        <f>C77</f>
        <v>794.2652617599339</v>
      </c>
      <c r="AB44" s="515">
        <v>0</v>
      </c>
      <c r="AC44" s="536">
        <f>SUM(AB$44:AB44)</f>
        <v>0</v>
      </c>
      <c r="AD44" s="469">
        <f aca="true" ca="1" t="shared" si="12" ref="AD44:AD59">IF(ISNA(INDEX($BC$5:$BD$73,MATCH(AA44,$BC$5:$BC$73,0),1)),TREND(OFFSET(INDEX($BC$5:$BD$73,MATCH(AA44,$BC$5:$BC$73,-1),2),0,0,2,1),OFFSET(INDEX($BC$5:$BD$73,MATCH(AA44,$BC$5:$BC$73,-1),1),0,0,2,1),AA44),INDEX($BC$5:$BD$73,MATCH(AA44,$BC$5:$BC$73,0),2))</f>
        <v>24266.96822698453</v>
      </c>
      <c r="AE44" s="462">
        <v>0</v>
      </c>
      <c r="AF44" s="514" t="s">
        <v>216</v>
      </c>
      <c r="AG44" s="469">
        <f>D77</f>
        <v>1221.9496922011876</v>
      </c>
      <c r="AH44" s="515">
        <v>0</v>
      </c>
      <c r="AI44" s="536">
        <f>SUM(AH$44:AH44)</f>
        <v>0</v>
      </c>
      <c r="AJ44" s="469">
        <f aca="true" ca="1" t="shared" si="13" ref="AJ44:AJ58">IF(ISNA(INDEX($BK$5:$BL$73,MATCH(AG44,$BK$5:$BK$73,0),1)),TREND(OFFSET(INDEX($BK$5:$BL$73,MATCH(AG44,$BK$5:$BK$73,-1),2),0,0,2,1),OFFSET(INDEX($BK$5:$BL$73,MATCH(AG44,$BK$5:$BK$73,-1),1),0,0,2,1),AG44),INDEX($BK$5:$BL$73,MATCH(AG44,$BK$5:$BK$73,0),2))</f>
        <v>37023.47317872868</v>
      </c>
      <c r="AK44" s="462">
        <v>0</v>
      </c>
      <c r="AQ44" s="290">
        <v>18047.670670963962</v>
      </c>
      <c r="AR44" s="291">
        <v>20725.520070319366</v>
      </c>
      <c r="AS44" s="291">
        <v>27888.45590389687</v>
      </c>
      <c r="AT44" s="291">
        <v>32357.310284207444</v>
      </c>
      <c r="AU44" s="388">
        <v>720</v>
      </c>
      <c r="AV44" s="389">
        <f>('Cost-Effectiveness Level'!$B$3*AQ44)+('Cost-Effectiveness Level'!$C$3*AR44)+('Cost-Effectiveness Level'!$D$3*AS44)+('Cost-Effectiveness Level'!$E$3*AT44)</f>
        <v>22562.273659537062</v>
      </c>
      <c r="AY44" s="290">
        <v>16993.143861705244</v>
      </c>
      <c r="AZ44" s="291">
        <v>19520.216818048637</v>
      </c>
      <c r="BA44" s="291">
        <v>26522.06270143569</v>
      </c>
      <c r="BB44" s="291">
        <v>30940.287137415766</v>
      </c>
      <c r="BC44" s="388">
        <v>720</v>
      </c>
      <c r="BD44" s="389">
        <f>('Cost-Effectiveness Level'!$B$3*AY44)+('Cost-Effectiveness Level'!$C$3*AZ44)+('Cost-Effectiveness Level'!$D$3*BA44)+('Cost-Effectiveness Level'!$E$3*BB44)</f>
        <v>21336.26721359508</v>
      </c>
      <c r="BG44" s="290">
        <v>13985.672428948139</v>
      </c>
      <c r="BH44" s="291">
        <v>15997.919718722533</v>
      </c>
      <c r="BI44" s="291">
        <v>22611.368297685323</v>
      </c>
      <c r="BJ44" s="291">
        <v>26539.027248754763</v>
      </c>
      <c r="BK44" s="388">
        <v>720</v>
      </c>
      <c r="BL44" s="389">
        <f>('Cost-Effectiveness Level'!$B$3*BG44)+('Cost-Effectiveness Level'!$C$3*BH44)+('Cost-Effectiveness Level'!$D$3*BI44)+('Cost-Effectiveness Level'!$E$3*BJ44)</f>
        <v>17775.887782009962</v>
      </c>
    </row>
    <row r="45" spans="1:64" ht="12.75">
      <c r="A45" s="397" t="s">
        <v>226</v>
      </c>
      <c r="B45" s="113">
        <f>0.17/0.86</f>
        <v>0.19767441860465118</v>
      </c>
      <c r="C45" s="398">
        <v>8.87</v>
      </c>
      <c r="D45" s="409">
        <f>B45*C45</f>
        <v>1.753372093023256</v>
      </c>
      <c r="E45" s="398"/>
      <c r="F45" s="410"/>
      <c r="T45" s="436" t="str">
        <f>T26</f>
        <v>ATTIC R19</v>
      </c>
      <c r="U45" s="329">
        <f>U44-V26</f>
        <v>442.9135641082923</v>
      </c>
      <c r="V45" s="332">
        <f>W26</f>
        <v>732.6936963096837</v>
      </c>
      <c r="W45" s="395">
        <f>SUM(V$44:V45)</f>
        <v>732.6936963096837</v>
      </c>
      <c r="X45" s="329">
        <f ca="1" t="shared" si="11"/>
        <v>11673.324585497672</v>
      </c>
      <c r="Y45" s="423">
        <f aca="true" t="shared" si="14" ref="Y45:Y56">X44-X45</f>
        <v>3396.797458263016</v>
      </c>
      <c r="Z45" s="464" t="str">
        <f>Z23</f>
        <v>VAULT R19</v>
      </c>
      <c r="AA45" s="329">
        <f>AA44-AB23</f>
        <v>742.0202617599339</v>
      </c>
      <c r="AB45" s="332">
        <f>AC23</f>
        <v>349.1069964769669</v>
      </c>
      <c r="AC45" s="395">
        <f>SUM(AB$44:AB45)</f>
        <v>349.1069964769669</v>
      </c>
      <c r="AD45" s="329">
        <f ca="1" t="shared" si="12"/>
        <v>22203.843448653715</v>
      </c>
      <c r="AE45" s="423">
        <f aca="true" t="shared" si="15" ref="AE45:AE59">AD44-AD45</f>
        <v>2063.1247783308136</v>
      </c>
      <c r="AF45" s="436" t="str">
        <f>AF24</f>
        <v>BSMT WALL R11</v>
      </c>
      <c r="AG45" s="329">
        <f>AG44-AH24</f>
        <v>1048.7176922011877</v>
      </c>
      <c r="AH45" s="332">
        <f>AI24</f>
        <v>299.75</v>
      </c>
      <c r="AI45" s="537">
        <f>SUM(AH$44:AH45)</f>
        <v>299.75</v>
      </c>
      <c r="AJ45" s="329">
        <f ca="1" t="shared" si="13"/>
        <v>30263.481404844133</v>
      </c>
      <c r="AK45" s="423">
        <f aca="true" t="shared" si="16" ref="AK45:AK58">AJ44-AJ45</f>
        <v>6759.991773884547</v>
      </c>
      <c r="AQ45" s="290">
        <v>17392.32346908878</v>
      </c>
      <c r="AR45" s="291">
        <v>19975.827717550543</v>
      </c>
      <c r="AS45" s="291">
        <v>26943.09991210079</v>
      </c>
      <c r="AT45" s="291">
        <v>31278.49399355406</v>
      </c>
      <c r="AU45" s="388">
        <v>700</v>
      </c>
      <c r="AV45" s="389">
        <f>('Cost-Effectiveness Level'!$B$3*AQ45)+('Cost-Effectiveness Level'!$C$3*AR45)+('Cost-Effectiveness Level'!$D$3*AS45)+('Cost-Effectiveness Level'!$E$3*AT45)</f>
        <v>21766.07823029593</v>
      </c>
      <c r="AY45" s="290">
        <v>16352.065631409318</v>
      </c>
      <c r="AZ45" s="291">
        <v>18780.01757984178</v>
      </c>
      <c r="BA45" s="291">
        <v>25586.932317609142</v>
      </c>
      <c r="BB45" s="291">
        <v>29868.707881629067</v>
      </c>
      <c r="BC45" s="388">
        <v>700</v>
      </c>
      <c r="BD45" s="389">
        <f>('Cost-Effectiveness Level'!$B$3*AY45)+('Cost-Effectiveness Level'!$C$3*AZ45)+('Cost-Effectiveness Level'!$D$3*BA45)+('Cost-Effectiveness Level'!$E$3*BB45)</f>
        <v>20550.590389686495</v>
      </c>
      <c r="BG45" s="290">
        <v>13389.01259888661</v>
      </c>
      <c r="BH45" s="291">
        <v>15315.44096103135</v>
      </c>
      <c r="BI45" s="291">
        <v>21719.542924113684</v>
      </c>
      <c r="BJ45" s="291">
        <v>25513.507178435397</v>
      </c>
      <c r="BK45" s="388">
        <v>700</v>
      </c>
      <c r="BL45" s="389">
        <f>('Cost-Effectiveness Level'!$B$3*BG45)+('Cost-Effectiveness Level'!$C$3*BH45)+('Cost-Effectiveness Level'!$D$3*BI45)+('Cost-Effectiveness Level'!$E$3*BJ45)</f>
        <v>17041.08409024319</v>
      </c>
    </row>
    <row r="46" spans="1:64" ht="12.75">
      <c r="A46" s="397" t="s">
        <v>227</v>
      </c>
      <c r="B46" s="113">
        <f>0.34/0.86</f>
        <v>0.39534883720930236</v>
      </c>
      <c r="C46" s="398">
        <v>9.96</v>
      </c>
      <c r="D46" s="409">
        <f>B46*C46</f>
        <v>3.9376744186046517</v>
      </c>
      <c r="E46" s="398" t="s">
        <v>228</v>
      </c>
      <c r="F46" s="410"/>
      <c r="T46" s="436" t="str">
        <f aca="true" t="shared" si="17" ref="T46:T56">T27</f>
        <v>FLOOR R11</v>
      </c>
      <c r="U46" s="329">
        <f aca="true" t="shared" si="18" ref="U46:U56">U45-V27</f>
        <v>399.5907257624276</v>
      </c>
      <c r="V46" s="332">
        <f aca="true" t="shared" si="19" ref="V46:V56">W27</f>
        <v>510</v>
      </c>
      <c r="W46" s="395">
        <f>SUM(V$44:V46)</f>
        <v>1242.6936963096837</v>
      </c>
      <c r="X46" s="329">
        <f ca="1" t="shared" si="11"/>
        <v>10015.97907132296</v>
      </c>
      <c r="Y46" s="423">
        <f t="shared" si="14"/>
        <v>1657.3455141747127</v>
      </c>
      <c r="Z46" s="464" t="str">
        <f aca="true" t="shared" si="20" ref="Z46:Z59">Z24</f>
        <v>ATTIC R19</v>
      </c>
      <c r="AA46" s="329">
        <f aca="true" t="shared" si="21" ref="AA46:AA59">AA45-AB24</f>
        <v>644.6852617599338</v>
      </c>
      <c r="AB46" s="332">
        <f aca="true" t="shared" si="22" ref="AB46:AB59">AC24</f>
        <v>814.5829917795894</v>
      </c>
      <c r="AC46" s="395">
        <f>SUM(AB$44:AB46)</f>
        <v>1163.6899882565563</v>
      </c>
      <c r="AD46" s="329">
        <f ca="1" t="shared" si="12"/>
        <v>18387.733439452742</v>
      </c>
      <c r="AE46" s="423">
        <f t="shared" si="15"/>
        <v>3816.110009200973</v>
      </c>
      <c r="AF46" s="436" t="str">
        <f aca="true" t="shared" si="23" ref="AF46:AF58">AF25</f>
        <v>ATTIC R19</v>
      </c>
      <c r="AG46" s="329">
        <f aca="true" t="shared" si="24" ref="AG46:AG58">AG45-AH25</f>
        <v>973.7336922011876</v>
      </c>
      <c r="AH46" s="332">
        <f aca="true" t="shared" si="25" ref="AH46:AH58">AI25</f>
        <v>627.5306010746467</v>
      </c>
      <c r="AI46" s="537">
        <f>SUM(AH$44:AH46)</f>
        <v>927.2806010746467</v>
      </c>
      <c r="AJ46" s="329">
        <f ca="1" t="shared" si="13"/>
        <v>27361.27056905318</v>
      </c>
      <c r="AK46" s="423">
        <f t="shared" si="16"/>
        <v>2902.210835790953</v>
      </c>
      <c r="AQ46" s="290">
        <v>16737.796659830063</v>
      </c>
      <c r="AR46" s="291">
        <v>19226.985057134487</v>
      </c>
      <c r="AS46" s="291">
        <v>25999.44330501026</v>
      </c>
      <c r="AT46" s="291">
        <v>30199.941400527394</v>
      </c>
      <c r="AU46" s="388">
        <v>680</v>
      </c>
      <c r="AV46" s="389">
        <f>('Cost-Effectiveness Level'!$B$3*AQ46)+('Cost-Effectiveness Level'!$C$3*AR46)+('Cost-Effectiveness Level'!$D$3*AS46)+('Cost-Effectiveness Level'!$E$3*AT46)</f>
        <v>20970.90975681219</v>
      </c>
      <c r="AY46" s="290">
        <v>15712.159390565485</v>
      </c>
      <c r="AZ46" s="291">
        <v>18042.279519484327</v>
      </c>
      <c r="BA46" s="291">
        <v>24654.380310577206</v>
      </c>
      <c r="BB46" s="291">
        <v>28798.359214767068</v>
      </c>
      <c r="BC46" s="388">
        <v>680</v>
      </c>
      <c r="BD46" s="389">
        <f>('Cost-Effectiveness Level'!$B$3*AY46)+('Cost-Effectiveness Level'!$C$3*AZ46)+('Cost-Effectiveness Level'!$D$3*BA46)+('Cost-Effectiveness Level'!$E$3*BB46)</f>
        <v>19767.084676237915</v>
      </c>
      <c r="BG46" s="290">
        <v>12792.997363023733</v>
      </c>
      <c r="BH46" s="291">
        <v>14634.485789627894</v>
      </c>
      <c r="BI46" s="291">
        <v>20827.571051860534</v>
      </c>
      <c r="BJ46" s="291">
        <v>24489.59859361266</v>
      </c>
      <c r="BK46" s="388">
        <v>680</v>
      </c>
      <c r="BL46" s="389">
        <f>('Cost-Effectiveness Level'!$B$3*BG46)+('Cost-Effectiveness Level'!$C$3*BH46)+('Cost-Effectiveness Level'!$D$3*BI46)+('Cost-Effectiveness Level'!$E$3*BJ46)</f>
        <v>16307.215060064458</v>
      </c>
    </row>
    <row r="47" spans="1:64" ht="12.75">
      <c r="A47" s="397"/>
      <c r="B47" s="113">
        <f>SUM(B44:B46)</f>
        <v>1</v>
      </c>
      <c r="C47" s="398"/>
      <c r="D47" s="398">
        <f>SUM(D44:D46)</f>
        <v>8.605</v>
      </c>
      <c r="E47" s="325">
        <f>1/D47</f>
        <v>0.11621150493898895</v>
      </c>
      <c r="F47" s="410"/>
      <c r="T47" s="436" t="str">
        <f t="shared" si="17"/>
        <v>WALL R11</v>
      </c>
      <c r="U47" s="329">
        <f t="shared" si="18"/>
        <v>350.68970802919705</v>
      </c>
      <c r="V47" s="332">
        <f t="shared" si="19"/>
        <v>654.118032745393</v>
      </c>
      <c r="W47" s="395">
        <f>SUM(V$44:V47)</f>
        <v>1896.8117290550767</v>
      </c>
      <c r="X47" s="329">
        <f ca="1" t="shared" si="11"/>
        <v>8177.491709880214</v>
      </c>
      <c r="Y47" s="423">
        <f t="shared" si="14"/>
        <v>1838.4873614427452</v>
      </c>
      <c r="Z47" s="464" t="str">
        <f t="shared" si="20"/>
        <v>FLOOR R11</v>
      </c>
      <c r="AA47" s="329">
        <f t="shared" si="21"/>
        <v>575.8784008576782</v>
      </c>
      <c r="AB47" s="332">
        <f t="shared" si="22"/>
        <v>810</v>
      </c>
      <c r="AC47" s="395">
        <f>SUM(AB$44:AB47)</f>
        <v>1973.6899882565563</v>
      </c>
      <c r="AD47" s="329">
        <f ca="1" t="shared" si="12"/>
        <v>15721.566673004208</v>
      </c>
      <c r="AE47" s="423">
        <f t="shared" si="15"/>
        <v>2666.166766448534</v>
      </c>
      <c r="AF47" s="436" t="str">
        <f t="shared" si="23"/>
        <v>FLOOR R11</v>
      </c>
      <c r="AG47" s="329">
        <f t="shared" si="24"/>
        <v>936.6289553590824</v>
      </c>
      <c r="AH47" s="332">
        <f t="shared" si="25"/>
        <v>436.8</v>
      </c>
      <c r="AI47" s="537">
        <f>SUM(AH$44:AH47)</f>
        <v>1364.0806010746467</v>
      </c>
      <c r="AJ47" s="329">
        <f ca="1" t="shared" si="13"/>
        <v>25933.897021270106</v>
      </c>
      <c r="AK47" s="423">
        <f t="shared" si="16"/>
        <v>1427.3735477830742</v>
      </c>
      <c r="AQ47" s="290">
        <v>16084.324641078232</v>
      </c>
      <c r="AR47" s="291">
        <v>18479.37298564313</v>
      </c>
      <c r="AS47" s="291">
        <v>25057.54468209786</v>
      </c>
      <c r="AT47" s="291">
        <v>29122.209200117202</v>
      </c>
      <c r="AU47" s="388">
        <v>660</v>
      </c>
      <c r="AV47" s="389">
        <f>('Cost-Effectiveness Level'!$B$3*AQ47)+('Cost-Effectiveness Level'!$C$3*AR47)+('Cost-Effectiveness Level'!$D$3*AS47)+('Cost-Effectiveness Level'!$E$3*AT47)</f>
        <v>20177.048051567537</v>
      </c>
      <c r="AY47" s="290">
        <v>15073.337239964842</v>
      </c>
      <c r="AZ47" s="291">
        <v>17306.592440668035</v>
      </c>
      <c r="BA47" s="291">
        <v>23723.381189569292</v>
      </c>
      <c r="BB47" s="291">
        <v>27728.450043949604</v>
      </c>
      <c r="BC47" s="388">
        <v>660</v>
      </c>
      <c r="BD47" s="389">
        <f>('Cost-Effectiveness Level'!$B$3*AY47)+('Cost-Effectiveness Level'!$C$3*AZ47)+('Cost-Effectiveness Level'!$D$3*BA47)+('Cost-Effectiveness Level'!$E$3*BB47)</f>
        <v>18985.23146791679</v>
      </c>
      <c r="BG47" s="290">
        <v>12197.919718722533</v>
      </c>
      <c r="BH47" s="291">
        <v>13953.911514796368</v>
      </c>
      <c r="BI47" s="291">
        <v>19938.587752710224</v>
      </c>
      <c r="BJ47" s="291">
        <v>23469.70407266335</v>
      </c>
      <c r="BK47" s="388">
        <v>660</v>
      </c>
      <c r="BL47" s="389">
        <f>('Cost-Effectiveness Level'!$B$3*BG47)+('Cost-Effectiveness Level'!$C$3*BH47)+('Cost-Effectiveness Level'!$D$3*BI47)+('Cost-Effectiveness Level'!$E$3*BJ47)</f>
        <v>15574.671842953414</v>
      </c>
    </row>
    <row r="48" spans="1:64" ht="12.75">
      <c r="A48" s="397" t="s">
        <v>229</v>
      </c>
      <c r="B48" s="398"/>
      <c r="C48" s="325">
        <f>E47</f>
        <v>0.11621150493898895</v>
      </c>
      <c r="D48" s="325">
        <f>E47</f>
        <v>0.11621150493898895</v>
      </c>
      <c r="E48" s="325">
        <f>E47</f>
        <v>0.11621150493898895</v>
      </c>
      <c r="F48" s="410"/>
      <c r="T48" s="436" t="str">
        <f t="shared" si="17"/>
        <v>FLOOR R19</v>
      </c>
      <c r="U48" s="329">
        <f t="shared" si="18"/>
        <v>338.7897080291971</v>
      </c>
      <c r="V48" s="332">
        <f t="shared" si="19"/>
        <v>168.8311330778076</v>
      </c>
      <c r="W48" s="395">
        <f>SUM(V$44:V48)</f>
        <v>2065.642862132884</v>
      </c>
      <c r="X48" s="329">
        <f ca="1" t="shared" si="11"/>
        <v>7735.810539275577</v>
      </c>
      <c r="Y48" s="423">
        <f t="shared" si="14"/>
        <v>441.6811706046374</v>
      </c>
      <c r="Z48" s="464" t="str">
        <f t="shared" si="20"/>
        <v>WALL R11</v>
      </c>
      <c r="AA48" s="329">
        <f t="shared" si="21"/>
        <v>514.8426861313868</v>
      </c>
      <c r="AB48" s="332">
        <f t="shared" si="22"/>
        <v>816.436211241472</v>
      </c>
      <c r="AC48" s="395">
        <f>SUM(AB$44:AB48)</f>
        <v>2790.126199498028</v>
      </c>
      <c r="AD48" s="329">
        <f ca="1" t="shared" si="12"/>
        <v>13385.846534688117</v>
      </c>
      <c r="AE48" s="423">
        <f t="shared" si="15"/>
        <v>2335.720138316092</v>
      </c>
      <c r="AF48" s="436" t="str">
        <f t="shared" si="23"/>
        <v>WALL R11</v>
      </c>
      <c r="AG48" s="329">
        <f t="shared" si="24"/>
        <v>844.8037109489051</v>
      </c>
      <c r="AH48" s="332">
        <f t="shared" si="25"/>
        <v>1228.2883059330159</v>
      </c>
      <c r="AI48" s="537">
        <f>SUM(AH$44:AH48)</f>
        <v>2592.3689070076625</v>
      </c>
      <c r="AJ48" s="329">
        <f ca="1" t="shared" si="13"/>
        <v>22432.926648013134</v>
      </c>
      <c r="AK48" s="423">
        <f t="shared" si="16"/>
        <v>3500.9703732569724</v>
      </c>
      <c r="AQ48" s="290">
        <v>15432.34690887782</v>
      </c>
      <c r="AR48" s="291">
        <v>17733.636097275124</v>
      </c>
      <c r="AS48" s="291">
        <v>24116.319953120423</v>
      </c>
      <c r="AT48" s="291">
        <v>28045.32669205977</v>
      </c>
      <c r="AU48" s="388">
        <v>640</v>
      </c>
      <c r="AV48" s="389">
        <f>('Cost-Effectiveness Level'!$B$3*AQ48)+('Cost-Effectiveness Level'!$C$3*AR48)+('Cost-Effectiveness Level'!$D$3*AS48)+('Cost-Effectiveness Level'!$E$3*AT48)</f>
        <v>19384.63375329622</v>
      </c>
      <c r="AY48" s="290">
        <v>14436.888368004687</v>
      </c>
      <c r="AZ48" s="291">
        <v>16571.98945209493</v>
      </c>
      <c r="BA48" s="291">
        <v>22794.57954878406</v>
      </c>
      <c r="BB48" s="291">
        <v>26658.45297392324</v>
      </c>
      <c r="BC48" s="388">
        <v>640</v>
      </c>
      <c r="BD48" s="389">
        <f>('Cost-Effectiveness Level'!$B$3*AY48)+('Cost-Effectiveness Level'!$C$3*AZ48)+('Cost-Effectiveness Level'!$D$3*BA48)+('Cost-Effectiveness Level'!$E$3*BB48)</f>
        <v>18204.939935540584</v>
      </c>
      <c r="BG48" s="290">
        <v>11606.182244359801</v>
      </c>
      <c r="BH48" s="291">
        <v>13276.325813067682</v>
      </c>
      <c r="BI48" s="291">
        <v>19055.610899501906</v>
      </c>
      <c r="BJ48" s="291">
        <v>22455.493700556697</v>
      </c>
      <c r="BK48" s="388">
        <v>640</v>
      </c>
      <c r="BL48" s="389">
        <f>('Cost-Effectiveness Level'!$B$3*BG48)+('Cost-Effectiveness Level'!$C$3*BH48)+('Cost-Effectiveness Level'!$D$3*BI48)+('Cost-Effectiveness Level'!$E$3*BJ48)</f>
        <v>14846.076765309113</v>
      </c>
    </row>
    <row r="49" spans="1:64" ht="12.75">
      <c r="A49" s="397" t="s">
        <v>230</v>
      </c>
      <c r="B49" s="398"/>
      <c r="C49" s="329">
        <f>C42*C48</f>
        <v>208.48343986054618</v>
      </c>
      <c r="D49" s="329">
        <f>D42*D48</f>
        <v>296.3393375944218</v>
      </c>
      <c r="E49" s="329">
        <f>E42*E48</f>
        <v>403.02149912841367</v>
      </c>
      <c r="F49" s="410"/>
      <c r="T49" s="436" t="str">
        <f t="shared" si="17"/>
        <v>ATTIC R38</v>
      </c>
      <c r="U49" s="329">
        <f t="shared" si="18"/>
        <v>320.93970802919705</v>
      </c>
      <c r="V49" s="332">
        <f t="shared" si="19"/>
        <v>280.8095966433878</v>
      </c>
      <c r="W49" s="395">
        <f>SUM(V$44:V49)</f>
        <v>2346.452458776272</v>
      </c>
      <c r="X49" s="329">
        <f ca="1" t="shared" si="11"/>
        <v>7082.094168047857</v>
      </c>
      <c r="Y49" s="423">
        <f t="shared" si="14"/>
        <v>653.7163712277197</v>
      </c>
      <c r="Z49" s="464" t="str">
        <f t="shared" si="20"/>
        <v>FLOOR R19</v>
      </c>
      <c r="AA49" s="329">
        <f t="shared" si="21"/>
        <v>495.94268613138684</v>
      </c>
      <c r="AB49" s="332">
        <f t="shared" si="22"/>
        <v>268.14356430004733</v>
      </c>
      <c r="AC49" s="395">
        <f>SUM(AB$44:AB49)</f>
        <v>3058.2697637980755</v>
      </c>
      <c r="AD49" s="329">
        <f ca="1" t="shared" si="12"/>
        <v>12668.521952820971</v>
      </c>
      <c r="AE49" s="423">
        <f t="shared" si="15"/>
        <v>717.3245818671458</v>
      </c>
      <c r="AF49" s="436" t="str">
        <f t="shared" si="23"/>
        <v>FLOOR R19</v>
      </c>
      <c r="AG49" s="329">
        <f t="shared" si="24"/>
        <v>834.611710948905</v>
      </c>
      <c r="AH49" s="332">
        <f t="shared" si="25"/>
        <v>144.59889985958108</v>
      </c>
      <c r="AI49" s="537">
        <f>SUM(AH$44:AH49)</f>
        <v>2736.967806867244</v>
      </c>
      <c r="AJ49" s="329">
        <f ca="1" t="shared" si="13"/>
        <v>22047.468554707753</v>
      </c>
      <c r="AK49" s="423">
        <f t="shared" si="16"/>
        <v>385.4580933053803</v>
      </c>
      <c r="AQ49" s="290">
        <v>14782.332259009669</v>
      </c>
      <c r="AR49" s="291">
        <v>16989.59859361266</v>
      </c>
      <c r="AS49" s="291">
        <v>23175.827717550546</v>
      </c>
      <c r="AT49" s="291">
        <v>26969.23527688251</v>
      </c>
      <c r="AU49" s="388">
        <v>620</v>
      </c>
      <c r="AV49" s="389">
        <f>('Cost-Effectiveness Level'!$B$3*AQ49)+('Cost-Effectiveness Level'!$C$3*AR49)+('Cost-Effectiveness Level'!$D$3*AS49)+('Cost-Effectiveness Level'!$E$3*AT49)</f>
        <v>18593.68444184003</v>
      </c>
      <c r="AY49" s="290">
        <v>13804.57075886317</v>
      </c>
      <c r="AZ49" s="291">
        <v>15838.14825666569</v>
      </c>
      <c r="BA49" s="291">
        <v>21870.377966598302</v>
      </c>
      <c r="BB49" s="291">
        <v>25589.569293876357</v>
      </c>
      <c r="BC49" s="388">
        <v>620</v>
      </c>
      <c r="BD49" s="389">
        <f>('Cost-Effectiveness Level'!$B$3*AY49)+('Cost-Effectiveness Level'!$C$3*AZ49)+('Cost-Effectiveness Level'!$D$3*BA49)+('Cost-Effectiveness Level'!$E$3*BB49)</f>
        <v>17427.061236448873</v>
      </c>
      <c r="BG49" s="290">
        <v>11017.491942572517</v>
      </c>
      <c r="BH49" s="291">
        <v>12605.215353061823</v>
      </c>
      <c r="BI49" s="291">
        <v>18178.523293290364</v>
      </c>
      <c r="BJ49" s="291">
        <v>21443.334309991213</v>
      </c>
      <c r="BK49" s="388">
        <v>620</v>
      </c>
      <c r="BL49" s="389">
        <f>('Cost-Effectiveness Level'!$B$3*BG49)+('Cost-Effectiveness Level'!$C$3*BH49)+('Cost-Effectiveness Level'!$D$3*BI49)+('Cost-Effectiveness Level'!$E$3*BJ49)</f>
        <v>14122.903603867568</v>
      </c>
    </row>
    <row r="50" spans="1:64" ht="13.5" thickBot="1">
      <c r="A50" s="397" t="s">
        <v>493</v>
      </c>
      <c r="B50" s="398"/>
      <c r="C50" s="329">
        <f>F35</f>
        <v>55.08</v>
      </c>
      <c r="D50" s="329">
        <f>G35</f>
        <v>87.47999999999999</v>
      </c>
      <c r="E50" s="329">
        <f>H35</f>
        <v>141.5232</v>
      </c>
      <c r="F50" s="411"/>
      <c r="T50" s="436" t="str">
        <f t="shared" si="17"/>
        <v>FLOOR R30</v>
      </c>
      <c r="U50" s="329">
        <f t="shared" si="18"/>
        <v>310.73970802919706</v>
      </c>
      <c r="V50" s="332">
        <f t="shared" si="19"/>
        <v>212.5</v>
      </c>
      <c r="W50" s="395">
        <f>SUM(V$44:V50)</f>
        <v>2558.952458776272</v>
      </c>
      <c r="X50" s="329">
        <f ca="1" t="shared" si="11"/>
        <v>6712.0474634555285</v>
      </c>
      <c r="Y50" s="423">
        <f t="shared" si="14"/>
        <v>370.04670459232875</v>
      </c>
      <c r="Z50" s="464" t="str">
        <f t="shared" si="20"/>
        <v>ATTIC R38</v>
      </c>
      <c r="AA50" s="329">
        <f t="shared" si="21"/>
        <v>476.0976861313868</v>
      </c>
      <c r="AB50" s="332">
        <f t="shared" si="22"/>
        <v>312.1941986211782</v>
      </c>
      <c r="AC50" s="395">
        <f>SUM(AB$44:AB50)</f>
        <v>3370.4639624192537</v>
      </c>
      <c r="AD50" s="329">
        <f ca="1" t="shared" si="12"/>
        <v>11919.344349733467</v>
      </c>
      <c r="AE50" s="423">
        <f t="shared" si="15"/>
        <v>749.1776030875044</v>
      </c>
      <c r="AF50" s="436" t="str">
        <f t="shared" si="23"/>
        <v>ATTIC R38</v>
      </c>
      <c r="AG50" s="329">
        <f t="shared" si="24"/>
        <v>819.323710948905</v>
      </c>
      <c r="AH50" s="332">
        <f t="shared" si="25"/>
        <v>240.50516041927804</v>
      </c>
      <c r="AI50" s="537">
        <f>SUM(AH$44:AH50)</f>
        <v>2977.472967286522</v>
      </c>
      <c r="AJ50" s="329">
        <f ca="1" t="shared" si="13"/>
        <v>21470.751625038796</v>
      </c>
      <c r="AK50" s="423">
        <f t="shared" si="16"/>
        <v>576.7169296689572</v>
      </c>
      <c r="AQ50" s="290">
        <v>14134.016993847057</v>
      </c>
      <c r="AR50" s="291">
        <v>16246.9088778201</v>
      </c>
      <c r="AS50" s="291">
        <v>22236.62467037797</v>
      </c>
      <c r="AT50" s="291">
        <v>25894.550249047763</v>
      </c>
      <c r="AU50" s="388">
        <v>600</v>
      </c>
      <c r="AV50" s="389">
        <f>('Cost-Effectiveness Level'!$B$3*AQ50)+('Cost-Effectiveness Level'!$C$3*AR50)+('Cost-Effectiveness Level'!$D$3*AS50)+('Cost-Effectiveness Level'!$E$3*AT50)</f>
        <v>17804.14151772634</v>
      </c>
      <c r="AY50" s="290">
        <v>13175.417521242309</v>
      </c>
      <c r="AZ50" s="291">
        <v>15108.233225900969</v>
      </c>
      <c r="BA50" s="291">
        <v>20947.582771755056</v>
      </c>
      <c r="BB50" s="291">
        <v>24521.71110460006</v>
      </c>
      <c r="BC50" s="388">
        <v>600</v>
      </c>
      <c r="BD50" s="389">
        <f>('Cost-Effectiveness Level'!$B$3*AY50)+('Cost-Effectiveness Level'!$C$3*AZ50)+('Cost-Effectiveness Level'!$D$3*BA50)+('Cost-Effectiveness Level'!$E$3*BB50)</f>
        <v>16652.181365367713</v>
      </c>
      <c r="BG50" s="290">
        <v>10433.138001757985</v>
      </c>
      <c r="BH50" s="291">
        <v>11942.631116319953</v>
      </c>
      <c r="BI50" s="291">
        <v>17309.317316144155</v>
      </c>
      <c r="BJ50" s="291">
        <v>20437.972458247878</v>
      </c>
      <c r="BK50" s="388">
        <v>600</v>
      </c>
      <c r="BL50" s="389">
        <f>('Cost-Effectiveness Level'!$B$3*BG50)+('Cost-Effectiveness Level'!$C$3*BH50)+('Cost-Effectiveness Level'!$D$3*BI50)+('Cost-Effectiveness Level'!$E$3*BJ50)</f>
        <v>13407.171110460007</v>
      </c>
    </row>
    <row r="51" spans="1:64" ht="13.5" thickBot="1">
      <c r="A51" s="397" t="s">
        <v>231</v>
      </c>
      <c r="B51" s="398"/>
      <c r="C51" s="329">
        <f>C49+C50</f>
        <v>263.56343986054617</v>
      </c>
      <c r="D51" s="329">
        <f>D49+D50</f>
        <v>383.81933759442177</v>
      </c>
      <c r="E51" s="329">
        <f>E49+E50</f>
        <v>544.5446991284136</v>
      </c>
      <c r="F51" s="370">
        <f>SUMPRODUCT('Cost-Effectiveness Level'!$I$3:$K$3,C51:E51)</f>
        <v>427.27280989192326</v>
      </c>
      <c r="T51" s="436" t="str">
        <f t="shared" si="17"/>
        <v>CLASS 35 PRIME WINDOW (Energy Star)</v>
      </c>
      <c r="U51" s="329">
        <f t="shared" si="18"/>
        <v>239.77999999999997</v>
      </c>
      <c r="V51" s="332">
        <f t="shared" si="19"/>
        <v>1505.1622909598884</v>
      </c>
      <c r="W51" s="395">
        <f>SUM(V$44:V51)</f>
        <v>4064.114749736161</v>
      </c>
      <c r="X51" s="329">
        <f ca="1" t="shared" si="11"/>
        <v>4209.98841488426</v>
      </c>
      <c r="Y51" s="423">
        <f t="shared" si="14"/>
        <v>2502.0590485712682</v>
      </c>
      <c r="Z51" s="464" t="str">
        <f t="shared" si="20"/>
        <v>VAULT R38</v>
      </c>
      <c r="AA51" s="329">
        <f t="shared" si="21"/>
        <v>468.8076861313868</v>
      </c>
      <c r="AB51" s="332">
        <f t="shared" si="22"/>
        <v>133.79751369479067</v>
      </c>
      <c r="AC51" s="395">
        <f>SUM(AB$44:AB51)</f>
        <v>3504.2614761140444</v>
      </c>
      <c r="AD51" s="329">
        <f ca="1" t="shared" si="12"/>
        <v>11645.49570264886</v>
      </c>
      <c r="AE51" s="423">
        <f t="shared" si="15"/>
        <v>273.84864708460736</v>
      </c>
      <c r="AF51" s="436" t="str">
        <f t="shared" si="23"/>
        <v>FLOOR R30</v>
      </c>
      <c r="AG51" s="329">
        <f t="shared" si="24"/>
        <v>810.587710948905</v>
      </c>
      <c r="AH51" s="332">
        <f t="shared" si="25"/>
        <v>182</v>
      </c>
      <c r="AI51" s="537">
        <f>SUM(AH$44:AH51)</f>
        <v>3159.472967286522</v>
      </c>
      <c r="AJ51" s="329">
        <f ca="1" t="shared" si="13"/>
        <v>21142.79903669976</v>
      </c>
      <c r="AK51" s="423">
        <f t="shared" si="16"/>
        <v>327.9525883390379</v>
      </c>
      <c r="AQ51" s="290">
        <v>13486.610020509817</v>
      </c>
      <c r="AR51" s="291">
        <v>15505.068854380312</v>
      </c>
      <c r="AS51" s="291">
        <v>21299.179607383536</v>
      </c>
      <c r="AT51" s="291">
        <v>24819.63082332259</v>
      </c>
      <c r="AU51" s="388">
        <v>580</v>
      </c>
      <c r="AV51" s="389">
        <f>('Cost-Effectiveness Level'!$B$3*AQ51)+('Cost-Effectiveness Level'!$C$3*AR51)+('Cost-Effectiveness Level'!$D$3*AS51)+('Cost-Effectiveness Level'!$E$3*AT51)</f>
        <v>17015.632874304134</v>
      </c>
      <c r="AY51" s="290">
        <v>12547.377673600937</v>
      </c>
      <c r="AZ51" s="291">
        <v>14382.390858482275</v>
      </c>
      <c r="BA51" s="291">
        <v>20026.54556108995</v>
      </c>
      <c r="BB51" s="291">
        <v>23454.995605039556</v>
      </c>
      <c r="BC51" s="388">
        <v>580</v>
      </c>
      <c r="BD51" s="389">
        <f>('Cost-Effectiveness Level'!$B$3*AY51)+('Cost-Effectiveness Level'!$C$3*AZ51)+('Cost-Effectiveness Level'!$D$3*BA51)+('Cost-Effectiveness Level'!$E$3*BB51)</f>
        <v>15880.05713448579</v>
      </c>
      <c r="BG51" s="290">
        <v>9853.0911221799</v>
      </c>
      <c r="BH51" s="291">
        <v>11289.012598886611</v>
      </c>
      <c r="BI51" s="291">
        <v>16446.76237913859</v>
      </c>
      <c r="BJ51" s="291">
        <v>19440.785232932903</v>
      </c>
      <c r="BK51" s="388">
        <v>580</v>
      </c>
      <c r="BL51" s="389">
        <f>('Cost-Effectiveness Level'!$B$3*BG51)+('Cost-Effectiveness Level'!$C$3*BH51)+('Cost-Effectiveness Level'!$D$3*BI51)+('Cost-Effectiveness Level'!$E$3*BJ51)</f>
        <v>12698.854380310579</v>
      </c>
    </row>
    <row r="52" spans="1:64" ht="13.5" thickBot="1">
      <c r="A52" s="413" t="s">
        <v>232</v>
      </c>
      <c r="B52" s="414"/>
      <c r="C52" s="415">
        <f ca="1">IF(ISNA(INDEX($AU$5:$AV$73,MATCH(C51,$AU$5:$AU$73,0),1)),TREND(OFFSET(INDEX($AU$5:$AV$73,MATCH(C51,$AU$5:$AU$73,-1),2),0,0,2,1),OFFSET(INDEX($AU$5:$AV$73,MATCH(C51,$AU$5:$AU$73,-1),1),0,0,2,1),C51),INDEX($AU$5:$AV$73,MATCH(C51,$AU$5:$AU$73,0),2))</f>
        <v>5031.598641532442</v>
      </c>
      <c r="D52" s="415">
        <f ca="1">IF(ISNA(INDEX($BC$5:$BD$73,MATCH(D51,$BC$5:$BC$73,0),1)),TREND(OFFSET(INDEX($BC$5:$BD$73,MATCH(D51,$BC$5:$BC$73,-1),2),0,0,2,1),OFFSET(INDEX($BC$5:$BD$73,MATCH(D51,$BC$5:$BC$73,-1),1),0,0,2,1),D51),INDEX($BC$5:$BD$73,MATCH(D51,$BC$5:$BC$73,0),2))</f>
        <v>8510.736469371552</v>
      </c>
      <c r="E52" s="415">
        <f ca="1">IF(ISNA(INDEX($BK$5:$BL$73,MATCH(E51,$BK$5:$BK$73,0),1)),TREND(OFFSET(INDEX($BK$5:$BL$73,MATCH(E51,$BK$5:$BK$73,-1),2),0,0,2,1),OFFSET(INDEX($BK$5:$BL$73,MATCH(E51,$BK$5:$BK$73,-1),1),0,0,2,1),E51),INDEX($BK$5:$BL$73,MATCH(E51,$BK$5:$BK$73,0),2))</f>
        <v>11458.039821386814</v>
      </c>
      <c r="F52" s="370">
        <f>SUMPRODUCT('Cost-Effectiveness Level'!$I$3:$K$3,C52:E52)</f>
        <v>9052.77631165014</v>
      </c>
      <c r="T52" s="436" t="str">
        <f t="shared" si="17"/>
        <v>FLOOR R38</v>
      </c>
      <c r="U52" s="329">
        <f t="shared" si="18"/>
        <v>236.37999999999997</v>
      </c>
      <c r="V52" s="332">
        <f t="shared" si="19"/>
        <v>110.5</v>
      </c>
      <c r="W52" s="395">
        <f>SUM(V$44:V52)</f>
        <v>4174.614749736161</v>
      </c>
      <c r="X52" s="329">
        <f ca="1" t="shared" si="11"/>
        <v>4095.51909170817</v>
      </c>
      <c r="Y52" s="423">
        <f t="shared" si="14"/>
        <v>114.46932317609026</v>
      </c>
      <c r="Z52" s="464" t="str">
        <f t="shared" si="20"/>
        <v>FLOOR R30</v>
      </c>
      <c r="AA52" s="329">
        <f t="shared" si="21"/>
        <v>452.6076861313868</v>
      </c>
      <c r="AB52" s="332">
        <f t="shared" si="22"/>
        <v>337.5</v>
      </c>
      <c r="AC52" s="395">
        <f>SUM(AB$44:AB52)</f>
        <v>3841.7614761140444</v>
      </c>
      <c r="AD52" s="329">
        <f ca="1" t="shared" si="12"/>
        <v>11041.438538111588</v>
      </c>
      <c r="AE52" s="423">
        <f t="shared" si="15"/>
        <v>604.0571645372711</v>
      </c>
      <c r="AF52" s="436" t="str">
        <f t="shared" si="23"/>
        <v>CLASS 35 PRIME WINDOW (Energy Star)</v>
      </c>
      <c r="AG52" s="329">
        <f t="shared" si="24"/>
        <v>572.7972</v>
      </c>
      <c r="AH52" s="332">
        <f t="shared" si="25"/>
        <v>5043.894911195371</v>
      </c>
      <c r="AI52" s="537">
        <f>SUM(AH$44:AH52)</f>
        <v>8203.367878481893</v>
      </c>
      <c r="AJ52" s="329">
        <f ca="1" t="shared" si="13"/>
        <v>12445.988194198644</v>
      </c>
      <c r="AK52" s="423">
        <f t="shared" si="16"/>
        <v>8696.810842501114</v>
      </c>
      <c r="AQ52" s="290">
        <v>12841.664225021976</v>
      </c>
      <c r="AR52" s="291">
        <v>14764.693817755642</v>
      </c>
      <c r="AS52" s="291">
        <v>20362.261939642543</v>
      </c>
      <c r="AT52" s="291">
        <v>23745.150893641956</v>
      </c>
      <c r="AU52" s="388">
        <v>560</v>
      </c>
      <c r="AV52" s="389">
        <f>('Cost-Effectiveness Level'!$B$3*AQ52)+('Cost-Effectiveness Level'!$C$3*AR52)+('Cost-Effectiveness Level'!$D$3*AS52)+('Cost-Effectiveness Level'!$E$3*AT52)</f>
        <v>16228.50278347495</v>
      </c>
      <c r="AY52" s="290">
        <v>11919.455024904775</v>
      </c>
      <c r="AZ52" s="291">
        <v>13660.474655728098</v>
      </c>
      <c r="BA52" s="291">
        <v>19109.14151772634</v>
      </c>
      <c r="BB52" s="291">
        <v>22391.415177263403</v>
      </c>
      <c r="BC52" s="388">
        <v>560</v>
      </c>
      <c r="BD52" s="389">
        <f>('Cost-Effectiveness Level'!$B$3*AY52)+('Cost-Effectiveness Level'!$C$3*AZ52)+('Cost-Effectiveness Level'!$D$3*BA52)+('Cost-Effectiveness Level'!$E$3*BB52)</f>
        <v>15110.98447113976</v>
      </c>
      <c r="BG52" s="290">
        <v>9273.981834163493</v>
      </c>
      <c r="BH52" s="291">
        <v>10644.389100498098</v>
      </c>
      <c r="BI52" s="291">
        <v>15588.51450336947</v>
      </c>
      <c r="BJ52" s="291">
        <v>18452.036331673018</v>
      </c>
      <c r="BK52" s="388">
        <v>560</v>
      </c>
      <c r="BL52" s="389">
        <f>('Cost-Effectiveness Level'!$B$3*BG52)+('Cost-Effectiveness Level'!$C$3*BH52)+('Cost-Effectiveness Level'!$D$3*BI52)+('Cost-Effectiveness Level'!$E$3*BJ52)</f>
        <v>11996.721359507765</v>
      </c>
    </row>
    <row r="53" spans="20:64" ht="12.75">
      <c r="T53" s="436" t="str">
        <f t="shared" si="17"/>
        <v>INFILTRATION @ O.35 ACH</v>
      </c>
      <c r="U53" s="329">
        <f t="shared" si="18"/>
        <v>224.13999999999996</v>
      </c>
      <c r="V53" s="332">
        <f t="shared" si="19"/>
        <v>425</v>
      </c>
      <c r="W53" s="395">
        <f>SUM(V$44:V53)</f>
        <v>4599.614749736161</v>
      </c>
      <c r="X53" s="329">
        <f ca="1" t="shared" si="11"/>
        <v>3683.429528274247</v>
      </c>
      <c r="Y53" s="423">
        <f t="shared" si="14"/>
        <v>412.0895634339231</v>
      </c>
      <c r="Z53" s="464" t="str">
        <f t="shared" si="20"/>
        <v>CLASS 35 PRIME WINDOW (Energy Star)</v>
      </c>
      <c r="AA53" s="329">
        <f t="shared" si="21"/>
        <v>340.1289999999999</v>
      </c>
      <c r="AB53" s="332">
        <f t="shared" si="22"/>
        <v>2385.8423548193973</v>
      </c>
      <c r="AC53" s="395">
        <f>SUM(AB$44:AB53)</f>
        <v>6227.603830933442</v>
      </c>
      <c r="AD53" s="329">
        <f ca="1" t="shared" si="12"/>
        <v>6946.747809844722</v>
      </c>
      <c r="AE53" s="423">
        <f t="shared" si="15"/>
        <v>4094.6907282668662</v>
      </c>
      <c r="AF53" s="436" t="str">
        <f t="shared" si="23"/>
        <v>BSMT WALL R21</v>
      </c>
      <c r="AG53" s="329">
        <f t="shared" si="24"/>
        <v>554.0052</v>
      </c>
      <c r="AH53" s="332">
        <f t="shared" si="25"/>
        <v>406.08</v>
      </c>
      <c r="AI53" s="537">
        <f>SUM(AH$44:AH53)</f>
        <v>8609.447878481893</v>
      </c>
      <c r="AJ53" s="329">
        <f ca="1" t="shared" si="13"/>
        <v>11787.77763776742</v>
      </c>
      <c r="AK53" s="423">
        <f t="shared" si="16"/>
        <v>658.2105564312242</v>
      </c>
      <c r="AQ53" s="290">
        <v>12200.11719894521</v>
      </c>
      <c r="AR53" s="291">
        <v>14026.28186346323</v>
      </c>
      <c r="AS53" s="291">
        <v>19426.926457661884</v>
      </c>
      <c r="AT53" s="291">
        <v>22672.223849985352</v>
      </c>
      <c r="AU53" s="388">
        <v>540</v>
      </c>
      <c r="AV53" s="389">
        <f>('Cost-Effectiveness Level'!$B$3*AQ53)+('Cost-Effectiveness Level'!$C$3*AR53)+('Cost-Effectiveness Level'!$D$3*AS53)+('Cost-Effectiveness Level'!$E$3*AT53)</f>
        <v>15443.507178435395</v>
      </c>
      <c r="AY53" s="290">
        <v>11294.403750366248</v>
      </c>
      <c r="AZ53" s="291">
        <v>12941.781423967186</v>
      </c>
      <c r="BA53" s="291">
        <v>18194.90184588339</v>
      </c>
      <c r="BB53" s="291">
        <v>21329.35833577498</v>
      </c>
      <c r="BC53" s="388">
        <v>540</v>
      </c>
      <c r="BD53" s="389">
        <f>('Cost-Effectiveness Level'!$B$3*AY53)+('Cost-Effectiveness Level'!$C$3*AZ53)+('Cost-Effectiveness Level'!$D$3*BA53)+('Cost-Effectiveness Level'!$E$3*BB53)</f>
        <v>14344.96484031644</v>
      </c>
      <c r="BG53" s="290">
        <v>8703.838265455612</v>
      </c>
      <c r="BH53" s="291">
        <v>10003.603867565193</v>
      </c>
      <c r="BI53" s="291">
        <v>14732.610606504542</v>
      </c>
      <c r="BJ53" s="291">
        <v>17478.318195136246</v>
      </c>
      <c r="BK53" s="388">
        <v>540</v>
      </c>
      <c r="BL53" s="389">
        <f>('Cost-Effectiveness Level'!$B$3*BG53)+('Cost-Effectiveness Level'!$C$3*BH53)+('Cost-Effectiveness Level'!$D$3*BI53)+('Cost-Effectiveness Level'!$E$3*BJ53)</f>
        <v>11299.638148256665</v>
      </c>
    </row>
    <row r="54" spans="1:64" ht="13.5" thickBot="1">
      <c r="A54"/>
      <c r="B54"/>
      <c r="C54"/>
      <c r="D54"/>
      <c r="E54"/>
      <c r="F54"/>
      <c r="T54" s="436" t="str">
        <f t="shared" si="17"/>
        <v>ATTIC R49</v>
      </c>
      <c r="U54" s="329">
        <f t="shared" si="18"/>
        <v>219.88999999999996</v>
      </c>
      <c r="V54" s="332">
        <f t="shared" si="19"/>
        <v>154.67313911059014</v>
      </c>
      <c r="W54" s="395">
        <f>SUM(V$44:V54)</f>
        <v>4754.287888846751</v>
      </c>
      <c r="X54" s="329">
        <f ca="1" t="shared" si="11"/>
        <v>3540.4634698212762</v>
      </c>
      <c r="Y54" s="423">
        <f t="shared" si="14"/>
        <v>142.96605845297063</v>
      </c>
      <c r="Z54" s="464" t="str">
        <f t="shared" si="20"/>
        <v>FLOOR R38</v>
      </c>
      <c r="AA54" s="329">
        <f t="shared" si="21"/>
        <v>334.7289999999999</v>
      </c>
      <c r="AB54" s="332">
        <f t="shared" si="22"/>
        <v>175.5</v>
      </c>
      <c r="AC54" s="395">
        <f>SUM(AB$44:AB54)</f>
        <v>6403.103830933442</v>
      </c>
      <c r="AD54" s="329">
        <f ca="1" t="shared" si="12"/>
        <v>6757.040577644302</v>
      </c>
      <c r="AE54" s="423">
        <f t="shared" si="15"/>
        <v>189.70723220041964</v>
      </c>
      <c r="AF54" s="436" t="str">
        <f t="shared" si="23"/>
        <v>FLOOR R38</v>
      </c>
      <c r="AG54" s="329">
        <f t="shared" si="24"/>
        <v>551.0931999999999</v>
      </c>
      <c r="AH54" s="332">
        <f t="shared" si="25"/>
        <v>94.64</v>
      </c>
      <c r="AI54" s="537">
        <f>SUM(AH$44:AH54)</f>
        <v>8704.087878481892</v>
      </c>
      <c r="AJ54" s="329">
        <f ca="1" t="shared" si="13"/>
        <v>11686.282322209212</v>
      </c>
      <c r="AK54" s="423">
        <f t="shared" si="16"/>
        <v>101.49531555820795</v>
      </c>
      <c r="AQ54" s="290">
        <v>11561.08995019045</v>
      </c>
      <c r="AR54" s="291">
        <v>13289.51069440375</v>
      </c>
      <c r="AS54" s="291">
        <v>18493.261060650457</v>
      </c>
      <c r="AT54" s="291">
        <v>21602.959273366538</v>
      </c>
      <c r="AU54" s="388">
        <v>520</v>
      </c>
      <c r="AV54" s="389">
        <f>('Cost-Effectiveness Level'!$B$3*AQ54)+('Cost-Effectiveness Level'!$C$3*AR54)+('Cost-Effectiveness Level'!$D$3*AS54)+('Cost-Effectiveness Level'!$E$3*AT54)</f>
        <v>14660.436566070906</v>
      </c>
      <c r="AY54" s="290">
        <v>10672.780544975096</v>
      </c>
      <c r="AZ54" s="291">
        <v>12225.725168473486</v>
      </c>
      <c r="BA54" s="291">
        <v>17283.79724582479</v>
      </c>
      <c r="BB54" s="291">
        <v>20268.766481101673</v>
      </c>
      <c r="BC54" s="388">
        <v>520</v>
      </c>
      <c r="BD54" s="389">
        <f>('Cost-Effectiveness Level'!$B$3*AY54)+('Cost-Effectiveness Level'!$C$3*AZ54)+('Cost-Effectiveness Level'!$D$3*BA54)+('Cost-Effectiveness Level'!$E$3*BB54)</f>
        <v>13581.806328743043</v>
      </c>
      <c r="BG54" s="290">
        <v>8143.158511573396</v>
      </c>
      <c r="BH54" s="291">
        <v>9368.825080574275</v>
      </c>
      <c r="BI54" s="291">
        <v>13885.965426311164</v>
      </c>
      <c r="BJ54" s="291">
        <v>16512.276589510697</v>
      </c>
      <c r="BK54" s="388">
        <v>520</v>
      </c>
      <c r="BL54" s="389">
        <f>('Cost-Effectiveness Level'!$B$3*BG54)+('Cost-Effectiveness Level'!$C$3*BH54)+('Cost-Effectiveness Level'!$D$3*BI54)+('Cost-Effectiveness Level'!$E$3*BJ54)</f>
        <v>10610.149428655142</v>
      </c>
    </row>
    <row r="55" spans="1:64" ht="13.5" thickBot="1">
      <c r="A55" s="742" t="s">
        <v>562</v>
      </c>
      <c r="B55" s="717"/>
      <c r="C55" s="717"/>
      <c r="D55" s="718"/>
      <c r="E55" s="742" t="s">
        <v>546</v>
      </c>
      <c r="F55" s="717"/>
      <c r="G55" s="717"/>
      <c r="H55" s="718"/>
      <c r="I55" s="742" t="s">
        <v>547</v>
      </c>
      <c r="J55" s="717"/>
      <c r="K55" s="717"/>
      <c r="L55" s="718"/>
      <c r="M55" s="742" t="s">
        <v>549</v>
      </c>
      <c r="N55" s="717"/>
      <c r="O55" s="717"/>
      <c r="P55" s="718"/>
      <c r="T55" s="436" t="str">
        <f t="shared" si="17"/>
        <v>CLASS 25 PRIME WINDOW </v>
      </c>
      <c r="U55" s="329">
        <f t="shared" si="18"/>
        <v>210.95999999999995</v>
      </c>
      <c r="V55" s="332">
        <f t="shared" si="19"/>
        <v>451.2</v>
      </c>
      <c r="W55" s="395">
        <f>SUM(V$44:V55)</f>
        <v>5205.487888846751</v>
      </c>
      <c r="X55" s="329">
        <f ca="1" t="shared" si="11"/>
        <v>3249.603322590095</v>
      </c>
      <c r="Y55" s="423">
        <f t="shared" si="14"/>
        <v>290.86014723118114</v>
      </c>
      <c r="Z55" s="464" t="str">
        <f t="shared" si="20"/>
        <v>ATTIC R49</v>
      </c>
      <c r="AA55" s="329">
        <f t="shared" si="21"/>
        <v>330.0039999999999</v>
      </c>
      <c r="AB55" s="332">
        <f t="shared" si="22"/>
        <v>171.9601370111855</v>
      </c>
      <c r="AC55" s="395">
        <f>SUM(AB$44:AB55)</f>
        <v>6575.063967944628</v>
      </c>
      <c r="AD55" s="329">
        <f ca="1" t="shared" si="12"/>
        <v>6591.100045121591</v>
      </c>
      <c r="AE55" s="423">
        <f t="shared" si="15"/>
        <v>165.94053252271078</v>
      </c>
      <c r="AF55" s="436" t="str">
        <f t="shared" si="23"/>
        <v>ATTIC R49</v>
      </c>
      <c r="AG55" s="329">
        <f t="shared" si="24"/>
        <v>547.4531999999999</v>
      </c>
      <c r="AH55" s="332">
        <f t="shared" si="25"/>
        <v>132.47299443824662</v>
      </c>
      <c r="AI55" s="537">
        <f>SUM(AH$44:AH55)</f>
        <v>8836.56087292014</v>
      </c>
      <c r="AJ55" s="329">
        <f ca="1" t="shared" si="13"/>
        <v>11559.413177761457</v>
      </c>
      <c r="AK55" s="423">
        <f t="shared" si="16"/>
        <v>126.86914444775539</v>
      </c>
      <c r="AQ55" s="290">
        <v>10925.109874011136</v>
      </c>
      <c r="AR55" s="291">
        <v>12555.376501611487</v>
      </c>
      <c r="AS55" s="291">
        <v>17561.08995019045</v>
      </c>
      <c r="AT55" s="291">
        <v>20535.980076179316</v>
      </c>
      <c r="AU55" s="388">
        <v>500</v>
      </c>
      <c r="AV55" s="389">
        <f>('Cost-Effectiveness Level'!$B$3*AQ55)+('Cost-Effectiveness Level'!$C$3*AR55)+('Cost-Effectiveness Level'!$D$3*AS55)+('Cost-Effectiveness Level'!$E$3*AT55)</f>
        <v>13879.78171696455</v>
      </c>
      <c r="AY55" s="290">
        <v>10052.915323762087</v>
      </c>
      <c r="AZ55" s="291">
        <v>11513.712276589513</v>
      </c>
      <c r="BA55" s="291">
        <v>16375.388221506006</v>
      </c>
      <c r="BB55" s="291">
        <v>19211.807793729855</v>
      </c>
      <c r="BC55" s="388">
        <v>500</v>
      </c>
      <c r="BD55" s="389">
        <f>('Cost-Effectiveness Level'!$B$3*AY55)+('Cost-Effectiveness Level'!$C$3*AZ55)+('Cost-Effectiveness Level'!$D$3*BA55)+('Cost-Effectiveness Level'!$E$3*BB55)</f>
        <v>12821.876648110168</v>
      </c>
      <c r="BG55" s="290">
        <v>7590.448285965427</v>
      </c>
      <c r="BH55" s="291">
        <v>8739.26164664518</v>
      </c>
      <c r="BI55" s="291">
        <v>13046.498681511866</v>
      </c>
      <c r="BJ55" s="291">
        <v>15553.970114268972</v>
      </c>
      <c r="BK55" s="388">
        <v>500</v>
      </c>
      <c r="BL55" s="389">
        <f>('Cost-Effectiveness Level'!$B$3*BG55)+('Cost-Effectiveness Level'!$C$3*BH55)+('Cost-Effectiveness Level'!$D$3*BI55)+('Cost-Effectiveness Level'!$E$3*BJ55)</f>
        <v>9927.04365660709</v>
      </c>
    </row>
    <row r="56" spans="1:64" ht="51">
      <c r="A56" s="566" t="s">
        <v>540</v>
      </c>
      <c r="B56" s="567" t="s">
        <v>536</v>
      </c>
      <c r="C56" s="565" t="s">
        <v>537</v>
      </c>
      <c r="D56" s="565" t="s">
        <v>538</v>
      </c>
      <c r="E56" s="567">
        <v>850</v>
      </c>
      <c r="F56" s="567">
        <v>1350</v>
      </c>
      <c r="G56" s="567">
        <v>2184</v>
      </c>
      <c r="H56" s="568">
        <f>F41</f>
        <v>1600.28</v>
      </c>
      <c r="I56" s="567">
        <v>850</v>
      </c>
      <c r="J56" s="567">
        <v>1350</v>
      </c>
      <c r="K56" s="567">
        <v>2184</v>
      </c>
      <c r="L56" s="568">
        <f>H56</f>
        <v>1600.28</v>
      </c>
      <c r="M56" s="567">
        <v>850</v>
      </c>
      <c r="N56" s="567">
        <v>1350</v>
      </c>
      <c r="O56" s="567">
        <v>2184</v>
      </c>
      <c r="P56" s="568">
        <f>L56</f>
        <v>1600.28</v>
      </c>
      <c r="T56" s="436" t="str">
        <f t="shared" si="17"/>
        <v>DOOR R5</v>
      </c>
      <c r="U56" s="329">
        <f t="shared" si="18"/>
        <v>199.75999999999996</v>
      </c>
      <c r="V56" s="332">
        <f t="shared" si="19"/>
        <v>600.46875</v>
      </c>
      <c r="W56" s="395">
        <f>SUM(V$44:V56)</f>
        <v>5805.956638846751</v>
      </c>
      <c r="X56" s="329">
        <f ca="1" t="shared" si="11"/>
        <v>2885.0533313800197</v>
      </c>
      <c r="Y56" s="423">
        <f t="shared" si="14"/>
        <v>364.5499912100754</v>
      </c>
      <c r="Z56" s="464" t="str">
        <f t="shared" si="20"/>
        <v>CLASS 25 PRIME WINDOW </v>
      </c>
      <c r="AA56" s="329">
        <f t="shared" si="21"/>
        <v>315.84899999999993</v>
      </c>
      <c r="AB56" s="332">
        <f t="shared" si="22"/>
        <v>715.2</v>
      </c>
      <c r="AC56" s="395">
        <f>SUM(AB$44:AB56)</f>
        <v>7290.263967944627</v>
      </c>
      <c r="AD56" s="329">
        <f ca="1" t="shared" si="12"/>
        <v>6096.665673600949</v>
      </c>
      <c r="AE56" s="423">
        <f t="shared" si="15"/>
        <v>494.43437152064234</v>
      </c>
      <c r="AF56" s="436" t="str">
        <f t="shared" si="23"/>
        <v>CLASS 25 PRIME WINDOW </v>
      </c>
      <c r="AG56" s="329">
        <f t="shared" si="24"/>
        <v>517.5282</v>
      </c>
      <c r="AH56" s="332">
        <f t="shared" si="25"/>
        <v>1512</v>
      </c>
      <c r="AI56" s="537">
        <f>SUM(AH$44:AH56)</f>
        <v>10348.56087292014</v>
      </c>
      <c r="AJ56" s="329">
        <f ca="1" t="shared" si="13"/>
        <v>10525.724386287766</v>
      </c>
      <c r="AK56" s="423">
        <f t="shared" si="16"/>
        <v>1033.6887914736908</v>
      </c>
      <c r="AQ56" s="290">
        <v>10291.97187225315</v>
      </c>
      <c r="AR56" s="291">
        <v>11823.058892469968</v>
      </c>
      <c r="AS56" s="291">
        <v>16632.58130676824</v>
      </c>
      <c r="AT56" s="291">
        <v>19468.85438031058</v>
      </c>
      <c r="AU56" s="388">
        <v>480</v>
      </c>
      <c r="AV56" s="389">
        <f>('Cost-Effectiveness Level'!$B$3*AQ56)+('Cost-Effectiveness Level'!$C$3*AR56)+('Cost-Effectiveness Level'!$D$3*AS56)+('Cost-Effectiveness Level'!$E$3*AT56)</f>
        <v>13101.511866393203</v>
      </c>
      <c r="AY56" s="290">
        <v>9435.745678288897</v>
      </c>
      <c r="AZ56" s="291">
        <v>10805.156753589219</v>
      </c>
      <c r="BA56" s="291">
        <v>15472.546147084679</v>
      </c>
      <c r="BB56" s="291">
        <v>18161.412247289776</v>
      </c>
      <c r="BC56" s="388">
        <v>480</v>
      </c>
      <c r="BD56" s="389">
        <f>('Cost-Effectiveness Level'!$B$3*AY56)+('Cost-Effectiveness Level'!$C$3*AZ56)+('Cost-Effectiveness Level'!$D$3*BA56)+('Cost-Effectiveness Level'!$E$3*BB56)</f>
        <v>12065.934661588048</v>
      </c>
      <c r="BG56" s="290">
        <v>7045.941986522122</v>
      </c>
      <c r="BH56" s="291">
        <v>8114.825666569001</v>
      </c>
      <c r="BI56" s="291">
        <v>12207.412833284501</v>
      </c>
      <c r="BJ56" s="291">
        <v>14599.355405801349</v>
      </c>
      <c r="BK56" s="388">
        <v>480</v>
      </c>
      <c r="BL56" s="389">
        <f>('Cost-Effectiveness Level'!$B$3*BG56)+('Cost-Effectiveness Level'!$C$3*BH56)+('Cost-Effectiveness Level'!$D$3*BI56)+('Cost-Effectiveness Level'!$E$3*BJ56)</f>
        <v>9248.422209200118</v>
      </c>
    </row>
    <row r="57" spans="1:64" ht="12.75">
      <c r="A57" s="564" t="s">
        <v>529</v>
      </c>
      <c r="B57" s="113">
        <f>'ResWX Base Case'!A53</f>
        <v>0.05662447889271396</v>
      </c>
      <c r="C57" s="325">
        <f>B8</f>
        <v>0.163</v>
      </c>
      <c r="D57" s="325">
        <v>0.06</v>
      </c>
      <c r="E57" s="302">
        <f aca="true" t="shared" si="26" ref="E57:G58">$B57*$C57*C8</f>
        <v>7.84532155058552</v>
      </c>
      <c r="F57" s="302">
        <f t="shared" si="26"/>
        <v>8.722151606239196</v>
      </c>
      <c r="G57" s="302">
        <f t="shared" si="26"/>
        <v>6.71928716332501</v>
      </c>
      <c r="H57" s="302">
        <f>SUMPRODUCT('Cost-Effectiveness Level'!$I$3:$K$3,E57:G57)</f>
        <v>7.705582529084502</v>
      </c>
      <c r="I57" s="302">
        <f aca="true" t="shared" si="27" ref="I57:K58">$B57*$D57*C8</f>
        <v>2.887848423528412</v>
      </c>
      <c r="J57" s="302">
        <f t="shared" si="27"/>
        <v>3.2106079532168814</v>
      </c>
      <c r="K57" s="302">
        <f t="shared" si="27"/>
        <v>2.4733572380337456</v>
      </c>
      <c r="L57" s="302">
        <f>SUMPRODUCT('Cost-Effectiveness Level'!$I$3:$K$3,I57:K57)</f>
        <v>2.8364107469022706</v>
      </c>
      <c r="M57" s="329">
        <f aca="true" t="shared" si="28" ref="M57:M63">E57-I57</f>
        <v>4.957473127057108</v>
      </c>
      <c r="N57" s="329">
        <f aca="true" t="shared" si="29" ref="N57:N63">F57-J57</f>
        <v>5.511543653022315</v>
      </c>
      <c r="O57" s="329">
        <f aca="true" t="shared" si="30" ref="O57:O63">G57-K57</f>
        <v>4.245929925291264</v>
      </c>
      <c r="P57" s="302">
        <f>SUMPRODUCT('Cost-Effectiveness Level'!$I$3:$K$3,M57:O57)</f>
        <v>4.8691717821822325</v>
      </c>
      <c r="T57"/>
      <c r="U57"/>
      <c r="V57"/>
      <c r="W57"/>
      <c r="X57"/>
      <c r="Y57"/>
      <c r="Z57" s="464" t="str">
        <f t="shared" si="20"/>
        <v>DOOR R5</v>
      </c>
      <c r="AA57" s="329">
        <f t="shared" si="21"/>
        <v>304.64899999999994</v>
      </c>
      <c r="AB57" s="332">
        <f t="shared" si="22"/>
        <v>600.46875</v>
      </c>
      <c r="AC57" s="395">
        <f>SUM(AB$44:AB57)</f>
        <v>7890.732717944627</v>
      </c>
      <c r="AD57" s="329">
        <f ca="1" t="shared" si="12"/>
        <v>5710.569218869011</v>
      </c>
      <c r="AE57" s="423">
        <f t="shared" si="15"/>
        <v>386.09645473193814</v>
      </c>
      <c r="AF57" s="436" t="str">
        <f t="shared" si="23"/>
        <v>DOOR R5</v>
      </c>
      <c r="AG57" s="329">
        <f t="shared" si="24"/>
        <v>506.3282</v>
      </c>
      <c r="AH57" s="332">
        <f t="shared" si="25"/>
        <v>600.46875</v>
      </c>
      <c r="AI57" s="537">
        <f>SUM(AH$44:AH57)</f>
        <v>10949.02962292014</v>
      </c>
      <c r="AJ57" s="329">
        <f ca="1" t="shared" si="13"/>
        <v>10143.185153940794</v>
      </c>
      <c r="AK57" s="423">
        <f t="shared" si="16"/>
        <v>382.5392323469714</v>
      </c>
      <c r="AQ57" s="290">
        <v>9663.08233225901</v>
      </c>
      <c r="AR57" s="291">
        <v>11094.696747729271</v>
      </c>
      <c r="AS57" s="291">
        <v>15707.793729856432</v>
      </c>
      <c r="AT57" s="291">
        <v>18402.69557573982</v>
      </c>
      <c r="AU57" s="388">
        <v>460</v>
      </c>
      <c r="AV57" s="389">
        <f>('Cost-Effectiveness Level'!$B$3*AQ57)+('Cost-Effectiveness Level'!$C$3*AR57)+('Cost-Effectiveness Level'!$D$3*AS57)+('Cost-Effectiveness Level'!$E$3*AT57)</f>
        <v>12327.048051567535</v>
      </c>
      <c r="AY57" s="290">
        <v>8823.996484031644</v>
      </c>
      <c r="AZ57" s="291">
        <v>10102.021681804863</v>
      </c>
      <c r="BA57" s="291">
        <v>14572.458247875771</v>
      </c>
      <c r="BB57" s="291">
        <v>17114.210372106652</v>
      </c>
      <c r="BC57" s="388">
        <v>460</v>
      </c>
      <c r="BD57" s="389">
        <f>('Cost-Effectiveness Level'!$B$3*AY57)+('Cost-Effectiveness Level'!$C$3*AZ57)+('Cost-Effectiveness Level'!$D$3*BA57)+('Cost-Effectiveness Level'!$E$3*BB57)</f>
        <v>11314.635218283036</v>
      </c>
      <c r="BG57" s="290">
        <v>6506.797538822151</v>
      </c>
      <c r="BH57" s="291">
        <v>7501.201289188397</v>
      </c>
      <c r="BI57" s="291">
        <v>11372.546147084677</v>
      </c>
      <c r="BJ57" s="291">
        <v>13655.464400820392</v>
      </c>
      <c r="BK57" s="388">
        <v>460</v>
      </c>
      <c r="BL57" s="389">
        <f>('Cost-Effectiveness Level'!$B$3*BG57)+('Cost-Effectiveness Level'!$C$3*BH57)+('Cost-Effectiveness Level'!$D$3*BI57)+('Cost-Effectiveness Level'!$E$3*BJ57)</f>
        <v>8577.869909170817</v>
      </c>
    </row>
    <row r="58" spans="1:64" ht="12.75">
      <c r="A58" s="564" t="s">
        <v>530</v>
      </c>
      <c r="B58" s="113">
        <f>'ResWX Base Case'!A54</f>
        <v>0.27965005436564294</v>
      </c>
      <c r="C58" s="325">
        <f>B10</f>
        <v>0.06</v>
      </c>
      <c r="D58" s="325">
        <v>0.039</v>
      </c>
      <c r="E58" s="302">
        <f t="shared" si="26"/>
        <v>14.26215277264779</v>
      </c>
      <c r="F58" s="302">
        <f t="shared" si="26"/>
        <v>15.856158082531953</v>
      </c>
      <c r="G58" s="302">
        <f t="shared" si="26"/>
        <v>12.215114374691282</v>
      </c>
      <c r="H58" s="302">
        <f>SUMPRODUCT('Cost-Effectiveness Level'!$I$3:$K$3,E58:G58)</f>
        <v>14.008118663262039</v>
      </c>
      <c r="I58" s="302">
        <f t="shared" si="27"/>
        <v>9.270399302221064</v>
      </c>
      <c r="J58" s="302">
        <f t="shared" si="27"/>
        <v>10.306502753645772</v>
      </c>
      <c r="K58" s="302">
        <f t="shared" si="27"/>
        <v>7.939824343549335</v>
      </c>
      <c r="L58" s="302">
        <f>SUMPRODUCT('Cost-Effectiveness Level'!$I$3:$K$3,I58:K58)</f>
        <v>9.105277131120328</v>
      </c>
      <c r="M58" s="329">
        <f t="shared" si="28"/>
        <v>4.991753470426726</v>
      </c>
      <c r="N58" s="329">
        <f t="shared" si="29"/>
        <v>5.549655328886182</v>
      </c>
      <c r="O58" s="329">
        <f t="shared" si="30"/>
        <v>4.275290031141947</v>
      </c>
      <c r="P58" s="302">
        <f>SUMPRODUCT('Cost-Effectiveness Level'!$I$3:$K$3,M58:O58)</f>
        <v>4.902841532141712</v>
      </c>
      <c r="T58"/>
      <c r="U58"/>
      <c r="V58"/>
      <c r="W58"/>
      <c r="X58"/>
      <c r="Y58"/>
      <c r="Z58" s="464" t="str">
        <f t="shared" si="20"/>
        <v>INFILTRATION @ O.35 ACH</v>
      </c>
      <c r="AA58" s="329">
        <f t="shared" si="21"/>
        <v>292.40899999999993</v>
      </c>
      <c r="AB58" s="332">
        <f t="shared" si="22"/>
        <v>675</v>
      </c>
      <c r="AC58" s="395">
        <f>SUM(AB$44:AB58)</f>
        <v>8565.732717944627</v>
      </c>
      <c r="AD58" s="329">
        <f ca="1" t="shared" si="12"/>
        <v>5294.44931716964</v>
      </c>
      <c r="AE58" s="423">
        <f t="shared" si="15"/>
        <v>416.11990169937053</v>
      </c>
      <c r="AF58" s="436" t="str">
        <f t="shared" si="23"/>
        <v>INFILTRATION @ O.35 ACH</v>
      </c>
      <c r="AG58" s="329">
        <f t="shared" si="24"/>
        <v>494.0882</v>
      </c>
      <c r="AH58" s="332">
        <f t="shared" si="25"/>
        <v>1092</v>
      </c>
      <c r="AI58" s="537">
        <f>SUM(AH$44:AH58)</f>
        <v>12041.02962292014</v>
      </c>
      <c r="AJ58" s="329">
        <f ca="1" t="shared" si="13"/>
        <v>9726.449942968047</v>
      </c>
      <c r="AK58" s="423">
        <f t="shared" si="16"/>
        <v>416.73521097274715</v>
      </c>
      <c r="AQ58" s="290">
        <v>7799.12100791093</v>
      </c>
      <c r="AR58" s="291">
        <v>8942.71901552886</v>
      </c>
      <c r="AS58" s="291">
        <v>12957.222384998535</v>
      </c>
      <c r="AT58" s="291">
        <v>15219.425725168474</v>
      </c>
      <c r="AU58" s="388">
        <v>400</v>
      </c>
      <c r="AV58" s="389">
        <f>('Cost-Effectiveness Level'!$B$3*AQ58)+('Cost-Effectiveness Level'!$C$3*AR58)+('Cost-Effectiveness Level'!$D$3*AS58)+('Cost-Effectiveness Level'!$E$3*AT58)</f>
        <v>10031.460591854673</v>
      </c>
      <c r="AY58" s="290">
        <v>7023.703486668621</v>
      </c>
      <c r="AZ58" s="291">
        <v>8037.210665104015</v>
      </c>
      <c r="BA58" s="291">
        <v>11894.726047465572</v>
      </c>
      <c r="BB58" s="291">
        <v>14003.92616466452</v>
      </c>
      <c r="BC58" s="388">
        <v>400</v>
      </c>
      <c r="BD58" s="389">
        <f>('Cost-Effectiveness Level'!$B$3*AY58)+('Cost-Effectiveness Level'!$C$3*AZ58)+('Cost-Effectiveness Level'!$D$3*BA58)+('Cost-Effectiveness Level'!$E$3*BB58)</f>
        <v>9097.22384998535</v>
      </c>
      <c r="BG58" s="290">
        <v>4917.2868444184005</v>
      </c>
      <c r="BH58" s="291">
        <v>5716.759449164958</v>
      </c>
      <c r="BI58" s="291">
        <v>8927.981248168768</v>
      </c>
      <c r="BJ58" s="291">
        <v>10853.0911221799</v>
      </c>
      <c r="BK58" s="388">
        <v>400</v>
      </c>
      <c r="BL58" s="389">
        <f>('Cost-Effectiveness Level'!$B$3*BG58)+('Cost-Effectiveness Level'!$C$3*BH58)+('Cost-Effectiveness Level'!$D$3*BI58)+('Cost-Effectiveness Level'!$E$3*BJ58)</f>
        <v>6616.4869616173455</v>
      </c>
    </row>
    <row r="59" spans="1:64" ht="12.75">
      <c r="A59" s="564" t="s">
        <v>531</v>
      </c>
      <c r="B59" s="113">
        <f>'ResWX Base Case'!A55</f>
        <v>0.21133978395883135</v>
      </c>
      <c r="C59" s="325">
        <f>B20</f>
        <v>0.10596804511278195</v>
      </c>
      <c r="D59" s="325">
        <v>0.041</v>
      </c>
      <c r="E59" s="302">
        <f aca="true" t="shared" si="31" ref="E59:G60">$B59*$C59*C20</f>
        <v>19.035974196573775</v>
      </c>
      <c r="F59" s="302">
        <f t="shared" si="31"/>
        <v>30.233606076911293</v>
      </c>
      <c r="G59" s="302">
        <f t="shared" si="31"/>
        <v>16.303752017771423</v>
      </c>
      <c r="H59" s="302">
        <f>SUMPRODUCT('Cost-Effectiveness Level'!$I$3:$K$3,E59:G59)</f>
        <v>22.143540996005044</v>
      </c>
      <c r="I59" s="302">
        <f aca="true" t="shared" si="32" ref="I59:K60">$B59*$D59*C20</f>
        <v>7.365191470965273</v>
      </c>
      <c r="J59" s="302">
        <f t="shared" si="32"/>
        <v>11.697657042121318</v>
      </c>
      <c r="K59" s="302">
        <f t="shared" si="32"/>
        <v>6.308069871603199</v>
      </c>
      <c r="L59" s="302">
        <f>SUMPRODUCT('Cost-Effectiveness Level'!$I$3:$K$3,I59:K59)</f>
        <v>8.5675373162725</v>
      </c>
      <c r="M59" s="329">
        <f t="shared" si="28"/>
        <v>11.670782725608502</v>
      </c>
      <c r="N59" s="329">
        <f t="shared" si="29"/>
        <v>18.535949034789976</v>
      </c>
      <c r="O59" s="329">
        <f t="shared" si="30"/>
        <v>9.995682146168225</v>
      </c>
      <c r="P59" s="302">
        <f>SUMPRODUCT('Cost-Effectiveness Level'!$I$3:$K$3,M59:O59)</f>
        <v>13.576003679732544</v>
      </c>
      <c r="Z59" s="464" t="str">
        <f t="shared" si="20"/>
        <v>VAULT R49</v>
      </c>
      <c r="AA59" s="329">
        <f t="shared" si="21"/>
        <v>291.19399999999996</v>
      </c>
      <c r="AB59" s="332">
        <f t="shared" si="22"/>
        <v>73.69720157622235</v>
      </c>
      <c r="AC59" s="395">
        <f>SUM(AB$44:AB59)</f>
        <v>8639.42991952085</v>
      </c>
      <c r="AD59" s="329">
        <f ca="1" t="shared" si="12"/>
        <v>5253.49762291239</v>
      </c>
      <c r="AE59" s="423">
        <f t="shared" si="15"/>
        <v>40.95169425724998</v>
      </c>
      <c r="AF59"/>
      <c r="AG59"/>
      <c r="AH59"/>
      <c r="AI59"/>
      <c r="AJ59"/>
      <c r="AK59"/>
      <c r="AQ59" s="290">
        <v>7186.229123937885</v>
      </c>
      <c r="AR59" s="291">
        <v>8234.573688836801</v>
      </c>
      <c r="AS59" s="291">
        <v>12048.696161734544</v>
      </c>
      <c r="AT59" s="291">
        <v>14164.371520656316</v>
      </c>
      <c r="AU59" s="388">
        <v>380</v>
      </c>
      <c r="AV59" s="389">
        <f>('Cost-Effectiveness Level'!$B$3*AQ59)+('Cost-Effectiveness Level'!$C$3*AR59)+('Cost-Effectiveness Level'!$D$3*AS59)+('Cost-Effectiveness Level'!$E$3*AT59)</f>
        <v>9274.925285672429</v>
      </c>
      <c r="AY59" s="290">
        <v>6434.4857896278945</v>
      </c>
      <c r="AZ59" s="291">
        <v>7366.070905361853</v>
      </c>
      <c r="BA59" s="291">
        <v>11013.155581599767</v>
      </c>
      <c r="BB59" s="291">
        <v>12981.570465865807</v>
      </c>
      <c r="BC59" s="388">
        <v>380</v>
      </c>
      <c r="BD59" s="389">
        <f>('Cost-Effectiveness Level'!$B$3*AY59)+('Cost-Effectiveness Level'!$C$3*AZ59)+('Cost-Effectiveness Level'!$D$3*BA59)+('Cost-Effectiveness Level'!$E$3*BB59)</f>
        <v>8372.300029299739</v>
      </c>
      <c r="BG59" s="290">
        <v>4396.278933489599</v>
      </c>
      <c r="BH59" s="291">
        <v>5145.238792850865</v>
      </c>
      <c r="BI59" s="291">
        <v>8132.815704658658</v>
      </c>
      <c r="BJ59" s="291">
        <v>9932.639906240844</v>
      </c>
      <c r="BK59" s="388">
        <v>380</v>
      </c>
      <c r="BL59" s="389">
        <f>('Cost-Effectiveness Level'!$B$3*BG59)+('Cost-Effectiveness Level'!$C$3*BH59)+('Cost-Effectiveness Level'!$D$3*BI59)+('Cost-Effectiveness Level'!$E$3*BJ59)</f>
        <v>5981.711104600059</v>
      </c>
    </row>
    <row r="60" spans="1:64" ht="12.75">
      <c r="A60" s="564" t="s">
        <v>532</v>
      </c>
      <c r="B60" s="113">
        <f>'ResWX Base Case'!A56</f>
        <v>0.05567381247519047</v>
      </c>
      <c r="C60" s="325">
        <f>B22</f>
        <v>0.041</v>
      </c>
      <c r="D60" s="325">
        <v>0.029</v>
      </c>
      <c r="E60" s="302">
        <f t="shared" si="31"/>
        <v>1.940232364760388</v>
      </c>
      <c r="F60" s="302">
        <f t="shared" si="31"/>
        <v>3.0815455205017925</v>
      </c>
      <c r="G60" s="302">
        <f t="shared" si="31"/>
        <v>1.6617519547594852</v>
      </c>
      <c r="H60" s="302">
        <f>SUMPRODUCT('Cost-Effectiveness Level'!$I$3:$K$3,E60:G60)</f>
        <v>2.2569695917417425</v>
      </c>
      <c r="I60" s="302">
        <f t="shared" si="32"/>
        <v>1.3723594775134453</v>
      </c>
      <c r="J60" s="302">
        <f t="shared" si="32"/>
        <v>2.179629758403707</v>
      </c>
      <c r="K60" s="302">
        <f t="shared" si="32"/>
        <v>1.1753855289762214</v>
      </c>
      <c r="L60" s="302">
        <f>SUMPRODUCT('Cost-Effectiveness Level'!$I$3:$K$3,I60:K60)</f>
        <v>1.5963931258661108</v>
      </c>
      <c r="M60" s="329">
        <f t="shared" si="28"/>
        <v>0.5678728872469427</v>
      </c>
      <c r="N60" s="329">
        <f t="shared" si="29"/>
        <v>0.9019157620980853</v>
      </c>
      <c r="O60" s="329">
        <f t="shared" si="30"/>
        <v>0.48636642578326383</v>
      </c>
      <c r="P60" s="302">
        <f>SUMPRODUCT('Cost-Effectiveness Level'!$I$3:$K$3,M60:O60)</f>
        <v>0.6605764658756317</v>
      </c>
      <c r="U60" s="539"/>
      <c r="Z60"/>
      <c r="AA60"/>
      <c r="AB60"/>
      <c r="AC60"/>
      <c r="AD60"/>
      <c r="AE60"/>
      <c r="AF60"/>
      <c r="AG60"/>
      <c r="AH60"/>
      <c r="AI60"/>
      <c r="AJ60"/>
      <c r="AK60"/>
      <c r="AQ60" s="290">
        <v>6576.560210958101</v>
      </c>
      <c r="AR60" s="291">
        <v>7532.053911514798</v>
      </c>
      <c r="AS60" s="291">
        <v>11146.02988573103</v>
      </c>
      <c r="AT60" s="291">
        <v>13114.532669205979</v>
      </c>
      <c r="AU60" s="388">
        <v>360</v>
      </c>
      <c r="AV60" s="389">
        <f>('Cost-Effectiveness Level'!$B$3*AQ60)+('Cost-Effectiveness Level'!$C$3*AR60)+('Cost-Effectiveness Level'!$D$3*AS60)+('Cost-Effectiveness Level'!$E$3*AT60)</f>
        <v>8523.573102842076</v>
      </c>
      <c r="AY60" s="290">
        <v>5854.175212423088</v>
      </c>
      <c r="AZ60" s="291">
        <v>6702.138880750074</v>
      </c>
      <c r="BA60" s="291">
        <v>10134.866686199826</v>
      </c>
      <c r="BB60" s="291">
        <v>11967.447992968064</v>
      </c>
      <c r="BC60" s="388">
        <v>360</v>
      </c>
      <c r="BD60" s="389">
        <f>('Cost-Effectiveness Level'!$B$3*AY60)+('Cost-Effectiveness Level'!$C$3*AZ60)+('Cost-Effectiveness Level'!$D$3*BA60)+('Cost-Effectiveness Level'!$E$3*BB60)</f>
        <v>7653.9935540580145</v>
      </c>
      <c r="BG60" s="290">
        <v>3883.357749780252</v>
      </c>
      <c r="BH60" s="291">
        <v>4585.877527102257</v>
      </c>
      <c r="BI60" s="291">
        <v>7349.428655142104</v>
      </c>
      <c r="BJ60" s="291">
        <v>9024.787576911807</v>
      </c>
      <c r="BK60" s="388">
        <v>360</v>
      </c>
      <c r="BL60" s="389">
        <f>('Cost-Effectiveness Level'!$B$3*BG60)+('Cost-Effectiveness Level'!$C$3*BH60)+('Cost-Effectiveness Level'!$D$3*BI60)+('Cost-Effectiveness Level'!$E$3*BJ60)</f>
        <v>5358.206856138295</v>
      </c>
    </row>
    <row r="61" spans="1:64" ht="12.75">
      <c r="A61" s="564" t="s">
        <v>533</v>
      </c>
      <c r="B61" s="113">
        <f>'ResWX Base Case'!A57</f>
        <v>0.16708669998201614</v>
      </c>
      <c r="C61" s="325">
        <f>B6</f>
        <v>0.1543716268311488</v>
      </c>
      <c r="D61" s="325">
        <v>0.094</v>
      </c>
      <c r="E61" s="302">
        <f>$B61*$C61*C6</f>
        <v>20.89269101543825</v>
      </c>
      <c r="F61" s="302">
        <f>$B61*$C61*D6</f>
        <v>26.0771736007507</v>
      </c>
      <c r="G61" s="302">
        <f>$B61*$C61*E6</f>
        <v>39.23183090676738</v>
      </c>
      <c r="H61" s="302">
        <f>SUMPRODUCT('Cost-Effectiveness Level'!$I$3:$K$3,E61:G61)</f>
        <v>30.565233152215214</v>
      </c>
      <c r="I61" s="302">
        <f>$B61*$D61*C6</f>
        <v>12.72198133663071</v>
      </c>
      <c r="J61" s="302">
        <f>$B61*$D61*D6</f>
        <v>15.878917446090924</v>
      </c>
      <c r="K61" s="302">
        <f>$B61*$D61*E6</f>
        <v>23.889053843228776</v>
      </c>
      <c r="L61" s="302">
        <f>SUMPRODUCT('Cost-Effectiveness Level'!$I$3:$K$3,I61:K61)</f>
        <v>18.611787510996777</v>
      </c>
      <c r="M61" s="329">
        <f t="shared" si="28"/>
        <v>8.170709678807539</v>
      </c>
      <c r="N61" s="329">
        <f t="shared" si="29"/>
        <v>10.198256154659777</v>
      </c>
      <c r="O61" s="329">
        <f t="shared" si="30"/>
        <v>15.342777063538602</v>
      </c>
      <c r="P61" s="302">
        <f>SUMPRODUCT('Cost-Effectiveness Level'!$I$3:$K$3,M61:O61)</f>
        <v>11.953445641218437</v>
      </c>
      <c r="Z61"/>
      <c r="AA61"/>
      <c r="AB61"/>
      <c r="AC61"/>
      <c r="AD61"/>
      <c r="AE61"/>
      <c r="AF61"/>
      <c r="AG61"/>
      <c r="AH61"/>
      <c r="AI61"/>
      <c r="AJ61"/>
      <c r="AK61"/>
      <c r="AQ61" s="290">
        <v>5973.45443891005</v>
      </c>
      <c r="AR61" s="291">
        <v>6839.290946381483</v>
      </c>
      <c r="AS61" s="291">
        <v>10249.164957515384</v>
      </c>
      <c r="AT61" s="291">
        <v>12070.143568707883</v>
      </c>
      <c r="AU61" s="388">
        <v>340</v>
      </c>
      <c r="AV61" s="389">
        <f>('Cost-Effectiveness Level'!$B$3*AQ61)+('Cost-Effectiveness Level'!$C$3*AR61)+('Cost-Effectiveness Level'!$D$3*AS61)+('Cost-Effectiveness Level'!$E$3*AT61)</f>
        <v>7780.134778786992</v>
      </c>
      <c r="AY61" s="290">
        <v>5280.515675358923</v>
      </c>
      <c r="AZ61" s="291">
        <v>6045.971286258425</v>
      </c>
      <c r="BA61" s="291">
        <v>9260.181658365074</v>
      </c>
      <c r="BB61" s="291">
        <v>10960.445355991797</v>
      </c>
      <c r="BC61" s="388">
        <v>340</v>
      </c>
      <c r="BD61" s="389">
        <f>('Cost-Effectiveness Level'!$B$3*AY61)+('Cost-Effectiveness Level'!$C$3*AZ61)+('Cost-Effectiveness Level'!$D$3*BA61)+('Cost-Effectiveness Level'!$E$3*BB61)</f>
        <v>6942.156460591856</v>
      </c>
      <c r="BG61" s="290">
        <v>3400.146498681512</v>
      </c>
      <c r="BH61" s="291">
        <v>4033.343099912101</v>
      </c>
      <c r="BI61" s="291">
        <v>6590.711983592148</v>
      </c>
      <c r="BJ61" s="291">
        <v>8130.061529446236</v>
      </c>
      <c r="BK61" s="388">
        <v>340</v>
      </c>
      <c r="BL61" s="389">
        <f>('Cost-Effectiveness Level'!$B$3*BG61)+('Cost-Effectiveness Level'!$C$3*BH61)+('Cost-Effectiveness Level'!$D$3*BI61)+('Cost-Effectiveness Level'!$E$3*BJ61)</f>
        <v>4750.881922062702</v>
      </c>
    </row>
    <row r="62" spans="1:64" ht="12.75">
      <c r="A62" s="564" t="s">
        <v>534</v>
      </c>
      <c r="B62" s="113">
        <f>'ResWX Base Case'!A58</f>
        <v>0.023378222371556377</v>
      </c>
      <c r="C62" s="325">
        <f>0.018*0.45</f>
        <v>0.0081</v>
      </c>
      <c r="D62" s="325">
        <v>0.006299999999999999</v>
      </c>
      <c r="E62" s="329">
        <f>B62*$C62*C35</f>
        <v>1.287672488225325</v>
      </c>
      <c r="F62" s="329">
        <f>C62*$C62*D35</f>
        <v>0.7085879999999999</v>
      </c>
      <c r="G62" s="329">
        <f>D62*$C62*E35</f>
        <v>0.8915961599999999</v>
      </c>
      <c r="H62" s="302">
        <f>SUMPRODUCT('Cost-Effectiveness Level'!$I$3:$K$3,E62:G62)</f>
        <v>0.9012683248450649</v>
      </c>
      <c r="I62" s="329">
        <f>$B62*$D62*C35</f>
        <v>1.0015230463974751</v>
      </c>
      <c r="J62" s="329">
        <f>$B62*$D62*D35</f>
        <v>1.5906542501606957</v>
      </c>
      <c r="K62" s="329">
        <f>$B62*$D62*E35</f>
        <v>2.573325098037748</v>
      </c>
      <c r="L62" s="302">
        <f>SUMPRODUCT('Cost-Effectiveness Level'!$I$3:$K$3,I62:K62)</f>
        <v>1.8855497655164135</v>
      </c>
      <c r="M62" s="329">
        <f t="shared" si="28"/>
        <v>0.28614944182784985</v>
      </c>
      <c r="N62" s="329">
        <f t="shared" si="29"/>
        <v>-0.8820662501606958</v>
      </c>
      <c r="O62" s="329">
        <f t="shared" si="30"/>
        <v>-1.681728938037748</v>
      </c>
      <c r="P62" s="302">
        <f>SUMPRODUCT('Cost-Effectiveness Level'!$I$3:$K$3,M62:O62)</f>
        <v>-0.9842814406713487</v>
      </c>
      <c r="Z62"/>
      <c r="AA62"/>
      <c r="AB62"/>
      <c r="AC62"/>
      <c r="AD62"/>
      <c r="AE62"/>
      <c r="AG62" s="594"/>
      <c r="AQ62" s="290">
        <v>5381.3067682390865</v>
      </c>
      <c r="AR62" s="291">
        <v>6159.097568121887</v>
      </c>
      <c r="AS62" s="291">
        <v>9360.4746557281</v>
      </c>
      <c r="AT62" s="291">
        <v>11035.013184881336</v>
      </c>
      <c r="AU62" s="388">
        <v>320</v>
      </c>
      <c r="AV62" s="389">
        <f>('Cost-Effectiveness Level'!$B$3*AQ62)+('Cost-Effectiveness Level'!$C$3*AR62)+('Cost-Effectiveness Level'!$D$3*AS62)+('Cost-Effectiveness Level'!$E$3*AT62)</f>
        <v>7047.679460884852</v>
      </c>
      <c r="AY62" s="290">
        <v>4711.397597421624</v>
      </c>
      <c r="AZ62" s="291">
        <v>5400.292997363024</v>
      </c>
      <c r="BA62" s="291">
        <v>8396.601230588925</v>
      </c>
      <c r="BB62" s="291">
        <v>9963.72692645766</v>
      </c>
      <c r="BC62" s="388">
        <v>320</v>
      </c>
      <c r="BD62" s="389">
        <f>('Cost-Effectiveness Level'!$B$3*AY62)+('Cost-Effectiveness Level'!$C$3*AZ62)+('Cost-Effectiveness Level'!$D$3*BA62)+('Cost-Effectiveness Level'!$E$3*BB62)</f>
        <v>6239.762672135951</v>
      </c>
      <c r="BG62" s="290">
        <v>2942.22092001172</v>
      </c>
      <c r="BH62" s="291">
        <v>3492.46996777029</v>
      </c>
      <c r="BI62" s="291">
        <v>5846.498681511866</v>
      </c>
      <c r="BJ62" s="291">
        <v>7246.9088778201</v>
      </c>
      <c r="BK62" s="388">
        <v>320</v>
      </c>
      <c r="BL62" s="389">
        <f>('Cost-Effectiveness Level'!$B$3*BG62)+('Cost-Effectiveness Level'!$C$3*BH62)+('Cost-Effectiveness Level'!$D$3*BI62)+('Cost-Effectiveness Level'!$E$3*BJ62)</f>
        <v>4158.649282156461</v>
      </c>
    </row>
    <row r="63" spans="1:64" ht="13.5" thickBot="1">
      <c r="A63" s="575" t="s">
        <v>535</v>
      </c>
      <c r="B63" s="576">
        <f>'ResWX Base Case'!A59</f>
        <v>0.20624694795404877</v>
      </c>
      <c r="C63" s="577">
        <f>B26</f>
        <v>0.513041810510165</v>
      </c>
      <c r="D63" s="577">
        <v>0.34</v>
      </c>
      <c r="E63" s="418">
        <f>$B63*$C63*C25</f>
        <v>9.94645091351085</v>
      </c>
      <c r="F63" s="418">
        <f>$B63*$C63*D25</f>
        <v>15.766182830990601</v>
      </c>
      <c r="G63" s="418">
        <f>$B63*$C63*E25</f>
        <v>33.331191891020396</v>
      </c>
      <c r="H63" s="578">
        <f>SUMPRODUCT('Cost-Effectiveness Level'!$I$3:$K$3,E63:G63)</f>
        <v>21.979540252707164</v>
      </c>
      <c r="I63" s="418">
        <f>$B63*$D63*$C25</f>
        <v>6.591652456611399</v>
      </c>
      <c r="J63" s="418">
        <f>$B63*$D63*$C25</f>
        <v>6.591652456611399</v>
      </c>
      <c r="K63" s="418">
        <f>$B63*$D63*$C25</f>
        <v>6.591652456611399</v>
      </c>
      <c r="L63" s="578">
        <f>SUMPRODUCT('Cost-Effectiveness Level'!$I$3:$K$3,I63:K63)</f>
        <v>6.591652456611399</v>
      </c>
      <c r="M63" s="418">
        <f t="shared" si="28"/>
        <v>3.3547984568994504</v>
      </c>
      <c r="N63" s="418">
        <f t="shared" si="29"/>
        <v>9.174530374379202</v>
      </c>
      <c r="O63" s="418">
        <f t="shared" si="30"/>
        <v>26.739539434408996</v>
      </c>
      <c r="P63" s="578">
        <f>SUMPRODUCT('Cost-Effectiveness Level'!$I$3:$K$3,M63:O63)</f>
        <v>15.387887796095765</v>
      </c>
      <c r="AQ63" s="290">
        <v>4794.022853794316</v>
      </c>
      <c r="AR63" s="291">
        <v>5489.01259888661</v>
      </c>
      <c r="AS63" s="291">
        <v>8476.648110167009</v>
      </c>
      <c r="AT63" s="291">
        <v>10006.445941986523</v>
      </c>
      <c r="AU63" s="388">
        <v>300</v>
      </c>
      <c r="AV63" s="389">
        <f>('Cost-Effectiveness Level'!$B$3*AQ63)+('Cost-Effectiveness Level'!$C$3*AR63)+('Cost-Effectiveness Level'!$D$3*AS63)+('Cost-Effectiveness Level'!$E$3*AT63)</f>
        <v>6322.795194843247</v>
      </c>
      <c r="AY63" s="290">
        <v>4150.190448285965</v>
      </c>
      <c r="AZ63" s="291">
        <v>4768.942279519484</v>
      </c>
      <c r="BA63" s="291">
        <v>7547.113975974216</v>
      </c>
      <c r="BB63" s="291">
        <v>8980.339876941109</v>
      </c>
      <c r="BC63" s="388">
        <v>300</v>
      </c>
      <c r="BD63" s="389">
        <f>('Cost-Effectiveness Level'!$B$3*AY63)+('Cost-Effectiveness Level'!$C$3*AZ63)+('Cost-Effectiveness Level'!$D$3*BA63)+('Cost-Effectiveness Level'!$E$3*BB63)</f>
        <v>5550.304717257544</v>
      </c>
      <c r="BG63" s="290">
        <v>2507.061236448872</v>
      </c>
      <c r="BH63" s="291">
        <v>2975.4175212423092</v>
      </c>
      <c r="BI63" s="291">
        <v>5139.847641371228</v>
      </c>
      <c r="BJ63" s="291">
        <v>6378.933489598594</v>
      </c>
      <c r="BK63" s="388">
        <v>300</v>
      </c>
      <c r="BL63" s="389">
        <f>('Cost-Effectiveness Level'!$B$3*BG63)+('Cost-Effectiveness Level'!$C$3*BH63)+('Cost-Effectiveness Level'!$D$3*BI63)+('Cost-Effectiveness Level'!$E$3*BJ63)</f>
        <v>3593.029592733666</v>
      </c>
    </row>
    <row r="64" spans="1:64" ht="13.5" thickBot="1">
      <c r="A64" s="579" t="s">
        <v>548</v>
      </c>
      <c r="B64" s="580"/>
      <c r="C64" s="581"/>
      <c r="D64" s="580"/>
      <c r="E64" s="581">
        <f>SUM(E57:E63)</f>
        <v>75.21049530174189</v>
      </c>
      <c r="F64" s="581">
        <f>SUM(F57:F63)</f>
        <v>100.44540571792554</v>
      </c>
      <c r="G64" s="581">
        <f>SUM(G57:G63)</f>
        <v>110.35452446833499</v>
      </c>
      <c r="H64" s="582">
        <f>SUMPRODUCT('Cost-Effectiveness Level'!$I$3:$K$3,E64:G64)</f>
        <v>99.56025350986077</v>
      </c>
      <c r="I64" s="581">
        <f>SUM(I57:I63)</f>
        <v>41.21095551386777</v>
      </c>
      <c r="J64" s="581">
        <f>SUM(J57:J63)</f>
        <v>51.4556216602507</v>
      </c>
      <c r="K64" s="581">
        <f>SUM(K57:K63)</f>
        <v>50.950668380040426</v>
      </c>
      <c r="L64" s="584">
        <f>SUMPRODUCT('Cost-Effectiveness Level'!$I$3:$K$3,I64:K64)</f>
        <v>49.194608053285805</v>
      </c>
      <c r="M64" s="585">
        <f>E64-I64</f>
        <v>33.99953978787411</v>
      </c>
      <c r="N64" s="581">
        <f>F64-J64</f>
        <v>48.98978405767484</v>
      </c>
      <c r="O64" s="581">
        <f>G64-K64</f>
        <v>59.40385608829456</v>
      </c>
      <c r="P64" s="583">
        <f>SUMPRODUCT('Cost-Effectiveness Level'!$I$3:$K$3,M64:O64)</f>
        <v>50.36564545657498</v>
      </c>
      <c r="AQ64" s="290">
        <v>4216.818048637562</v>
      </c>
      <c r="AR64" s="291">
        <v>4830.676823908585</v>
      </c>
      <c r="AS64" s="291">
        <v>7601.611485496631</v>
      </c>
      <c r="AT64" s="291">
        <v>8990.887782009962</v>
      </c>
      <c r="AU64" s="388">
        <v>280</v>
      </c>
      <c r="AV64" s="389">
        <f>('Cost-Effectiveness Level'!$B$3*AQ64)+('Cost-Effectiveness Level'!$C$3*AR64)+('Cost-Effectiveness Level'!$D$3*AS64)+('Cost-Effectiveness Level'!$E$3*AT64)</f>
        <v>5608.649282156461</v>
      </c>
      <c r="AY64" s="290">
        <v>3600.3808965719313</v>
      </c>
      <c r="AZ64" s="291">
        <v>4155.815997656021</v>
      </c>
      <c r="BA64" s="291">
        <v>6710.401406387343</v>
      </c>
      <c r="BB64" s="291">
        <v>8012.364488719602</v>
      </c>
      <c r="BC64" s="388">
        <v>280</v>
      </c>
      <c r="BD64" s="389">
        <f>('Cost-Effectiveness Level'!$B$3*AY64)+('Cost-Effectiveness Level'!$C$3*AZ64)+('Cost-Effectiveness Level'!$D$3*BA64)+('Cost-Effectiveness Level'!$E$3*BB64)</f>
        <v>4876.202754175212</v>
      </c>
      <c r="BG64" s="290">
        <v>2102.256079695283</v>
      </c>
      <c r="BH64" s="291">
        <v>2483.9730442426016</v>
      </c>
      <c r="BI64" s="291">
        <v>4464.283621447407</v>
      </c>
      <c r="BJ64" s="291">
        <v>5520.304717257544</v>
      </c>
      <c r="BK64" s="388">
        <v>280</v>
      </c>
      <c r="BL64" s="389">
        <f>('Cost-Effectiveness Level'!$B$3*BG64)+('Cost-Effectiveness Level'!$C$3*BH64)+('Cost-Effectiveness Level'!$D$3*BI64)+('Cost-Effectiveness Level'!$E$3*BJ64)</f>
        <v>3054.5238792850864</v>
      </c>
    </row>
    <row r="65" spans="1:64" ht="12.75">
      <c r="A65"/>
      <c r="B65"/>
      <c r="C65"/>
      <c r="D65"/>
      <c r="E65"/>
      <c r="F65"/>
      <c r="G65"/>
      <c r="H65"/>
      <c r="I65"/>
      <c r="J65"/>
      <c r="K65"/>
      <c r="L65"/>
      <c r="M65"/>
      <c r="N65"/>
      <c r="O65"/>
      <c r="P65"/>
      <c r="AQ65" s="290">
        <v>3650.512745385292</v>
      </c>
      <c r="AR65" s="291">
        <v>4187.694110753004</v>
      </c>
      <c r="AS65" s="291">
        <v>6733.07940228538</v>
      </c>
      <c r="AT65" s="291">
        <v>7985.496630530326</v>
      </c>
      <c r="AU65" s="388">
        <v>260</v>
      </c>
      <c r="AV65" s="389">
        <f>('Cost-Effectiveness Level'!$B$3*AQ65)+('Cost-Effectiveness Level'!$C$3*AR65)+('Cost-Effectiveness Level'!$D$3*AS65)+('Cost-Effectiveness Level'!$E$3*AT65)</f>
        <v>4906.494286551421</v>
      </c>
      <c r="AY65" s="290">
        <v>3070.49516554351</v>
      </c>
      <c r="AZ65" s="291">
        <v>3555.3179021388805</v>
      </c>
      <c r="BA65" s="291">
        <v>5884.646938177557</v>
      </c>
      <c r="BB65" s="291">
        <v>7061.119249926751</v>
      </c>
      <c r="BC65" s="388">
        <v>260</v>
      </c>
      <c r="BD65" s="389">
        <f>('Cost-Effectiveness Level'!$B$3*AY65)+('Cost-Effectiveness Level'!$C$3*AZ65)+('Cost-Effectiveness Level'!$D$3*BA65)+('Cost-Effectiveness Level'!$E$3*BB65)</f>
        <v>4215.97568121887</v>
      </c>
      <c r="BG65" s="290">
        <v>1722.7658951069443</v>
      </c>
      <c r="BH65" s="291">
        <v>2021.740404336361</v>
      </c>
      <c r="BI65" s="291">
        <v>3807.03193671257</v>
      </c>
      <c r="BJ65" s="291">
        <v>4680.603574567829</v>
      </c>
      <c r="BK65" s="388">
        <v>260</v>
      </c>
      <c r="BL65" s="389">
        <f>('Cost-Effectiveness Level'!$B$3*BG65)+('Cost-Effectiveness Level'!$C$3*BH65)+('Cost-Effectiveness Level'!$D$3*BI65)+('Cost-Effectiveness Level'!$E$3*BJ65)</f>
        <v>2541.2115440961034</v>
      </c>
    </row>
    <row r="66" spans="42:64" ht="13.5" thickBot="1">
      <c r="AP66" s="5"/>
      <c r="AQ66" s="290">
        <v>3092.7043656607093</v>
      </c>
      <c r="AR66" s="291">
        <v>3559.654263111632</v>
      </c>
      <c r="AS66" s="291">
        <v>5876.7946088485205</v>
      </c>
      <c r="AT66" s="291">
        <v>6996.571930852622</v>
      </c>
      <c r="AU66" s="388">
        <v>240</v>
      </c>
      <c r="AV66" s="389">
        <f>('Cost-Effectiveness Level'!$B$3*AQ66)+('Cost-Effectiveness Level'!$C$3*AR66)+('Cost-Effectiveness Level'!$D$3*AS66)+('Cost-Effectiveness Level'!$E$3*AT66)</f>
        <v>4217.395253442719</v>
      </c>
      <c r="AY66" s="290">
        <v>2557.5153823615587</v>
      </c>
      <c r="AZ66" s="291">
        <v>2970.143568707882</v>
      </c>
      <c r="BA66" s="291">
        <v>5068.532083211252</v>
      </c>
      <c r="BB66" s="291">
        <v>6130.3838265455615</v>
      </c>
      <c r="BC66" s="388">
        <v>240</v>
      </c>
      <c r="BD66" s="389">
        <f>('Cost-Effectiveness Level'!$B$3*AY66)+('Cost-Effectiveness Level'!$C$3*AZ66)+('Cost-Effectiveness Level'!$D$3*BA66)+('Cost-Effectiveness Level'!$E$3*BB66)</f>
        <v>3570.227072956344</v>
      </c>
      <c r="BG66" s="290">
        <v>1362.613536478172</v>
      </c>
      <c r="BH66" s="291">
        <v>1584.148842660416</v>
      </c>
      <c r="BI66" s="291">
        <v>3182.7424553179026</v>
      </c>
      <c r="BJ66" s="291">
        <v>3894.140052739526</v>
      </c>
      <c r="BK66" s="388">
        <v>240</v>
      </c>
      <c r="BL66" s="389">
        <f>('Cost-Effectiveness Level'!$B$3*BG66)+('Cost-Effectiveness Level'!$C$3*BH66)+('Cost-Effectiveness Level'!$D$3*BI66)+('Cost-Effectiveness Level'!$E$3*BJ66)</f>
        <v>2054.9897450922945</v>
      </c>
    </row>
    <row r="67" spans="1:64" ht="13.5" thickBot="1">
      <c r="A67" s="721" t="s">
        <v>495</v>
      </c>
      <c r="B67" s="722"/>
      <c r="C67" s="722"/>
      <c r="D67" s="716"/>
      <c r="E67" s="416" t="s">
        <v>218</v>
      </c>
      <c r="AP67" s="5"/>
      <c r="AQ67" s="290">
        <v>2548.608262525637</v>
      </c>
      <c r="AR67" s="291">
        <v>2946.645180193378</v>
      </c>
      <c r="AS67" s="291">
        <v>5038.76355112804</v>
      </c>
      <c r="AT67" s="291">
        <v>6026.223263990624</v>
      </c>
      <c r="AU67" s="388">
        <v>220</v>
      </c>
      <c r="AV67" s="389">
        <f>('Cost-Effectiveness Level'!$B$3*AQ67)+('Cost-Effectiveness Level'!$C$3*AR67)+('Cost-Effectiveness Level'!$D$3*AS67)+('Cost-Effectiveness Level'!$E$3*AT67)</f>
        <v>3544.0462935833575</v>
      </c>
      <c r="AY67" s="290">
        <v>2056.519191327278</v>
      </c>
      <c r="AZ67" s="291">
        <v>2398.8280105479053</v>
      </c>
      <c r="BA67" s="291">
        <v>4273.220041019631</v>
      </c>
      <c r="BB67" s="291">
        <v>5216.437152065632</v>
      </c>
      <c r="BC67" s="388">
        <v>220</v>
      </c>
      <c r="BD67" s="389">
        <f>('Cost-Effectiveness Level'!$B$3*AY67)+('Cost-Effectiveness Level'!$C$3*AZ67)+('Cost-Effectiveness Level'!$D$3*BA67)+('Cost-Effectiveness Level'!$E$3*BB67)</f>
        <v>2939.844711397597</v>
      </c>
      <c r="BG67" s="290">
        <v>1029.0653384119544</v>
      </c>
      <c r="BH67" s="291">
        <v>1189.950190448286</v>
      </c>
      <c r="BI67" s="291">
        <v>2587.7820099619107</v>
      </c>
      <c r="BJ67" s="291">
        <v>3173.8353354819806</v>
      </c>
      <c r="BK67" s="388">
        <v>220</v>
      </c>
      <c r="BL67" s="389">
        <f>('Cost-Effectiveness Level'!$B$3*BG67)+('Cost-Effectiveness Level'!$C$3*BH67)+('Cost-Effectiveness Level'!$D$3*BI67)+('Cost-Effectiveness Level'!$E$3*BJ67)</f>
        <v>1606.4254321711105</v>
      </c>
    </row>
    <row r="68" spans="1:64" ht="12.75">
      <c r="A68" s="506" t="s">
        <v>492</v>
      </c>
      <c r="B68" s="507">
        <v>850</v>
      </c>
      <c r="C68" s="507">
        <v>1350</v>
      </c>
      <c r="D68" s="507">
        <v>2184</v>
      </c>
      <c r="E68" s="508">
        <f>SUMPRODUCT('Cost-Effectiveness Level'!$I$3:$K$3,B68:D68)</f>
        <v>1600.28</v>
      </c>
      <c r="AP68" s="5"/>
      <c r="AQ68" s="290">
        <v>2026.4283621447407</v>
      </c>
      <c r="AR68" s="291">
        <v>2358.4236741869327</v>
      </c>
      <c r="AS68" s="291">
        <v>4217.345443891005</v>
      </c>
      <c r="AT68" s="291">
        <v>5075.798417814241</v>
      </c>
      <c r="AU68" s="388">
        <v>200</v>
      </c>
      <c r="AV68" s="389">
        <f>('Cost-Effectiveness Level'!$B$3*AQ68)+('Cost-Effectiveness Level'!$C$3*AR68)+('Cost-Effectiveness Level'!$D$3*AS68)+('Cost-Effectiveness Level'!$E$3*AT68)</f>
        <v>2892.6237913858777</v>
      </c>
      <c r="AY68" s="290">
        <v>1577.292704365661</v>
      </c>
      <c r="AZ68" s="291">
        <v>1861.441547026077</v>
      </c>
      <c r="BA68" s="291">
        <v>3504.541459126868</v>
      </c>
      <c r="BB68" s="291">
        <v>4321.97480222678</v>
      </c>
      <c r="BC68" s="388">
        <v>200</v>
      </c>
      <c r="BD68" s="389">
        <f>('Cost-Effectiveness Level'!$B$3*AY68)+('Cost-Effectiveness Level'!$C$3*AZ68)+('Cost-Effectiveness Level'!$D$3*BA68)+('Cost-Effectiveness Level'!$E$3*BB68)</f>
        <v>2338.4134192792267</v>
      </c>
      <c r="BG68" s="290">
        <v>720.6856138294755</v>
      </c>
      <c r="BH68" s="291">
        <v>843.568707881629</v>
      </c>
      <c r="BI68" s="291">
        <v>2032.581306768239</v>
      </c>
      <c r="BJ68" s="291">
        <v>2482.1564605918547</v>
      </c>
      <c r="BK68" s="388">
        <v>200</v>
      </c>
      <c r="BL68" s="389">
        <f>('Cost-Effectiveness Level'!$B$3*BG68)+('Cost-Effectiveness Level'!$C$3*BH68)+('Cost-Effectiveness Level'!$D$3*BI68)+('Cost-Effectiveness Level'!$E$3*BJ68)</f>
        <v>1198.1746264283622</v>
      </c>
    </row>
    <row r="69" spans="1:64" ht="12.75">
      <c r="A69" s="321" t="s">
        <v>203</v>
      </c>
      <c r="B69" s="329">
        <f aca="true" t="shared" si="33" ref="B69:B76">VLOOKUP(A69,$A$6:$H$36,6,FALSE)</f>
        <v>125.04101773323053</v>
      </c>
      <c r="C69" s="329">
        <f aca="true" t="shared" si="34" ref="C69:C76">VLOOKUP(A69,$A$6:$H$36,7,FALSE)</f>
        <v>156.06971472629144</v>
      </c>
      <c r="D69" s="329">
        <f aca="true" t="shared" si="35" ref="D69:D76">VLOOKUP(A69,$A$6:$H$36,8,FALSE)</f>
        <v>234.79924441017732</v>
      </c>
      <c r="E69" s="410"/>
      <c r="F69" s="5"/>
      <c r="G69" s="377"/>
      <c r="AD69" s="412"/>
      <c r="AE69" s="379"/>
      <c r="AF69" s="378"/>
      <c r="AG69" s="379"/>
      <c r="AH69" s="379"/>
      <c r="AP69" s="5"/>
      <c r="AQ69" s="290">
        <v>1532.3469088778202</v>
      </c>
      <c r="AR69" s="291">
        <v>1790.1259888661002</v>
      </c>
      <c r="AS69" s="291">
        <v>3409.6103135071785</v>
      </c>
      <c r="AT69" s="291">
        <v>4156.3433929094645</v>
      </c>
      <c r="AU69" s="388">
        <v>180</v>
      </c>
      <c r="AV69" s="389">
        <f>('Cost-Effectiveness Level'!$B$3*AQ69)+('Cost-Effectiveness Level'!$C$3*AR69)+('Cost-Effectiveness Level'!$D$3*AS69)+('Cost-Effectiveness Level'!$E$3*AT69)</f>
        <v>2261.752124230882</v>
      </c>
      <c r="AY69" s="290">
        <v>1142.865514210372</v>
      </c>
      <c r="AZ69" s="291">
        <v>1358.9803691766774</v>
      </c>
      <c r="BA69" s="291">
        <v>2765.836507471433</v>
      </c>
      <c r="BB69" s="291">
        <v>3454.8784060943453</v>
      </c>
      <c r="BC69" s="388">
        <v>180</v>
      </c>
      <c r="BD69" s="389">
        <f>('Cost-Effectiveness Level'!$B$3*AY69)+('Cost-Effectiveness Level'!$C$3*AZ69)+('Cost-Effectiveness Level'!$D$3*BA69)+('Cost-Effectiveness Level'!$E$3*BB69)</f>
        <v>1772.2663346029885</v>
      </c>
      <c r="BG69" s="290">
        <v>450.6006445941987</v>
      </c>
      <c r="BH69" s="291">
        <v>540.7266334602989</v>
      </c>
      <c r="BI69" s="291">
        <v>1500.1757984178143</v>
      </c>
      <c r="BJ69" s="291">
        <v>1851.2745385291532</v>
      </c>
      <c r="BK69" s="388">
        <v>180</v>
      </c>
      <c r="BL69" s="389">
        <f>('Cost-Effectiveness Level'!$B$3*BG69)+('Cost-Effectiveness Level'!$C$3*BH69)+('Cost-Effectiveness Level'!$D$3*BI69)+('Cost-Effectiveness Level'!$E$3*BJ69)</f>
        <v>828.0911221799005</v>
      </c>
    </row>
    <row r="70" spans="1:64" ht="12.75">
      <c r="A70" s="321" t="s">
        <v>480</v>
      </c>
      <c r="B70" s="329">
        <f t="shared" si="33"/>
        <v>138.55</v>
      </c>
      <c r="C70" s="329">
        <f t="shared" si="34"/>
        <v>154.035</v>
      </c>
      <c r="D70" s="329">
        <f t="shared" si="35"/>
        <v>118.664</v>
      </c>
      <c r="E70" s="410"/>
      <c r="F70" s="379"/>
      <c r="G70" s="377"/>
      <c r="AD70" s="412"/>
      <c r="AE70" s="379"/>
      <c r="AF70" s="378"/>
      <c r="AG70" s="379"/>
      <c r="AH70" s="379"/>
      <c r="AP70" s="5"/>
      <c r="AQ70" s="290">
        <v>1064.4594198652212</v>
      </c>
      <c r="AR70" s="291">
        <v>1258.3943744506298</v>
      </c>
      <c r="AS70" s="291">
        <v>2635.071784353941</v>
      </c>
      <c r="AT70" s="291">
        <v>3262.6428362144743</v>
      </c>
      <c r="AU70" s="388">
        <v>160</v>
      </c>
      <c r="AV70" s="389">
        <f>('Cost-Effectiveness Level'!$B$3*AQ70)+('Cost-Effectiveness Level'!$C$3*AR70)+('Cost-Effectiveness Level'!$D$3*AS70)+('Cost-Effectiveness Level'!$E$3*AT70)</f>
        <v>1663.989159097568</v>
      </c>
      <c r="AY70" s="290">
        <v>767.4479929680634</v>
      </c>
      <c r="AZ70" s="291">
        <v>909.9912100791094</v>
      </c>
      <c r="BA70" s="291">
        <v>2077.1755054204514</v>
      </c>
      <c r="BB70" s="291">
        <v>2624.846176384413</v>
      </c>
      <c r="BC70" s="388">
        <v>160</v>
      </c>
      <c r="BD70" s="389">
        <f>('Cost-Effectiveness Level'!$B$3*AY70)+('Cost-Effectiveness Level'!$C$3*AZ70)+('Cost-Effectiveness Level'!$D$3*BA70)+('Cost-Effectiveness Level'!$E$3*BB70)</f>
        <v>1259.021388807501</v>
      </c>
      <c r="BG70" s="290">
        <v>226.04746557280987</v>
      </c>
      <c r="BH70" s="291">
        <v>297.8318195136244</v>
      </c>
      <c r="BI70" s="291">
        <v>1012.3351889832992</v>
      </c>
      <c r="BJ70" s="291">
        <v>1280.603574567829</v>
      </c>
      <c r="BK70" s="388">
        <v>160</v>
      </c>
      <c r="BL70" s="389">
        <f>('Cost-Effectiveness Level'!$B$3*BG70)+('Cost-Effectiveness Level'!$C$3*BH70)+('Cost-Effectiveness Level'!$D$3*BI70)+('Cost-Effectiveness Level'!$E$3*BJ70)</f>
        <v>511.2393788455904</v>
      </c>
    </row>
    <row r="71" spans="1:64" ht="12.75">
      <c r="A71" s="321" t="s">
        <v>481</v>
      </c>
      <c r="B71" s="329">
        <f t="shared" si="33"/>
        <v>0</v>
      </c>
      <c r="C71" s="329">
        <f t="shared" si="34"/>
        <v>71.685</v>
      </c>
      <c r="D71" s="329">
        <f t="shared" si="35"/>
        <v>0</v>
      </c>
      <c r="E71" s="410"/>
      <c r="F71" s="379"/>
      <c r="G71" s="377"/>
      <c r="AP71" s="5"/>
      <c r="AQ71" s="290">
        <v>658.716671549956</v>
      </c>
      <c r="AR71" s="291">
        <v>788.7489012598887</v>
      </c>
      <c r="AS71" s="291">
        <v>1897.9783181951364</v>
      </c>
      <c r="AT71" s="291">
        <v>2399.619103428069</v>
      </c>
      <c r="AU71" s="388">
        <v>140</v>
      </c>
      <c r="AV71" s="389">
        <f>('Cost-Effectiveness Level'!$B$3*AQ71)+('Cost-Effectiveness Level'!$C$3*AR71)+('Cost-Effectiveness Level'!$D$3*AS71)+('Cost-Effectiveness Level'!$E$3*AT71)</f>
        <v>1120.593319660123</v>
      </c>
      <c r="AY71" s="290">
        <v>442.9827131555817</v>
      </c>
      <c r="AZ71" s="291">
        <v>522.5607969528274</v>
      </c>
      <c r="BA71" s="291">
        <v>1449.047758570173</v>
      </c>
      <c r="BB71" s="291">
        <v>1838.8807500732496</v>
      </c>
      <c r="BC71" s="388">
        <v>140</v>
      </c>
      <c r="BD71" s="389">
        <f>('Cost-Effectiveness Level'!$B$3*AY71)+('Cost-Effectiveness Level'!$C$3*AZ71)+('Cost-Effectiveness Level'!$D$3*BA71)+('Cost-Effectiveness Level'!$E$3*BB71)</f>
        <v>804.0829182537358</v>
      </c>
      <c r="BG71" s="290">
        <v>73.54233811895693</v>
      </c>
      <c r="BH71" s="291">
        <v>124.64107823029593</v>
      </c>
      <c r="BI71" s="291">
        <v>586.6979197187226</v>
      </c>
      <c r="BJ71" s="291">
        <v>805.332552007032</v>
      </c>
      <c r="BK71" s="388">
        <v>140</v>
      </c>
      <c r="BL71" s="389">
        <f>('Cost-Effectiveness Level'!$B$3*BG71)+('Cost-Effectiveness Level'!$C$3*BH71)+('Cost-Effectiveness Level'!$D$3*BI71)+('Cost-Effectiveness Level'!$E$3*BJ71)</f>
        <v>263.9701142689716</v>
      </c>
    </row>
    <row r="72" spans="1:64" ht="13.5" thickBot="1">
      <c r="A72" s="512" t="s">
        <v>204</v>
      </c>
      <c r="B72" s="418">
        <f t="shared" si="33"/>
        <v>90.07283834586465</v>
      </c>
      <c r="C72" s="418">
        <f t="shared" si="34"/>
        <v>143.05686090225564</v>
      </c>
      <c r="D72" s="418">
        <f t="shared" si="35"/>
        <v>77.14473684210526</v>
      </c>
      <c r="E72" s="402"/>
      <c r="F72" s="379"/>
      <c r="G72" s="377"/>
      <c r="AP72" s="5"/>
      <c r="AQ72" s="426">
        <v>336.1265748608263</v>
      </c>
      <c r="AR72" s="427">
        <v>395.839437445063</v>
      </c>
      <c r="AS72" s="427">
        <v>1231.4386170524465</v>
      </c>
      <c r="AT72" s="427">
        <v>1596.1031350717844</v>
      </c>
      <c r="AU72" s="428">
        <v>120</v>
      </c>
      <c r="AV72" s="429">
        <f>('Cost-Effectiveness Level'!$B$3*AQ72)+('Cost-Effectiveness Level'!$C$3*AR72)+('Cost-Effectiveness Level'!$D$3*AS72)+('Cost-Effectiveness Level'!$E$3*AT72)</f>
        <v>652.8098447113977</v>
      </c>
      <c r="AY72" s="426">
        <v>193.6126574860826</v>
      </c>
      <c r="AZ72" s="427">
        <v>234.77878699091707</v>
      </c>
      <c r="BA72" s="427">
        <v>902.666276003516</v>
      </c>
      <c r="BB72" s="427">
        <v>1161.0899501904485</v>
      </c>
      <c r="BC72" s="428">
        <v>120</v>
      </c>
      <c r="BD72" s="429">
        <f>('Cost-Effectiveness Level'!$B$3*AY72)+('Cost-Effectiveness Level'!$C$3*AZ72)+('Cost-Effectiveness Level'!$D$3*BA72)+('Cost-Effectiveness Level'!$E$3*BB72)</f>
        <v>439.8329915030765</v>
      </c>
      <c r="BG72" s="426">
        <v>8.233225900966891</v>
      </c>
      <c r="BH72" s="427">
        <v>25.402871374157634</v>
      </c>
      <c r="BI72" s="427">
        <v>261.0899501904483</v>
      </c>
      <c r="BJ72" s="427">
        <v>418.69323176091416</v>
      </c>
      <c r="BK72" s="428">
        <v>120</v>
      </c>
      <c r="BL72" s="429">
        <f>('Cost-Effectiveness Level'!$B$3*BG72)+('Cost-Effectiveness Level'!$C$3*BH72)+('Cost-Effectiveness Level'!$D$3*BI72)+('Cost-Effectiveness Level'!$E$3*BJ72)</f>
        <v>100.55523000292999</v>
      </c>
    </row>
    <row r="73" spans="1:64" ht="13.5" thickBot="1">
      <c r="A73" s="419" t="s">
        <v>487</v>
      </c>
      <c r="B73" s="420">
        <f t="shared" si="33"/>
        <v>102.91970802919708</v>
      </c>
      <c r="C73" s="420">
        <f t="shared" si="34"/>
        <v>163.13868613138686</v>
      </c>
      <c r="D73" s="420">
        <f t="shared" si="35"/>
        <v>344.8905109489051</v>
      </c>
      <c r="E73" s="508">
        <f>SUMPRODUCT('Cost-Effectiveness Level'!$I$3:$K$3,B73:D73)</f>
        <v>227.43065693430657</v>
      </c>
      <c r="G73" s="377"/>
      <c r="AP73" s="5"/>
      <c r="AQ73" s="430">
        <v>171.51694986226312</v>
      </c>
      <c r="AR73" s="430">
        <v>198.65493313086188</v>
      </c>
      <c r="AS73" s="430">
        <v>798.9770236206315</v>
      </c>
      <c r="AT73" s="430">
        <v>1061.645664575092</v>
      </c>
      <c r="AU73" s="431">
        <v>100</v>
      </c>
      <c r="AV73" s="432">
        <f>('Cost-Effectiveness Level'!$B$3*AQ73)+('Cost-Effectiveness Level'!$C$3*AR73)+('Cost-Effectiveness Level'!$D$3*AS73)+('Cost-Effectiveness Level'!$E$3*AT73)</f>
        <v>386.457395671796</v>
      </c>
      <c r="AY73" s="433">
        <v>84.62149882055914</v>
      </c>
      <c r="AZ73" s="433">
        <v>105.48261397018325</v>
      </c>
      <c r="BA73" s="433">
        <v>562.304728063659</v>
      </c>
      <c r="BB73" s="433">
        <v>733.1252297787971</v>
      </c>
      <c r="BC73" s="434">
        <v>100</v>
      </c>
      <c r="BD73" s="435">
        <f>('Cost-Effectiveness Level'!$B$3*AY73)+('Cost-Effectiveness Level'!$C$3*AZ73)+('Cost-Effectiveness Level'!$D$3*BA73)+('Cost-Effectiveness Level'!$E$3*BB73)</f>
        <v>246.89805025405806</v>
      </c>
      <c r="BG73" s="433">
        <v>0.9217276805464926</v>
      </c>
      <c r="BH73" s="433">
        <v>5.177312995156246</v>
      </c>
      <c r="BI73" s="433">
        <v>116.18920026703378</v>
      </c>
      <c r="BJ73" s="433">
        <v>217.67904685525224</v>
      </c>
      <c r="BK73" s="434">
        <v>100</v>
      </c>
      <c r="BL73" s="435">
        <f>('Cost-Effectiveness Level'!$B$3*BG73)+('Cost-Effectiveness Level'!$C$3*BH73)+('Cost-Effectiveness Level'!$D$3*BI73)+('Cost-Effectiveness Level'!$E$3*BJ73)</f>
        <v>42.704254443208484</v>
      </c>
    </row>
    <row r="74" spans="1:42" ht="12.75">
      <c r="A74" s="421" t="s">
        <v>205</v>
      </c>
      <c r="B74" s="327">
        <f t="shared" si="33"/>
        <v>18.799999999999997</v>
      </c>
      <c r="C74" s="327">
        <f t="shared" si="34"/>
        <v>18.799999999999997</v>
      </c>
      <c r="D74" s="327">
        <f t="shared" si="35"/>
        <v>18.799999999999997</v>
      </c>
      <c r="E74" s="408"/>
      <c r="G74" s="377"/>
      <c r="AP74" s="5"/>
    </row>
    <row r="75" spans="1:7" ht="12.75">
      <c r="A75" s="422" t="s">
        <v>491</v>
      </c>
      <c r="B75" s="329">
        <f t="shared" si="33"/>
        <v>55.08</v>
      </c>
      <c r="C75" s="329">
        <f t="shared" si="34"/>
        <v>87.47999999999999</v>
      </c>
      <c r="D75" s="329">
        <f t="shared" si="35"/>
        <v>141.5232</v>
      </c>
      <c r="E75" s="410"/>
      <c r="G75" s="377"/>
    </row>
    <row r="76" spans="1:7" ht="12.75">
      <c r="A76" s="513" t="s">
        <v>206</v>
      </c>
      <c r="B76" s="329">
        <f t="shared" si="33"/>
        <v>0</v>
      </c>
      <c r="C76" s="329">
        <f t="shared" si="34"/>
        <v>0</v>
      </c>
      <c r="D76" s="329">
        <f t="shared" si="35"/>
        <v>286.128</v>
      </c>
      <c r="E76" s="410"/>
      <c r="G76" s="377"/>
    </row>
    <row r="77" spans="1:7" ht="12.75">
      <c r="A77" s="397" t="s">
        <v>234</v>
      </c>
      <c r="B77" s="329">
        <f>SUM(B69:B76)</f>
        <v>530.4635641082923</v>
      </c>
      <c r="C77" s="329">
        <f>SUM(C69:C76)</f>
        <v>794.2652617599339</v>
      </c>
      <c r="D77" s="329">
        <f>SUM(D69:D76)</f>
        <v>1221.9496922011876</v>
      </c>
      <c r="E77" s="423">
        <f>('Cost-Effectiveness Level'!$I$3*B77)+('Cost-Effectiveness Level'!$J$3*C77)+('Cost-Effectiveness Level'!$K$3*D77)</f>
        <v>921.1323830149321</v>
      </c>
      <c r="F77" s="379"/>
      <c r="G77" s="377"/>
    </row>
    <row r="78" spans="1:7" ht="12.75">
      <c r="A78" s="509" t="s">
        <v>235</v>
      </c>
      <c r="B78" s="510">
        <f ca="1">IF(ISNA(INDEX($AU$5:$AV$73,MATCH(B77,$AU$5:$AU$73,0),1)),TREND(OFFSET(INDEX($AU$5:$AV$73,MATCH(B77,$AU$5:$AU$73,-1),2),0,0,2,1),OFFSET(INDEX($AU$5:$AV$73,MATCH(B77,$AU$5:$AU$73,-1),1),0,0,2,1),B77),INDEX($AU$5:$AV$73,MATCH(B77,$AU$5:$AU$73,0),2))</f>
        <v>15070.122043760688</v>
      </c>
      <c r="C78" s="510">
        <f ca="1">IF(ISNA(INDEX($BC$5:$BD$73,MATCH(C77,$BC$5:$BC$73,0),1)),TREND(OFFSET(INDEX($BC$5:$BD$73,MATCH(C77,$BC$5:$BC$73,-1),2),0,0,2,1),OFFSET(INDEX($BC$5:$BD$73,MATCH(C77,$BC$5:$BC$73,-1),1),0,0,2,1),C77),INDEX($BC$5:$BD$73,MATCH(C77,$BC$5:$BC$73,0),2))</f>
        <v>24266.96822698453</v>
      </c>
      <c r="D78" s="510">
        <f ca="1">IF(ISNA(INDEX($BK$5:$BL$73,MATCH(D77,$BK$5:$BK$73,0),1)),TREND(OFFSET(INDEX($BK$5:$BL$73,MATCH(D77,$BK$5:$BK$73,-1),2),0,0,2,1),OFFSET(INDEX($BK$5:$BL$73,MATCH(D77,$BK$5:$BK$73,-1),1),0,0,2,1),D77),INDEX($BK$5:$BL$73,MATCH(D77,$BK$5:$BK$73,0),2))</f>
        <v>37023.47317872868</v>
      </c>
      <c r="E78" s="511">
        <f>('Cost-Effectiveness Level'!$I$3*B78)+('Cost-Effectiveness Level'!$J$3*C78)+('Cost-Effectiveness Level'!$K$3*D78)</f>
        <v>27785.331070072305</v>
      </c>
      <c r="G78" s="379"/>
    </row>
    <row r="79" spans="1:7" ht="13.5" thickBot="1">
      <c r="A79" s="447" t="s">
        <v>236</v>
      </c>
      <c r="B79" s="448">
        <f>B78/'Cost-Effectiveness Level'!$I$2</f>
        <v>17.729555345600808</v>
      </c>
      <c r="C79" s="448">
        <f>C78/'Cost-Effectiveness Level'!$J$2</f>
        <v>17.97553201998854</v>
      </c>
      <c r="D79" s="448">
        <f>D78/'Cost-Effectiveness Level'!$K$2</f>
        <v>16.952139733850128</v>
      </c>
      <c r="E79" s="449">
        <f>E78/'Cost-Effectiveness Level'!$L$2</f>
        <v>17.36279342994495</v>
      </c>
      <c r="G79" s="379"/>
    </row>
    <row r="80" spans="1:19" ht="13.5" thickBot="1">
      <c r="A80" s="424"/>
      <c r="B80" s="425"/>
      <c r="C80" s="425"/>
      <c r="D80" s="425"/>
      <c r="E80" s="425"/>
      <c r="G80" s="379"/>
      <c r="S80" s="437"/>
    </row>
    <row r="81" spans="1:22" ht="13.5" thickBot="1">
      <c r="A81" s="743" t="s">
        <v>560</v>
      </c>
      <c r="B81" s="722"/>
      <c r="C81" s="722"/>
      <c r="D81" s="716"/>
      <c r="E81" s="416" t="s">
        <v>218</v>
      </c>
      <c r="G81"/>
      <c r="H81"/>
      <c r="I81"/>
      <c r="J81"/>
      <c r="K81"/>
      <c r="L81"/>
      <c r="M81"/>
      <c r="S81" s="437"/>
      <c r="T81" s="437"/>
      <c r="U81" s="437"/>
      <c r="V81" s="437"/>
    </row>
    <row r="82" spans="1:22" ht="13.5" thickBot="1">
      <c r="A82" s="368" t="s">
        <v>492</v>
      </c>
      <c r="B82" s="369">
        <v>850</v>
      </c>
      <c r="C82" s="369">
        <v>1350</v>
      </c>
      <c r="D82" s="369">
        <v>2184</v>
      </c>
      <c r="E82" s="370">
        <f>('Cost-Effectiveness Level'!$I$3*B82)+('Cost-Effectiveness Level'!$J$3*C82)+('Cost-Effectiveness Level'!$K$3*D82)</f>
        <v>1600.28</v>
      </c>
      <c r="G82"/>
      <c r="H82"/>
      <c r="I82"/>
      <c r="J82"/>
      <c r="K82"/>
      <c r="L82"/>
      <c r="M82"/>
      <c r="S82" s="437"/>
      <c r="T82" s="437"/>
      <c r="U82" s="437"/>
      <c r="V82" s="437"/>
    </row>
    <row r="83" spans="1:19" ht="12.75">
      <c r="A83" s="333" t="s">
        <v>233</v>
      </c>
      <c r="B83" s="329">
        <f aca="true" t="shared" si="36" ref="B83:B90">VLOOKUP(A83,$A$6:$H$36,6,FALSE)</f>
        <v>76.14</v>
      </c>
      <c r="C83" s="329">
        <f aca="true" t="shared" si="37" ref="C83:C90">VLOOKUP(A83,$A$6:$H$36,7,FALSE)</f>
        <v>95.034</v>
      </c>
      <c r="D83" s="329">
        <f aca="true" t="shared" si="38" ref="D83:D90">VLOOKUP(A83,$A$6:$H$36,8,FALSE)</f>
        <v>142.974</v>
      </c>
      <c r="E83" s="410"/>
      <c r="G83"/>
      <c r="H83"/>
      <c r="I83"/>
      <c r="J83"/>
      <c r="K83"/>
      <c r="L83"/>
      <c r="M83"/>
      <c r="S83" s="437"/>
    </row>
    <row r="84" spans="1:19" ht="12.75">
      <c r="A84" s="321" t="s">
        <v>172</v>
      </c>
      <c r="B84" s="329">
        <f t="shared" si="36"/>
        <v>51</v>
      </c>
      <c r="C84" s="329">
        <f t="shared" si="37"/>
        <v>56.699999999999996</v>
      </c>
      <c r="D84" s="329">
        <f t="shared" si="38"/>
        <v>43.68</v>
      </c>
      <c r="E84" s="410"/>
      <c r="G84"/>
      <c r="H84"/>
      <c r="I84"/>
      <c r="J84"/>
      <c r="K84"/>
      <c r="L84"/>
      <c r="M84"/>
      <c r="P84" s="379"/>
      <c r="S84" s="437"/>
    </row>
    <row r="85" spans="1:22" ht="12.75">
      <c r="A85" s="417" t="s">
        <v>483</v>
      </c>
      <c r="B85" s="329">
        <f t="shared" si="36"/>
        <v>0</v>
      </c>
      <c r="C85" s="329">
        <f t="shared" si="37"/>
        <v>19.44</v>
      </c>
      <c r="D85" s="329">
        <f t="shared" si="38"/>
        <v>0</v>
      </c>
      <c r="E85" s="410"/>
      <c r="G85"/>
      <c r="H85"/>
      <c r="I85"/>
      <c r="J85"/>
      <c r="K85"/>
      <c r="L85"/>
      <c r="M85"/>
      <c r="P85" s="379"/>
      <c r="S85" s="437"/>
      <c r="U85" s="379"/>
      <c r="V85" s="437"/>
    </row>
    <row r="86" spans="1:34" ht="13.5" thickBot="1">
      <c r="A86" s="321" t="s">
        <v>174</v>
      </c>
      <c r="B86" s="329">
        <f t="shared" si="36"/>
        <v>34.85</v>
      </c>
      <c r="C86" s="329">
        <f t="shared" si="37"/>
        <v>55.35</v>
      </c>
      <c r="D86" s="329">
        <f t="shared" si="38"/>
        <v>29.848000000000003</v>
      </c>
      <c r="E86" s="410"/>
      <c r="G86"/>
      <c r="H86"/>
      <c r="I86"/>
      <c r="J86"/>
      <c r="K86"/>
      <c r="L86"/>
      <c r="M86"/>
      <c r="P86" s="379"/>
      <c r="R86" s="437"/>
      <c r="S86" s="437"/>
      <c r="U86" s="644"/>
      <c r="V86" s="437"/>
      <c r="W86" s="5"/>
      <c r="X86" s="5"/>
      <c r="Y86" s="5"/>
      <c r="Z86" s="5"/>
      <c r="AA86" s="5"/>
      <c r="AD86" s="5"/>
      <c r="AE86" s="5"/>
      <c r="AF86" s="5"/>
      <c r="AG86" s="5"/>
      <c r="AH86" s="5"/>
    </row>
    <row r="87" spans="1:34" ht="13.5" thickBot="1">
      <c r="A87" s="636" t="str">
        <f>A25</f>
        <v>CLASS 120 WINDOW</v>
      </c>
      <c r="B87" s="420">
        <f t="shared" si="36"/>
        <v>102.91970802919708</v>
      </c>
      <c r="C87" s="420">
        <f t="shared" si="37"/>
        <v>163.13868613138686</v>
      </c>
      <c r="D87" s="420">
        <f t="shared" si="38"/>
        <v>344.8905109489051</v>
      </c>
      <c r="E87" s="370">
        <f>('Cost-Effectiveness Level'!$I$3*B87)+('Cost-Effectiveness Level'!$J$3*C87)+('Cost-Effectiveness Level'!$K$3*D87)</f>
        <v>227.43065693430657</v>
      </c>
      <c r="G87"/>
      <c r="H87"/>
      <c r="I87"/>
      <c r="J87"/>
      <c r="K87"/>
      <c r="L87"/>
      <c r="M87"/>
      <c r="P87" s="379"/>
      <c r="R87" s="437"/>
      <c r="S87" s="437"/>
      <c r="U87" s="437"/>
      <c r="V87" s="437"/>
      <c r="W87" s="5"/>
      <c r="X87" s="5"/>
      <c r="Y87" s="5"/>
      <c r="Z87" s="5"/>
      <c r="AA87" s="5"/>
      <c r="AD87" s="5"/>
      <c r="AE87" s="5"/>
      <c r="AF87" s="5"/>
      <c r="AG87" s="5"/>
      <c r="AH87" s="5"/>
    </row>
    <row r="88" spans="1:34" ht="12.75">
      <c r="A88" s="450" t="s">
        <v>205</v>
      </c>
      <c r="B88" s="329">
        <f t="shared" si="36"/>
        <v>18.799999999999997</v>
      </c>
      <c r="C88" s="329">
        <f t="shared" si="37"/>
        <v>18.799999999999997</v>
      </c>
      <c r="D88" s="329">
        <f t="shared" si="38"/>
        <v>18.799999999999997</v>
      </c>
      <c r="E88" s="410"/>
      <c r="G88"/>
      <c r="H88"/>
      <c r="I88"/>
      <c r="J88"/>
      <c r="K88"/>
      <c r="L88"/>
      <c r="M88"/>
      <c r="P88" s="379"/>
      <c r="R88" s="437"/>
      <c r="S88" s="437"/>
      <c r="U88" s="437"/>
      <c r="V88" s="437"/>
      <c r="W88" s="5"/>
      <c r="X88" s="5"/>
      <c r="Y88" s="5"/>
      <c r="Z88" s="5"/>
      <c r="AA88" s="5"/>
      <c r="AD88" s="5"/>
      <c r="AE88" s="5"/>
      <c r="AF88" s="5"/>
      <c r="AG88" s="5"/>
      <c r="AH88" s="5"/>
    </row>
    <row r="89" spans="1:34" ht="12.75">
      <c r="A89" s="422" t="s">
        <v>491</v>
      </c>
      <c r="B89" s="329">
        <f t="shared" si="36"/>
        <v>55.08</v>
      </c>
      <c r="C89" s="329">
        <f t="shared" si="37"/>
        <v>87.47999999999999</v>
      </c>
      <c r="D89" s="329">
        <f t="shared" si="38"/>
        <v>141.5232</v>
      </c>
      <c r="E89" s="410"/>
      <c r="G89"/>
      <c r="H89"/>
      <c r="I89"/>
      <c r="J89"/>
      <c r="K89"/>
      <c r="L89"/>
      <c r="M89"/>
      <c r="P89" s="379"/>
      <c r="R89" s="437"/>
      <c r="S89" s="437"/>
      <c r="T89" s="437"/>
      <c r="U89" s="437"/>
      <c r="V89" s="437"/>
      <c r="W89" s="5"/>
      <c r="X89" s="5"/>
      <c r="Y89" s="5"/>
      <c r="Z89" s="5"/>
      <c r="AA89" s="5"/>
      <c r="AD89" s="5"/>
      <c r="AE89" s="5"/>
      <c r="AF89" s="5"/>
      <c r="AG89" s="5"/>
      <c r="AH89" s="5"/>
    </row>
    <row r="90" spans="1:34" ht="12.75">
      <c r="A90" s="589" t="s">
        <v>185</v>
      </c>
      <c r="B90" s="329">
        <f t="shared" si="36"/>
        <v>0</v>
      </c>
      <c r="C90" s="329">
        <f t="shared" si="37"/>
        <v>0</v>
      </c>
      <c r="D90" s="329">
        <f t="shared" si="38"/>
        <v>94.10399999999998</v>
      </c>
      <c r="E90" s="410"/>
      <c r="G90"/>
      <c r="H90"/>
      <c r="I90"/>
      <c r="J90"/>
      <c r="K90"/>
      <c r="L90"/>
      <c r="M90"/>
      <c r="P90" s="379"/>
      <c r="R90" s="437"/>
      <c r="S90" s="437"/>
      <c r="T90" s="437"/>
      <c r="U90" s="437"/>
      <c r="V90" s="437"/>
      <c r="W90" s="5"/>
      <c r="X90" s="5"/>
      <c r="Y90" s="5"/>
      <c r="Z90" s="5"/>
      <c r="AA90" s="5"/>
      <c r="AD90" s="5"/>
      <c r="AE90" s="5"/>
      <c r="AF90" s="5"/>
      <c r="AG90" s="5"/>
      <c r="AH90" s="5"/>
    </row>
    <row r="91" spans="1:34" ht="13.5" thickBot="1">
      <c r="A91" s="641" t="s">
        <v>234</v>
      </c>
      <c r="B91" s="642">
        <f>SUM(B83:B90)</f>
        <v>338.7897080291971</v>
      </c>
      <c r="C91" s="642">
        <f>SUM(C83:C90)</f>
        <v>495.94268613138684</v>
      </c>
      <c r="D91" s="642">
        <f>SUM(D83:D90)</f>
        <v>815.8197109489049</v>
      </c>
      <c r="E91" s="643">
        <f>('Cost-Effectiveness Level'!$I$3*B91)+('Cost-Effectiveness Level'!$J$3*C91)+('Cost-Effectiveness Level'!$K$3*D91)</f>
        <v>598.8604409343064</v>
      </c>
      <c r="G91"/>
      <c r="H91"/>
      <c r="I91"/>
      <c r="J91"/>
      <c r="K91"/>
      <c r="L91"/>
      <c r="M91"/>
      <c r="P91" s="379"/>
      <c r="R91" s="437"/>
      <c r="S91" s="437"/>
      <c r="T91" s="437"/>
      <c r="U91" s="437"/>
      <c r="V91" s="437"/>
      <c r="W91" s="5"/>
      <c r="X91" s="5"/>
      <c r="Y91" s="5"/>
      <c r="Z91" s="5"/>
      <c r="AA91" s="5"/>
      <c r="AD91" s="5"/>
      <c r="AE91" s="5"/>
      <c r="AF91" s="5"/>
      <c r="AG91" s="5"/>
      <c r="AH91" s="5"/>
    </row>
    <row r="92" spans="1:34" ht="13.5" thickBot="1">
      <c r="A92" s="621" t="s">
        <v>235</v>
      </c>
      <c r="B92" s="622">
        <f ca="1">IF(ISNA(INDEX($AU$5:$AV$73,MATCH(B91,$AU$5:$AU$73,0),1)),TREND(OFFSET(INDEX($AU$5:$AV$73,MATCH(B91,$AU$5:$AU$73,-1),2),0,0,2,1),OFFSET(INDEX($AU$5:$AV$73,MATCH(B91,$AU$5:$AU$73,-1),1),0,0,2,1),B91),INDEX($AU$5:$AV$73,MATCH(B91,$AU$5:$AU$73,0),2))</f>
        <v>7735.810539275577</v>
      </c>
      <c r="C92" s="622">
        <f ca="1">IF(ISNA(INDEX($BC$5:$BD$73,MATCH(C91,$BC$5:$BC$73,0),1)),TREND(OFFSET(INDEX($BC$5:$BD$73,MATCH(C91,$BC$5:$BC$73,-1),2),0,0,2,1),OFFSET(INDEX($BC$5:$BD$73,MATCH(C91,$BC$5:$BC$73,-1),1),0,0,2,1),C91),INDEX($BC$5:$BD$73,MATCH(C91,$BC$5:$BC$73,0),2))</f>
        <v>12668.521952820971</v>
      </c>
      <c r="D92" s="622">
        <f ca="1">IF(ISNA(INDEX($BK$5:$BL$73,MATCH(D91,$BK$5:$BK$73,0),1)),TREND(OFFSET(INDEX($BK$5:$BL$73,MATCH(D91,$BK$5:$BK$73,-1),2),0,0,2,1),OFFSET(INDEX($BK$5:$BL$73,MATCH(D91,$BK$5:$BK$73,-1),1),0,0,2,1),D91),INDEX($BK$5:$BL$73,MATCH(D91,$BK$5:$BK$73,0),2))</f>
        <v>21339.210202243463</v>
      </c>
      <c r="E92" s="623">
        <f>('Cost-Effectiveness Level'!$I$3*B92)+('Cost-Effectiveness Level'!$J$3*C92)+('Cost-Effectiveness Level'!$K$3*D92)</f>
        <v>15323.668734869338</v>
      </c>
      <c r="G92"/>
      <c r="H92"/>
      <c r="I92"/>
      <c r="J92"/>
      <c r="K92"/>
      <c r="L92"/>
      <c r="M92"/>
      <c r="O92"/>
      <c r="P92" s="379"/>
      <c r="R92" s="437"/>
      <c r="S92" s="437"/>
      <c r="T92" s="437"/>
      <c r="U92" s="437"/>
      <c r="V92" s="437"/>
      <c r="W92" s="5"/>
      <c r="X92" s="5"/>
      <c r="Y92" s="5"/>
      <c r="Z92" s="5"/>
      <c r="AA92" s="5"/>
      <c r="AD92" s="5"/>
      <c r="AE92" s="5"/>
      <c r="AF92" s="5"/>
      <c r="AG92" s="5"/>
      <c r="AH92" s="5"/>
    </row>
    <row r="93" spans="1:34" ht="13.5" thickBot="1">
      <c r="A93" s="618" t="s">
        <v>236</v>
      </c>
      <c r="B93" s="619">
        <f>B92/'Cost-Effectiveness Level'!$I$2</f>
        <v>9.100953575618325</v>
      </c>
      <c r="C93" s="619">
        <f>C92/'Cost-Effectiveness Level'!$J$2</f>
        <v>9.384090335422941</v>
      </c>
      <c r="D93" s="619">
        <f>D92/'Cost-Effectiveness Level'!$K$2</f>
        <v>9.770700642052867</v>
      </c>
      <c r="E93" s="620">
        <f>E92/'Cost-Effectiveness Level'!$L$2</f>
        <v>9.575617226278737</v>
      </c>
      <c r="G93"/>
      <c r="H93"/>
      <c r="I93"/>
      <c r="J93"/>
      <c r="K93"/>
      <c r="L93"/>
      <c r="M93"/>
      <c r="O93"/>
      <c r="R93" s="437"/>
      <c r="S93" s="437"/>
      <c r="T93" s="437"/>
      <c r="U93" s="437"/>
      <c r="V93" s="437"/>
      <c r="W93" s="5"/>
      <c r="X93" s="5"/>
      <c r="Y93" s="5"/>
      <c r="Z93" s="5"/>
      <c r="AA93" s="5"/>
      <c r="AD93" s="5"/>
      <c r="AE93" s="5"/>
      <c r="AF93" s="5"/>
      <c r="AG93" s="5"/>
      <c r="AH93" s="5"/>
    </row>
    <row r="94" spans="1:34" ht="13.5" thickBot="1">
      <c r="A94" s="424"/>
      <c r="B94" s="425"/>
      <c r="C94" s="425"/>
      <c r="D94" s="425"/>
      <c r="E94" s="425"/>
      <c r="G94"/>
      <c r="H94"/>
      <c r="I94"/>
      <c r="J94"/>
      <c r="K94"/>
      <c r="L94"/>
      <c r="M94"/>
      <c r="O94"/>
      <c r="Q94" s="437"/>
      <c r="R94" s="437"/>
      <c r="S94" s="437"/>
      <c r="T94" s="437"/>
      <c r="U94" s="437"/>
      <c r="V94" s="437"/>
      <c r="W94" s="5"/>
      <c r="X94" s="5"/>
      <c r="Y94" s="5"/>
      <c r="Z94" s="5"/>
      <c r="AA94" s="5"/>
      <c r="AD94" s="5"/>
      <c r="AE94" s="5"/>
      <c r="AF94" s="5"/>
      <c r="AG94" s="5"/>
      <c r="AH94" s="5"/>
    </row>
    <row r="95" spans="1:34" ht="13.5" thickBot="1">
      <c r="A95" s="743" t="s">
        <v>561</v>
      </c>
      <c r="B95" s="722"/>
      <c r="C95" s="722"/>
      <c r="D95" s="716"/>
      <c r="E95" s="416" t="s">
        <v>218</v>
      </c>
      <c r="G95"/>
      <c r="H95"/>
      <c r="I95"/>
      <c r="J95"/>
      <c r="K95"/>
      <c r="L95"/>
      <c r="M95"/>
      <c r="O95"/>
      <c r="Q95" s="437"/>
      <c r="R95" s="437"/>
      <c r="S95" s="437"/>
      <c r="T95" s="437"/>
      <c r="U95" s="437"/>
      <c r="V95" s="437"/>
      <c r="W95" s="5"/>
      <c r="X95" s="5"/>
      <c r="Y95" s="5"/>
      <c r="Z95" s="5"/>
      <c r="AA95" s="5"/>
      <c r="AD95" s="5"/>
      <c r="AE95" s="5"/>
      <c r="AF95" s="5"/>
      <c r="AG95" s="5"/>
      <c r="AH95" s="5"/>
    </row>
    <row r="96" spans="1:34" ht="13.5" thickBot="1">
      <c r="A96" s="368" t="s">
        <v>492</v>
      </c>
      <c r="B96" s="369">
        <v>850</v>
      </c>
      <c r="C96" s="369">
        <v>1350</v>
      </c>
      <c r="D96" s="369">
        <v>2184</v>
      </c>
      <c r="E96" s="370">
        <f>('Cost-Effectiveness Level'!$I$3*B96)+('Cost-Effectiveness Level'!$J$3*C96)+('Cost-Effectiveness Level'!$K$3*D96)</f>
        <v>1600.28</v>
      </c>
      <c r="G96"/>
      <c r="H96"/>
      <c r="I96"/>
      <c r="J96"/>
      <c r="K96"/>
      <c r="L96"/>
      <c r="M96"/>
      <c r="O96"/>
      <c r="P96" s="379"/>
      <c r="Q96" s="437"/>
      <c r="R96" s="437"/>
      <c r="S96" s="437"/>
      <c r="T96" s="437"/>
      <c r="U96" s="437"/>
      <c r="V96" s="437"/>
      <c r="W96" s="5"/>
      <c r="X96" s="5"/>
      <c r="Y96" s="5"/>
      <c r="Z96" s="5"/>
      <c r="AA96" s="5"/>
      <c r="AD96" s="5"/>
      <c r="AE96" s="5"/>
      <c r="AF96" s="5"/>
      <c r="AG96" s="5"/>
      <c r="AH96" s="5"/>
    </row>
    <row r="97" spans="1:34" ht="12.75">
      <c r="A97" s="333" t="s">
        <v>233</v>
      </c>
      <c r="B97" s="329">
        <f aca="true" t="shared" si="39" ref="B97:B104">VLOOKUP(A97,$A$6:$H$36,6,FALSE)</f>
        <v>76.14</v>
      </c>
      <c r="C97" s="329">
        <f aca="true" t="shared" si="40" ref="C97:C104">VLOOKUP(A97,$A$6:$H$36,7,FALSE)</f>
        <v>95.034</v>
      </c>
      <c r="D97" s="329">
        <f aca="true" t="shared" si="41" ref="D97:D104">VLOOKUP(A97,$A$6:$H$36,8,FALSE)</f>
        <v>142.974</v>
      </c>
      <c r="E97" s="410"/>
      <c r="G97"/>
      <c r="H97"/>
      <c r="I97"/>
      <c r="J97"/>
      <c r="K97"/>
      <c r="L97"/>
      <c r="M97"/>
      <c r="O97"/>
      <c r="Q97" s="437"/>
      <c r="R97" s="437"/>
      <c r="S97" s="437"/>
      <c r="T97" s="437"/>
      <c r="U97" s="437"/>
      <c r="V97" s="437"/>
      <c r="W97" s="5"/>
      <c r="X97" s="5"/>
      <c r="Y97" s="5"/>
      <c r="Z97" s="5"/>
      <c r="AA97" s="5"/>
      <c r="AD97" s="5"/>
      <c r="AE97" s="5"/>
      <c r="AF97" s="5"/>
      <c r="AG97" s="5"/>
      <c r="AH97" s="5"/>
    </row>
    <row r="98" spans="1:34" ht="12.75">
      <c r="A98" s="333" t="s">
        <v>177</v>
      </c>
      <c r="B98" s="329">
        <f t="shared" si="39"/>
        <v>33.15</v>
      </c>
      <c r="C98" s="329">
        <f t="shared" si="40"/>
        <v>36.855</v>
      </c>
      <c r="D98" s="329">
        <f t="shared" si="41"/>
        <v>28.392</v>
      </c>
      <c r="E98" s="410"/>
      <c r="G98"/>
      <c r="H98"/>
      <c r="I98"/>
      <c r="J98"/>
      <c r="K98"/>
      <c r="L98"/>
      <c r="M98"/>
      <c r="O98"/>
      <c r="Q98" s="437"/>
      <c r="R98" s="437"/>
      <c r="S98" s="437"/>
      <c r="T98" s="437"/>
      <c r="U98" s="437"/>
      <c r="V98" s="437"/>
      <c r="W98" s="5"/>
      <c r="X98" s="5"/>
      <c r="Y98" s="5"/>
      <c r="Z98" s="5"/>
      <c r="AA98" s="5"/>
      <c r="AD98" s="5"/>
      <c r="AE98" s="5"/>
      <c r="AF98" s="5"/>
      <c r="AG98" s="5"/>
      <c r="AH98" s="5"/>
    </row>
    <row r="99" spans="1:34" ht="12.75">
      <c r="A99" s="417" t="s">
        <v>485</v>
      </c>
      <c r="B99" s="329">
        <f t="shared" si="39"/>
        <v>0</v>
      </c>
      <c r="C99" s="329">
        <f t="shared" si="40"/>
        <v>12.15</v>
      </c>
      <c r="D99" s="329">
        <f t="shared" si="41"/>
        <v>0</v>
      </c>
      <c r="E99" s="410"/>
      <c r="G99"/>
      <c r="H99"/>
      <c r="I99"/>
      <c r="J99"/>
      <c r="K99"/>
      <c r="L99"/>
      <c r="M99"/>
      <c r="O99"/>
      <c r="Q99" s="437"/>
      <c r="R99" s="437"/>
      <c r="S99" s="379"/>
      <c r="T99" s="437"/>
      <c r="U99" s="437"/>
      <c r="V99" s="437"/>
      <c r="W99" s="379"/>
      <c r="X99" s="379"/>
      <c r="Y99" s="378"/>
      <c r="Z99" s="379"/>
      <c r="AA99" s="379"/>
      <c r="AD99" s="5"/>
      <c r="AE99" s="5"/>
      <c r="AF99" s="5"/>
      <c r="AG99" s="5"/>
      <c r="AH99" s="5"/>
    </row>
    <row r="100" spans="1:34" ht="13.5" thickBot="1">
      <c r="A100" s="333" t="s">
        <v>176</v>
      </c>
      <c r="B100" s="329">
        <f t="shared" si="39"/>
        <v>24.650000000000002</v>
      </c>
      <c r="C100" s="329">
        <f t="shared" si="40"/>
        <v>39.15</v>
      </c>
      <c r="D100" s="329">
        <f t="shared" si="41"/>
        <v>21.112000000000002</v>
      </c>
      <c r="E100" s="410"/>
      <c r="G100"/>
      <c r="H100"/>
      <c r="I100"/>
      <c r="J100"/>
      <c r="K100"/>
      <c r="L100"/>
      <c r="M100"/>
      <c r="O100" s="379"/>
      <c r="Q100" s="437"/>
      <c r="R100" s="437"/>
      <c r="S100" s="379"/>
      <c r="T100" s="437"/>
      <c r="U100" s="437"/>
      <c r="V100" s="437"/>
      <c r="W100" s="379"/>
      <c r="X100" s="379"/>
      <c r="Y100" s="378"/>
      <c r="Z100" s="379"/>
      <c r="AA100" s="379"/>
      <c r="AD100" s="376"/>
      <c r="AE100" s="379"/>
      <c r="AF100" s="390"/>
      <c r="AG100" s="379"/>
      <c r="AH100" s="379"/>
    </row>
    <row r="101" spans="1:34" ht="13.5" thickBot="1">
      <c r="A101" s="636" t="str">
        <f>A28</f>
        <v>CLASS 35 PRIME WINDOW (Energy Star)</v>
      </c>
      <c r="B101" s="420">
        <f t="shared" si="39"/>
        <v>31.96</v>
      </c>
      <c r="C101" s="420">
        <f t="shared" si="40"/>
        <v>50.660000000000004</v>
      </c>
      <c r="D101" s="420">
        <f t="shared" si="41"/>
        <v>107.10000000000001</v>
      </c>
      <c r="E101" s="370">
        <f>('Cost-Effectiveness Level'!$I$3*B101)+('Cost-Effectiveness Level'!$J$3*C101)+('Cost-Effectiveness Level'!$K$3*D101)</f>
        <v>70.6248</v>
      </c>
      <c r="G101"/>
      <c r="H101"/>
      <c r="I101"/>
      <c r="J101"/>
      <c r="K101"/>
      <c r="L101"/>
      <c r="M101"/>
      <c r="O101" s="379"/>
      <c r="Q101" s="437"/>
      <c r="R101" s="437"/>
      <c r="S101" s="379"/>
      <c r="T101" s="379"/>
      <c r="U101" s="438"/>
      <c r="V101" s="377"/>
      <c r="W101" s="379"/>
      <c r="X101" s="379"/>
      <c r="Y101" s="378"/>
      <c r="Z101" s="379"/>
      <c r="AA101" s="379"/>
      <c r="AD101" s="376"/>
      <c r="AE101" s="379"/>
      <c r="AF101" s="390"/>
      <c r="AG101" s="379"/>
      <c r="AH101" s="379"/>
    </row>
    <row r="102" spans="1:34" ht="12.75">
      <c r="A102" s="450" t="s">
        <v>205</v>
      </c>
      <c r="B102" s="329">
        <f t="shared" si="39"/>
        <v>18.799999999999997</v>
      </c>
      <c r="C102" s="329">
        <f t="shared" si="40"/>
        <v>18.799999999999997</v>
      </c>
      <c r="D102" s="329">
        <f t="shared" si="41"/>
        <v>18.799999999999997</v>
      </c>
      <c r="E102" s="410"/>
      <c r="G102"/>
      <c r="H102"/>
      <c r="I102"/>
      <c r="J102"/>
      <c r="K102"/>
      <c r="L102"/>
      <c r="M102"/>
      <c r="O102" s="379"/>
      <c r="Q102" s="437"/>
      <c r="R102" s="437"/>
      <c r="T102" s="379"/>
      <c r="U102" s="438"/>
      <c r="V102" s="377"/>
      <c r="W102" s="379"/>
      <c r="X102" s="379"/>
      <c r="Y102" s="378"/>
      <c r="Z102" s="379"/>
      <c r="AA102" s="379"/>
      <c r="AD102" s="376"/>
      <c r="AE102" s="379"/>
      <c r="AF102" s="390"/>
      <c r="AG102" s="379"/>
      <c r="AH102" s="379"/>
    </row>
    <row r="103" spans="1:34" ht="12.75">
      <c r="A103" s="422" t="s">
        <v>491</v>
      </c>
      <c r="B103" s="329">
        <f t="shared" si="39"/>
        <v>55.08</v>
      </c>
      <c r="C103" s="329">
        <f t="shared" si="40"/>
        <v>87.47999999999999</v>
      </c>
      <c r="D103" s="329">
        <f t="shared" si="41"/>
        <v>141.5232</v>
      </c>
      <c r="E103" s="410"/>
      <c r="G103"/>
      <c r="H103"/>
      <c r="I103"/>
      <c r="J103"/>
      <c r="K103"/>
      <c r="L103"/>
      <c r="M103"/>
      <c r="O103" s="379"/>
      <c r="Q103" s="437"/>
      <c r="R103" s="437"/>
      <c r="T103" s="379"/>
      <c r="U103" s="438"/>
      <c r="V103" s="377"/>
      <c r="W103" s="379"/>
      <c r="X103" s="379"/>
      <c r="Y103" s="378"/>
      <c r="Z103" s="379"/>
      <c r="AA103" s="379"/>
      <c r="AD103" s="376"/>
      <c r="AE103" s="379"/>
      <c r="AF103" s="390"/>
      <c r="AG103" s="379"/>
      <c r="AH103" s="379"/>
    </row>
    <row r="104" spans="1:34" ht="12.75">
      <c r="A104" s="417" t="s">
        <v>185</v>
      </c>
      <c r="B104" s="329">
        <f t="shared" si="39"/>
        <v>0</v>
      </c>
      <c r="C104" s="329">
        <f t="shared" si="40"/>
        <v>0</v>
      </c>
      <c r="D104" s="329">
        <f t="shared" si="41"/>
        <v>94.10399999999998</v>
      </c>
      <c r="E104" s="410"/>
      <c r="I104" s="5"/>
      <c r="J104" s="5"/>
      <c r="K104" s="5"/>
      <c r="L104" s="5"/>
      <c r="M104" s="5"/>
      <c r="O104" s="379"/>
      <c r="Q104" s="437"/>
      <c r="R104" s="437"/>
      <c r="Y104" s="377"/>
      <c r="AD104" s="376"/>
      <c r="AE104" s="379"/>
      <c r="AF104" s="390"/>
      <c r="AG104" s="379"/>
      <c r="AH104" s="379"/>
    </row>
    <row r="105" spans="1:34" ht="13.5" thickBot="1">
      <c r="A105" s="593" t="s">
        <v>234</v>
      </c>
      <c r="B105" s="418">
        <f>SUM(B97:B104)</f>
        <v>239.77999999999997</v>
      </c>
      <c r="C105" s="418">
        <f>SUM(C97:C104)</f>
        <v>340.129</v>
      </c>
      <c r="D105" s="418">
        <f>SUM(D97:D104)</f>
        <v>554.0052000000001</v>
      </c>
      <c r="E105" s="443">
        <f>('Cost-Effectiveness Level'!$I$3*B105)+('Cost-Effectiveness Level'!$J$3*C105)+('Cost-Effectiveness Level'!$K$3*D105)</f>
        <v>409.887204</v>
      </c>
      <c r="G105" s="379"/>
      <c r="I105" s="5"/>
      <c r="J105" s="5"/>
      <c r="K105" s="5"/>
      <c r="L105" s="5"/>
      <c r="M105" s="5"/>
      <c r="O105" s="379"/>
      <c r="Q105" s="437"/>
      <c r="R105" s="437"/>
      <c r="AD105" s="376"/>
      <c r="AE105" s="379"/>
      <c r="AF105" s="390"/>
      <c r="AG105" s="379"/>
      <c r="AH105" s="379"/>
    </row>
    <row r="106" spans="1:18" ht="12.75">
      <c r="A106" s="444" t="s">
        <v>235</v>
      </c>
      <c r="B106" s="445">
        <f ca="1">IF(ISNA(INDEX($AU$5:$AV$73,MATCH(B105,$AU$5:$AU$73,0),1)),TREND(OFFSET(INDEX($AU$5:$AV$73,MATCH(B105,$AU$5:$AU$73,-1),2),0,0,2,1),OFFSET(INDEX($AU$5:$AV$73,MATCH(B105,$AU$5:$AU$73,-1),1),0,0,2,1),B105),INDEX($AU$5:$AV$73,MATCH(B105,$AU$5:$AU$73,0),2))</f>
        <v>4209.98841488426</v>
      </c>
      <c r="C106" s="445">
        <f ca="1">IF(ISNA(INDEX($BC$5:$BD$73,MATCH(C105,$BC$5:$BC$73,0),1)),TREND(OFFSET(INDEX($BC$5:$BD$73,MATCH(C105,$BC$5:$BC$73,-1),2),0,0,2,1),OFFSET(INDEX($BC$5:$BD$73,MATCH(C105,$BC$5:$BC$73,-1),1),0,0,2,1),C105),INDEX($BC$5:$BD$73,MATCH(C105,$BC$5:$BC$73,0),2))</f>
        <v>6946.747809844725</v>
      </c>
      <c r="D106" s="445">
        <f ca="1">IF(ISNA(INDEX($BK$5:$BL$73,MATCH(D105,$BK$5:$BK$73,0),1)),TREND(OFFSET(INDEX($BK$5:$BL$73,MATCH(D105,$BK$5:$BK$73,-1),2),0,0,2,1),OFFSET(INDEX($BK$5:$BL$73,MATCH(D105,$BK$5:$BK$73,-1),1),0,0,2,1),D105),INDEX($BK$5:$BL$73,MATCH(D105,$BK$5:$BK$73,0),2))</f>
        <v>11787.777637767424</v>
      </c>
      <c r="E106" s="446">
        <f>('Cost-Effectiveness Level'!$I$3*B106)+('Cost-Effectiveness Level'!$J$3*C106)+('Cost-Effectiveness Level'!$K$3*D106)</f>
        <v>8432.628458580166</v>
      </c>
      <c r="F106"/>
      <c r="I106" s="5"/>
      <c r="J106" s="5"/>
      <c r="K106" s="5"/>
      <c r="L106"/>
      <c r="M106"/>
      <c r="O106" s="379"/>
      <c r="Q106" s="437"/>
      <c r="R106" s="379"/>
    </row>
    <row r="107" spans="1:18" ht="13.5" thickBot="1">
      <c r="A107" s="447" t="s">
        <v>236</v>
      </c>
      <c r="B107" s="448">
        <f>B106/'Cost-Effectiveness Level'!$I$2</f>
        <v>4.952927546922659</v>
      </c>
      <c r="C107" s="448">
        <f>C106/'Cost-Effectiveness Level'!$J$2</f>
        <v>5.1457391184035</v>
      </c>
      <c r="D107" s="448">
        <f>D106/'Cost-Effectiveness Level'!$K$2</f>
        <v>5.397334083226842</v>
      </c>
      <c r="E107" s="449">
        <f>E106/'Cost-Effectiveness Level'!$L$2</f>
        <v>5.269470629252485</v>
      </c>
      <c r="F107"/>
      <c r="G107"/>
      <c r="H107"/>
      <c r="I107"/>
      <c r="J107"/>
      <c r="K107"/>
      <c r="L107"/>
      <c r="M107"/>
      <c r="N107"/>
      <c r="O107" s="379"/>
      <c r="Q107" s="437"/>
      <c r="R107" s="379"/>
    </row>
    <row r="108" spans="7:18" ht="12.75">
      <c r="G108"/>
      <c r="H108"/>
      <c r="I108"/>
      <c r="J108"/>
      <c r="K108"/>
      <c r="L108"/>
      <c r="M108"/>
      <c r="N108"/>
      <c r="O108" s="379"/>
      <c r="Q108" s="437"/>
      <c r="R108" s="379"/>
    </row>
    <row r="109" spans="1:17" ht="13.5" thickBot="1">
      <c r="A109"/>
      <c r="B109"/>
      <c r="C109"/>
      <c r="D109"/>
      <c r="E109"/>
      <c r="G109"/>
      <c r="H109"/>
      <c r="I109"/>
      <c r="J109"/>
      <c r="K109"/>
      <c r="L109"/>
      <c r="M109"/>
      <c r="N109"/>
      <c r="O109" s="437"/>
      <c r="Q109" s="437"/>
    </row>
    <row r="110" spans="1:17" ht="12.75">
      <c r="A110" s="624" t="s">
        <v>550</v>
      </c>
      <c r="B110" s="586">
        <f>'Cost-Effectiveness Level'!B24</f>
        <v>239.77999999999997</v>
      </c>
      <c r="C110" s="586">
        <f>'Cost-Effectiveness Level'!C24</f>
        <v>340.1289999999999</v>
      </c>
      <c r="D110" s="586">
        <f>'Cost-Effectiveness Level'!D24</f>
        <v>554.0052</v>
      </c>
      <c r="E110" s="587">
        <f>('Cost-Effectiveness Level'!$I$3*B110)+('Cost-Effectiveness Level'!$J$3*C110)+('Cost-Effectiveness Level'!$K$3*D110)</f>
        <v>409.88720399999994</v>
      </c>
      <c r="G110"/>
      <c r="H110"/>
      <c r="I110"/>
      <c r="J110"/>
      <c r="K110"/>
      <c r="L110"/>
      <c r="M110"/>
      <c r="N110"/>
      <c r="O110" s="437"/>
      <c r="Q110" s="437"/>
    </row>
    <row r="111" spans="1:17" ht="13.5" thickBot="1">
      <c r="A111" s="625" t="s">
        <v>551</v>
      </c>
      <c r="B111" s="588">
        <f>M64</f>
        <v>33.99953978787411</v>
      </c>
      <c r="C111" s="588">
        <f>N64</f>
        <v>48.98978405767484</v>
      </c>
      <c r="D111" s="588">
        <f>O64</f>
        <v>59.40385608829456</v>
      </c>
      <c r="E111" s="626">
        <f>P64</f>
        <v>50.36564545657498</v>
      </c>
      <c r="G111"/>
      <c r="H111"/>
      <c r="I111"/>
      <c r="J111"/>
      <c r="K111"/>
      <c r="L111"/>
      <c r="M111"/>
      <c r="N111"/>
      <c r="O111" s="379"/>
      <c r="Q111" s="437"/>
    </row>
    <row r="112" spans="1:17" ht="13.5" thickBot="1">
      <c r="A112" s="638" t="s">
        <v>552</v>
      </c>
      <c r="B112" s="639">
        <f>B110+B111</f>
        <v>273.7795397878741</v>
      </c>
      <c r="C112" s="639">
        <f>C110+C111</f>
        <v>389.11878405767476</v>
      </c>
      <c r="D112" s="639">
        <f>D110+D111</f>
        <v>613.4090560882945</v>
      </c>
      <c r="E112" s="640">
        <f>E110+E111</f>
        <v>460.25284945657495</v>
      </c>
      <c r="G112"/>
      <c r="H112"/>
      <c r="I112"/>
      <c r="J112"/>
      <c r="K112"/>
      <c r="L112"/>
      <c r="M112"/>
      <c r="N112"/>
      <c r="O112" s="379"/>
      <c r="Q112" s="437"/>
    </row>
    <row r="113" spans="1:17" ht="13.5" thickBot="1">
      <c r="A113"/>
      <c r="B113"/>
      <c r="C113"/>
      <c r="D113"/>
      <c r="E113"/>
      <c r="G113"/>
      <c r="H113"/>
      <c r="I113"/>
      <c r="J113"/>
      <c r="K113"/>
      <c r="L113"/>
      <c r="M113"/>
      <c r="N113"/>
      <c r="O113" s="379"/>
      <c r="Q113" s="437"/>
    </row>
    <row r="114" spans="1:31" ht="13.5" thickBot="1">
      <c r="A114" s="737" t="s">
        <v>563</v>
      </c>
      <c r="B114" s="738"/>
      <c r="C114" s="738"/>
      <c r="D114" s="739"/>
      <c r="E114" s="648" t="s">
        <v>237</v>
      </c>
      <c r="F114" s="647" t="s">
        <v>28</v>
      </c>
      <c r="G114"/>
      <c r="H114"/>
      <c r="I114"/>
      <c r="J114"/>
      <c r="K114"/>
      <c r="N114"/>
      <c r="O114" s="379"/>
      <c r="Q114" s="437"/>
      <c r="AD114" s="5"/>
      <c r="AE114" s="5"/>
    </row>
    <row r="115" spans="1:31" ht="13.5" thickBot="1">
      <c r="A115" s="649"/>
      <c r="B115" s="369">
        <v>850</v>
      </c>
      <c r="C115" s="369">
        <v>1350</v>
      </c>
      <c r="D115" s="369">
        <v>2184</v>
      </c>
      <c r="E115" s="370">
        <f>SUMPRODUCT('Cost-Effectiveness Level'!$I$3:$K$3,B115:D115)</f>
        <v>1600.28</v>
      </c>
      <c r="F115" s="647"/>
      <c r="G115"/>
      <c r="H115"/>
      <c r="I115"/>
      <c r="J115"/>
      <c r="K115"/>
      <c r="L115"/>
      <c r="N115" s="379"/>
      <c r="O115" s="379"/>
      <c r="Q115" s="379"/>
      <c r="V115" s="5"/>
      <c r="W115" s="5"/>
      <c r="X115" s="5"/>
      <c r="AD115" s="5"/>
      <c r="AE115" s="5"/>
    </row>
    <row r="116" spans="1:31" ht="12.75">
      <c r="A116" s="465" t="s">
        <v>172</v>
      </c>
      <c r="B116" s="591">
        <f aca="true" t="shared" si="42" ref="B116:B123">VLOOKUP($A116,$T$45:$V$56,3,0)</f>
        <v>732.6936963096837</v>
      </c>
      <c r="C116" s="591">
        <f>VLOOKUP($A116,$Z$45:$AB$59,3,0)+VLOOKUP(A$16,$Z$45:$AB$59,3,0)</f>
        <v>1163.6899882565563</v>
      </c>
      <c r="D116" s="591">
        <f aca="true" t="shared" si="43" ref="D116:D123">VLOOKUP($A116,$AF$45:$AH$58,3,0)</f>
        <v>627.5306010746467</v>
      </c>
      <c r="E116" s="670">
        <f>SUMPRODUCT('Cost-Effectiveness Level'!$I$3:$K$3,B116:D116)</f>
        <v>852.3037872507798</v>
      </c>
      <c r="F116" s="634">
        <f>B57</f>
        <v>0.05662447889271396</v>
      </c>
      <c r="G116"/>
      <c r="H116"/>
      <c r="I116"/>
      <c r="J116"/>
      <c r="K116"/>
      <c r="L116"/>
      <c r="N116" s="379"/>
      <c r="O116" s="379"/>
      <c r="Q116" s="379"/>
      <c r="V116" s="5"/>
      <c r="W116" s="5"/>
      <c r="X116" s="5"/>
      <c r="AD116" s="5"/>
      <c r="AE116" s="5"/>
    </row>
    <row r="117" spans="1:31" ht="12.75">
      <c r="A117" s="321" t="s">
        <v>177</v>
      </c>
      <c r="B117" s="590">
        <f t="shared" si="42"/>
        <v>280.8095966433878</v>
      </c>
      <c r="C117" s="590">
        <f>VLOOKUP($A117,$Z$45:$AB$59,3,0)+VLOOKUP(A$18,$Z$45:$AB$59,3,0)</f>
        <v>445.99171231596887</v>
      </c>
      <c r="D117" s="590">
        <f t="shared" si="43"/>
        <v>240.50516041927804</v>
      </c>
      <c r="E117" s="632">
        <f>SUMPRODUCT('Cost-Effectiveness Level'!$I$3:$K$3,B117:D117)</f>
        <v>326.6509373848425</v>
      </c>
      <c r="F117" s="634">
        <f>B58</f>
        <v>0.27965005436564294</v>
      </c>
      <c r="G117"/>
      <c r="H117"/>
      <c r="I117"/>
      <c r="J117"/>
      <c r="K117"/>
      <c r="L117"/>
      <c r="N117" s="379"/>
      <c r="O117" s="379"/>
      <c r="Q117" s="379"/>
      <c r="V117" s="5"/>
      <c r="W117" s="5"/>
      <c r="X117" s="5"/>
      <c r="AD117" s="5"/>
      <c r="AE117" s="5"/>
    </row>
    <row r="118" spans="1:30" ht="12.75">
      <c r="A118" s="397" t="s">
        <v>185</v>
      </c>
      <c r="B118" s="590"/>
      <c r="C118" s="590"/>
      <c r="D118" s="590">
        <f t="shared" si="43"/>
        <v>406.08</v>
      </c>
      <c r="E118" s="632">
        <f>SUMPRODUCT('Cost-Effectiveness Level'!$I$3:$K$3,B118:D118)</f>
        <v>170.5536</v>
      </c>
      <c r="F118" s="633">
        <v>0</v>
      </c>
      <c r="G118"/>
      <c r="H118"/>
      <c r="I118"/>
      <c r="J118"/>
      <c r="K118"/>
      <c r="L118"/>
      <c r="N118" s="379"/>
      <c r="O118" s="379"/>
      <c r="U118" s="5"/>
      <c r="V118" s="5"/>
      <c r="W118" s="5"/>
      <c r="AC118" s="5"/>
      <c r="AD118" s="5"/>
    </row>
    <row r="119" spans="1:30" ht="12.75">
      <c r="A119" s="397" t="s">
        <v>488</v>
      </c>
      <c r="B119" s="590">
        <f t="shared" si="42"/>
        <v>1505.1622909598884</v>
      </c>
      <c r="C119" s="590">
        <f aca="true" t="shared" si="44" ref="C119:C124">VLOOKUP($A119,$Z$45:$AB$59,3,0)</f>
        <v>2385.8423548193973</v>
      </c>
      <c r="D119" s="590">
        <f t="shared" si="43"/>
        <v>5043.894911195371</v>
      </c>
      <c r="E119" s="632">
        <f>SUMPRODUCT('Cost-Effectiveness Level'!$I$3:$K$3,B119:D119)</f>
        <v>3326.088415725404</v>
      </c>
      <c r="F119" s="634">
        <f>B63</f>
        <v>0.20624694795404877</v>
      </c>
      <c r="G119"/>
      <c r="H119"/>
      <c r="I119"/>
      <c r="J119"/>
      <c r="K119"/>
      <c r="L119"/>
      <c r="N119" s="379"/>
      <c r="O119" s="379"/>
      <c r="U119" s="5"/>
      <c r="V119" s="5"/>
      <c r="W119" s="5"/>
      <c r="AC119" s="5"/>
      <c r="AD119" s="5"/>
    </row>
    <row r="120" spans="1:30" ht="12.75">
      <c r="A120" s="436" t="s">
        <v>180</v>
      </c>
      <c r="B120" s="590">
        <f t="shared" si="42"/>
        <v>600.46875</v>
      </c>
      <c r="C120" s="590">
        <f t="shared" si="44"/>
        <v>600.46875</v>
      </c>
      <c r="D120" s="590">
        <f t="shared" si="43"/>
        <v>600.46875</v>
      </c>
      <c r="E120" s="632">
        <f>SUMPRODUCT('Cost-Effectiveness Level'!$I$3:$K$3,B120:D120)</f>
        <v>600.46875</v>
      </c>
      <c r="F120" s="633">
        <v>0</v>
      </c>
      <c r="G120"/>
      <c r="H120"/>
      <c r="I120"/>
      <c r="J120"/>
      <c r="K120"/>
      <c r="L120"/>
      <c r="N120" s="379"/>
      <c r="O120" s="379"/>
      <c r="U120" s="5"/>
      <c r="V120" s="5"/>
      <c r="W120" s="5"/>
      <c r="AC120" s="5"/>
      <c r="AD120" s="5"/>
    </row>
    <row r="121" spans="1:30" ht="12.75">
      <c r="A121" s="397" t="s">
        <v>174</v>
      </c>
      <c r="B121" s="590">
        <f t="shared" si="42"/>
        <v>168.8311330778076</v>
      </c>
      <c r="C121" s="590">
        <f t="shared" si="44"/>
        <v>268.14356430004733</v>
      </c>
      <c r="D121" s="590">
        <f t="shared" si="43"/>
        <v>144.59889985958108</v>
      </c>
      <c r="E121" s="632">
        <f>SUMPRODUCT('Cost-Effectiveness Level'!$I$3:$K$3,B121:D121)</f>
        <v>196.39231899060354</v>
      </c>
      <c r="F121" s="635">
        <f>B59</f>
        <v>0.21133978395883135</v>
      </c>
      <c r="G121"/>
      <c r="H121"/>
      <c r="I121"/>
      <c r="J121"/>
      <c r="K121"/>
      <c r="L121"/>
      <c r="N121" s="379"/>
      <c r="O121" s="379"/>
      <c r="U121" s="5"/>
      <c r="V121" s="5"/>
      <c r="W121" s="5"/>
      <c r="AC121" s="5"/>
      <c r="AD121" s="5"/>
    </row>
    <row r="122" spans="1:30" ht="12.75">
      <c r="A122" s="397" t="s">
        <v>176</v>
      </c>
      <c r="B122" s="590">
        <f t="shared" si="42"/>
        <v>212.5</v>
      </c>
      <c r="C122" s="590">
        <f t="shared" si="44"/>
        <v>337.5</v>
      </c>
      <c r="D122" s="590">
        <f t="shared" si="43"/>
        <v>182</v>
      </c>
      <c r="E122" s="632">
        <f>SUMPRODUCT('Cost-Effectiveness Level'!$I$3:$K$3,B122:D122)</f>
        <v>247.19</v>
      </c>
      <c r="F122" s="635">
        <f>B60</f>
        <v>0.05567381247519047</v>
      </c>
      <c r="G122"/>
      <c r="H122"/>
      <c r="I122"/>
      <c r="J122"/>
      <c r="K122"/>
      <c r="L122"/>
      <c r="M122" s="5"/>
      <c r="N122" s="379"/>
      <c r="O122" s="379"/>
      <c r="U122" s="5"/>
      <c r="V122" s="5"/>
      <c r="W122" s="5"/>
      <c r="AC122" s="5"/>
      <c r="AD122" s="5"/>
    </row>
    <row r="123" spans="1:30" ht="12.75">
      <c r="A123" s="397" t="s">
        <v>490</v>
      </c>
      <c r="B123" s="590">
        <f t="shared" si="42"/>
        <v>425</v>
      </c>
      <c r="C123" s="590">
        <f t="shared" si="44"/>
        <v>675</v>
      </c>
      <c r="D123" s="590">
        <f t="shared" si="43"/>
        <v>1092</v>
      </c>
      <c r="E123" s="632">
        <f>SUMPRODUCT('Cost-Effectiveness Level'!$I$3:$K$3,B123:D123)</f>
        <v>800.14</v>
      </c>
      <c r="F123" s="635">
        <f>B62</f>
        <v>0.023378222371556377</v>
      </c>
      <c r="G123"/>
      <c r="H123"/>
      <c r="I123"/>
      <c r="J123"/>
      <c r="K123"/>
      <c r="L123"/>
      <c r="M123" s="437"/>
      <c r="N123" s="379"/>
      <c r="O123" s="379"/>
      <c r="U123" s="5"/>
      <c r="V123" s="5"/>
      <c r="W123" s="5"/>
      <c r="AC123" s="5"/>
      <c r="AD123" s="5"/>
    </row>
    <row r="124" spans="1:30" ht="12.75">
      <c r="A124" s="397" t="s">
        <v>233</v>
      </c>
      <c r="B124" s="590">
        <f>VLOOKUP($A124,$T$45:$V$56,3,0)</f>
        <v>654.118032745393</v>
      </c>
      <c r="C124" s="590">
        <f t="shared" si="44"/>
        <v>816.436211241472</v>
      </c>
      <c r="D124" s="590">
        <f>VLOOKUP($A124,$AF$45:$AH$58,3,0)</f>
        <v>1228.2883059330159</v>
      </c>
      <c r="E124" s="632">
        <f>SUMPRODUCT('Cost-Effectiveness Level'!$I$3:$K$3,B124:D124)</f>
        <v>956.9504553127047</v>
      </c>
      <c r="F124" s="635">
        <f>B61</f>
        <v>0.16708669998201614</v>
      </c>
      <c r="G124"/>
      <c r="H124"/>
      <c r="I124"/>
      <c r="J124"/>
      <c r="K124"/>
      <c r="L124"/>
      <c r="M124" s="437"/>
      <c r="N124" s="437"/>
      <c r="U124" s="5"/>
      <c r="V124" s="5"/>
      <c r="W124" s="5"/>
      <c r="AC124" s="5"/>
      <c r="AD124" s="5"/>
    </row>
    <row r="125" spans="1:30" ht="13.5" thickBot="1">
      <c r="A125" s="413" t="s">
        <v>559</v>
      </c>
      <c r="B125" s="592">
        <f>SUM(B116:B124)</f>
        <v>4579.58349973616</v>
      </c>
      <c r="C125" s="592">
        <f>SUM(C116:C124)</f>
        <v>6693.072580933443</v>
      </c>
      <c r="D125" s="592">
        <f>SUM(D116:D124)</f>
        <v>9565.366628481894</v>
      </c>
      <c r="E125" s="632">
        <f>SUMPRODUCT('Cost-Effectiveness Level'!$I$3:$K$3,B125:D125)</f>
        <v>7476.738264664336</v>
      </c>
      <c r="F125" s="635">
        <f>SUM(F116:F124)</f>
        <v>1</v>
      </c>
      <c r="G125"/>
      <c r="H125"/>
      <c r="I125"/>
      <c r="J125"/>
      <c r="K125"/>
      <c r="L125"/>
      <c r="M125" s="437"/>
      <c r="N125" s="437"/>
      <c r="U125" s="5"/>
      <c r="V125" s="5"/>
      <c r="W125" s="5"/>
      <c r="AC125" s="5"/>
      <c r="AD125" s="5"/>
    </row>
    <row r="126" spans="1:30" ht="13.5" thickBot="1">
      <c r="A126" s="630" t="s">
        <v>565</v>
      </c>
      <c r="B126" s="631">
        <f>SUMPRODUCT(B116:B124,$F116:$F124)</f>
        <v>597.193534734465</v>
      </c>
      <c r="C126" s="631">
        <f>SUMPRODUCT(C116:C124,$F116:$F124)</f>
        <v>910.3428967969423</v>
      </c>
      <c r="D126" s="631">
        <f>SUMPRODUCT(D116:D124,$F116:$F124)</f>
        <v>1414.5305983186365</v>
      </c>
      <c r="E126" s="631">
        <f>SUMPRODUCT(E116:E124,$F116:$F124)+E118</f>
        <v>1230.0254590235586</v>
      </c>
      <c r="F126" s="5"/>
      <c r="G126"/>
      <c r="H126"/>
      <c r="I126"/>
      <c r="J126"/>
      <c r="K126"/>
      <c r="L126"/>
      <c r="M126" s="437"/>
      <c r="N126" s="437"/>
      <c r="U126" s="5"/>
      <c r="V126" s="5"/>
      <c r="W126" s="5"/>
      <c r="AC126" s="5"/>
      <c r="AD126" s="5"/>
    </row>
    <row r="127" spans="6:30" ht="13.5" thickBot="1">
      <c r="F127" s="5"/>
      <c r="G127"/>
      <c r="H127"/>
      <c r="I127"/>
      <c r="J127"/>
      <c r="K127"/>
      <c r="L127"/>
      <c r="M127" s="437"/>
      <c r="N127" s="437"/>
      <c r="U127" s="5"/>
      <c r="V127" s="5"/>
      <c r="W127" s="5"/>
      <c r="AC127" s="5"/>
      <c r="AD127" s="5"/>
    </row>
    <row r="128" spans="1:30" ht="13.5" thickBot="1">
      <c r="A128" s="731" t="s">
        <v>569</v>
      </c>
      <c r="B128" s="732"/>
      <c r="C128" s="732"/>
      <c r="D128" s="733"/>
      <c r="F128" s="5"/>
      <c r="G128"/>
      <c r="H128"/>
      <c r="I128"/>
      <c r="J128"/>
      <c r="K128"/>
      <c r="L128"/>
      <c r="M128" s="437"/>
      <c r="N128" s="437"/>
      <c r="U128" s="5"/>
      <c r="V128" s="5"/>
      <c r="W128" s="5"/>
      <c r="AC128" s="5"/>
      <c r="AD128" s="5"/>
    </row>
    <row r="129" spans="1:30" ht="13.5" thickBot="1">
      <c r="A129" s="646"/>
      <c r="B129" s="369">
        <v>850</v>
      </c>
      <c r="C129" s="369">
        <v>1350</v>
      </c>
      <c r="D129" s="369">
        <v>2184</v>
      </c>
      <c r="E129" s="370">
        <f>('Cost-Effectiveness Level'!$I$3*B129)+('Cost-Effectiveness Level'!$J$3*C129)+('Cost-Effectiveness Level'!$K$3*D129)</f>
        <v>1600.28</v>
      </c>
      <c r="F129" s="647" t="s">
        <v>28</v>
      </c>
      <c r="G129"/>
      <c r="H129"/>
      <c r="I129"/>
      <c r="J129"/>
      <c r="K129"/>
      <c r="L129"/>
      <c r="M129" s="437"/>
      <c r="N129" s="437"/>
      <c r="U129" s="5"/>
      <c r="V129" s="5"/>
      <c r="W129" s="5"/>
      <c r="AC129" s="5"/>
      <c r="AD129" s="5"/>
    </row>
    <row r="130" spans="1:30" ht="12.75">
      <c r="A130" s="656" t="s">
        <v>172</v>
      </c>
      <c r="B130" s="657">
        <v>3150.737572530861</v>
      </c>
      <c r="C130" s="657">
        <v>5464.02590973585</v>
      </c>
      <c r="D130" s="657">
        <v>2694.36950707086</v>
      </c>
      <c r="E130" s="658">
        <f>('Cost-Effectiveness Level'!$I$3*B130)+('Cost-Effectiveness Level'!$J$3*C130)+('Cost-Effectiveness Level'!$K$3*D130)</f>
        <v>3838.1125531755565</v>
      </c>
      <c r="F130" s="653">
        <f>F116</f>
        <v>0.05662447889271396</v>
      </c>
      <c r="G130"/>
      <c r="H130"/>
      <c r="I130"/>
      <c r="J130"/>
      <c r="K130"/>
      <c r="L130"/>
      <c r="M130" s="437"/>
      <c r="N130" s="437"/>
      <c r="U130" s="5"/>
      <c r="V130" s="5"/>
      <c r="W130" s="5"/>
      <c r="AC130" s="5"/>
      <c r="AD130" s="5"/>
    </row>
    <row r="131" spans="1:30" ht="12.75">
      <c r="A131" s="321" t="s">
        <v>177</v>
      </c>
      <c r="B131" s="650">
        <v>603.5527981248288</v>
      </c>
      <c r="C131" s="650">
        <v>2613.9458973337096</v>
      </c>
      <c r="D131" s="650">
        <v>533.9147173325618</v>
      </c>
      <c r="E131" s="654">
        <f>('Cost-Effectiveness Level'!$I$3*B131)+('Cost-Effectiveness Level'!$J$3*C131)+('Cost-Effectiveness Level'!$K$3*D131)</f>
        <v>1338.2541818914515</v>
      </c>
      <c r="F131" s="653">
        <f aca="true" t="shared" si="45" ref="F131:F139">F117</f>
        <v>0.27965005436564294</v>
      </c>
      <c r="G131"/>
      <c r="I131" s="437"/>
      <c r="J131" s="437"/>
      <c r="K131" s="437"/>
      <c r="L131" s="437"/>
      <c r="M131" s="437"/>
      <c r="N131" s="437"/>
      <c r="U131" s="5"/>
      <c r="V131" s="5"/>
      <c r="W131" s="5"/>
      <c r="AC131" s="5"/>
      <c r="AD131" s="5"/>
    </row>
    <row r="132" spans="1:30" ht="12.75">
      <c r="A132" s="397" t="s">
        <v>185</v>
      </c>
      <c r="B132" s="650"/>
      <c r="C132" s="650"/>
      <c r="D132" s="650">
        <v>609.4755397304089</v>
      </c>
      <c r="E132" s="654">
        <f>('Cost-Effectiveness Level'!$I$3*B132)+('Cost-Effectiveness Level'!$J$3*C132)+('Cost-Effectiveness Level'!$K$3*D132)</f>
        <v>255.9797266867717</v>
      </c>
      <c r="F132" s="653">
        <f t="shared" si="45"/>
        <v>0</v>
      </c>
      <c r="H132" s="437"/>
      <c r="I132" s="437"/>
      <c r="J132" s="437"/>
      <c r="K132" s="437"/>
      <c r="L132" s="437"/>
      <c r="M132" s="437"/>
      <c r="N132" s="437"/>
      <c r="U132" s="5"/>
      <c r="V132" s="5"/>
      <c r="W132" s="5"/>
      <c r="AC132" s="5"/>
      <c r="AD132" s="5"/>
    </row>
    <row r="133" spans="1:30" ht="12.75">
      <c r="A133" s="397" t="s">
        <v>488</v>
      </c>
      <c r="B133" s="650">
        <v>2304.784919693048</v>
      </c>
      <c r="C133" s="650">
        <v>5701.754072651231</v>
      </c>
      <c r="D133" s="650">
        <v>8049.263962222634</v>
      </c>
      <c r="E133" s="654">
        <f>('Cost-Effectiveness Level'!$I$3*B133)+('Cost-Effectiveness Level'!$J$3*C133)+('Cost-Effectiveness Level'!$K$3*D133)</f>
        <v>6008.314395679583</v>
      </c>
      <c r="F133" s="653">
        <f t="shared" si="45"/>
        <v>0.20624694795404877</v>
      </c>
      <c r="H133" s="437"/>
      <c r="I133" s="437"/>
      <c r="J133" s="437"/>
      <c r="K133" s="437"/>
      <c r="L133" s="437"/>
      <c r="M133" s="437"/>
      <c r="N133" s="437"/>
      <c r="U133" s="5"/>
      <c r="V133" s="5"/>
      <c r="W133" s="5"/>
      <c r="AC133" s="5"/>
      <c r="AD133" s="5"/>
    </row>
    <row r="134" spans="1:30" ht="12.75">
      <c r="A134" s="436" t="s">
        <v>180</v>
      </c>
      <c r="B134" s="650">
        <v>333.9321476706664</v>
      </c>
      <c r="C134" s="650">
        <v>2275.382901774734</v>
      </c>
      <c r="D134" s="650">
        <v>352.97228244950384</v>
      </c>
      <c r="E134" s="654">
        <f>('Cost-Effectiveness Level'!$I$3*B134)+('Cost-Effectiveness Level'!$J$3*C134)+('Cost-Effectiveness Level'!$K$3*D134)</f>
        <v>1079.6802908373238</v>
      </c>
      <c r="F134" s="653">
        <f t="shared" si="45"/>
        <v>0</v>
      </c>
      <c r="H134" s="437"/>
      <c r="I134" s="437"/>
      <c r="J134" s="437"/>
      <c r="K134" s="437"/>
      <c r="L134" s="437"/>
      <c r="M134" s="437"/>
      <c r="N134" s="437"/>
      <c r="U134" s="5"/>
      <c r="V134" s="5"/>
      <c r="W134" s="5"/>
      <c r="AC134" s="5"/>
      <c r="AD134" s="5"/>
    </row>
    <row r="135" spans="1:30" ht="12.75">
      <c r="A135" s="397" t="s">
        <v>174</v>
      </c>
      <c r="B135" s="650">
        <v>408.3899102508376</v>
      </c>
      <c r="C135" s="650">
        <v>2584.370946072977</v>
      </c>
      <c r="D135" s="650">
        <v>356.9013743640098</v>
      </c>
      <c r="E135" s="654">
        <f>('Cost-Effectiveness Level'!$I$3*B135)+('Cost-Effectiveness Level'!$J$3*C135)+('Cost-Effectiveness Level'!$K$3*D135)</f>
        <v>1213.637518790783</v>
      </c>
      <c r="F135" s="653">
        <f t="shared" si="45"/>
        <v>0.21133978395883135</v>
      </c>
      <c r="H135" s="437"/>
      <c r="I135" s="437"/>
      <c r="J135" s="437"/>
      <c r="K135" s="437"/>
      <c r="L135" s="437"/>
      <c r="M135" s="437"/>
      <c r="N135" s="437"/>
      <c r="U135" s="5"/>
      <c r="V135" s="5"/>
      <c r="W135" s="5"/>
      <c r="AC135" s="5"/>
      <c r="AD135" s="5"/>
    </row>
    <row r="136" spans="1:30" ht="12.75">
      <c r="A136" s="397" t="s">
        <v>176</v>
      </c>
      <c r="B136" s="650">
        <v>341.54256521329717</v>
      </c>
      <c r="C136" s="650">
        <v>2478.4639002357544</v>
      </c>
      <c r="D136" s="650">
        <v>303.60671549987455</v>
      </c>
      <c r="E136" s="654">
        <f>('Cost-Effectiveness Level'!$I$3*B136)+('Cost-Effectiveness Level'!$J$3*C136)+('Cost-Effectiveness Level'!$K$3*D136)</f>
        <v>1137.6396156421936</v>
      </c>
      <c r="F136" s="653">
        <f t="shared" si="45"/>
        <v>0.05567381247519047</v>
      </c>
      <c r="H136" s="437"/>
      <c r="I136" s="437"/>
      <c r="J136" s="437"/>
      <c r="K136" s="437"/>
      <c r="L136" s="437"/>
      <c r="M136" s="437"/>
      <c r="N136" s="437"/>
      <c r="U136" s="5"/>
      <c r="V136" s="5"/>
      <c r="W136" s="5"/>
      <c r="AC136" s="5"/>
      <c r="AD136" s="5"/>
    </row>
    <row r="137" spans="1:30" ht="12.75">
      <c r="A137" s="397" t="s">
        <v>490</v>
      </c>
      <c r="B137" s="650">
        <v>378.94867858190537</v>
      </c>
      <c r="C137" s="650">
        <v>2302.8852517600817</v>
      </c>
      <c r="D137" s="650">
        <v>384.07936147084365</v>
      </c>
      <c r="E137" s="654">
        <f>('Cost-Effectiveness Level'!$I$3*B137)+('Cost-Effectiveness Level'!$J$3*C137)+('Cost-Effectiveness Level'!$K$3*D137)</f>
        <v>1112.1994632029664</v>
      </c>
      <c r="F137" s="653">
        <f t="shared" si="45"/>
        <v>0.023378222371556377</v>
      </c>
      <c r="H137" s="437"/>
      <c r="I137" s="437"/>
      <c r="J137" s="437"/>
      <c r="K137" s="437"/>
      <c r="L137" s="437"/>
      <c r="M137" s="437"/>
      <c r="N137" s="437"/>
      <c r="U137" s="5"/>
      <c r="V137" s="5"/>
      <c r="W137" s="5"/>
      <c r="AC137" s="5"/>
      <c r="AD137" s="5"/>
    </row>
    <row r="138" spans="1:30" ht="12.75">
      <c r="A138" s="397" t="s">
        <v>233</v>
      </c>
      <c r="B138" s="650">
        <v>1701.2242708170406</v>
      </c>
      <c r="C138" s="650">
        <v>4085.5941280182324</v>
      </c>
      <c r="D138" s="650">
        <v>3244.915079874605</v>
      </c>
      <c r="E138" s="654">
        <f>('Cost-Effectiveness Level'!$I$3*B138)+('Cost-Effectiveness Level'!$J$3*C138)+('Cost-Effectiveness Level'!$K$3*D138)</f>
        <v>3255.6349563576705</v>
      </c>
      <c r="F138" s="653">
        <f t="shared" si="45"/>
        <v>0.16708669998201614</v>
      </c>
      <c r="H138" s="379"/>
      <c r="I138" s="437"/>
      <c r="J138" s="437"/>
      <c r="K138" s="437"/>
      <c r="L138" s="437"/>
      <c r="M138" s="437"/>
      <c r="N138" s="437"/>
      <c r="U138" s="5"/>
      <c r="V138" s="5"/>
      <c r="W138" s="5"/>
      <c r="AC138" s="5"/>
      <c r="AD138" s="5"/>
    </row>
    <row r="139" spans="1:30" ht="13.5" thickBot="1">
      <c r="A139" s="413" t="s">
        <v>573</v>
      </c>
      <c r="B139" s="651">
        <f>SUM(B130:B138)</f>
        <v>9223.112862882484</v>
      </c>
      <c r="C139" s="651">
        <f>SUM(C130:C138)</f>
        <v>27506.42300758257</v>
      </c>
      <c r="D139" s="651">
        <f>SUM(D130:D138)</f>
        <v>16529.498540015302</v>
      </c>
      <c r="E139" s="655">
        <f>('Cost-Effectiveness Level'!$I$3*B139)+('Cost-Effectiveness Level'!$J$3*C139)+('Cost-Effectiveness Level'!$K$3*D139)</f>
        <v>19239.452702264298</v>
      </c>
      <c r="F139" s="653">
        <f t="shared" si="45"/>
        <v>1</v>
      </c>
      <c r="G139" s="5"/>
      <c r="H139" s="379"/>
      <c r="I139" s="437"/>
      <c r="J139" s="437"/>
      <c r="K139" s="437"/>
      <c r="L139" s="437"/>
      <c r="M139" s="437"/>
      <c r="N139" s="437"/>
      <c r="U139" s="5"/>
      <c r="V139" s="5"/>
      <c r="W139" s="5"/>
      <c r="AC139" s="5"/>
      <c r="AD139" s="5"/>
    </row>
    <row r="140" spans="1:30" ht="13.5" thickBot="1">
      <c r="A140" s="659" t="s">
        <v>574</v>
      </c>
      <c r="B140" s="652">
        <f>SUMPRODUCT(B130:B138,$F130:$F138)</f>
        <v>1220.9824093043928</v>
      </c>
      <c r="C140" s="652">
        <f>SUMPRODUCT(C130:C138,$F130:$F138)</f>
        <v>3637.008843211277</v>
      </c>
      <c r="D140" s="652">
        <f>SUMPRODUCT(D130:D138,$F130:$F138)</f>
        <v>2605.5043223324733</v>
      </c>
      <c r="E140" s="652">
        <f>SUMPRODUCT(E130:E138,$F130:$F138)</f>
        <v>2720.5716576608024</v>
      </c>
      <c r="F140" s="5"/>
      <c r="G140" s="5"/>
      <c r="H140" s="379"/>
      <c r="I140" s="379"/>
      <c r="J140" s="378"/>
      <c r="K140" s="379"/>
      <c r="L140" s="379"/>
      <c r="M140" s="379"/>
      <c r="N140" s="437"/>
      <c r="U140" s="5"/>
      <c r="V140" s="5"/>
      <c r="W140" s="5"/>
      <c r="AC140" s="5"/>
      <c r="AD140" s="5"/>
    </row>
    <row r="141" spans="2:30" ht="13.5" thickBot="1">
      <c r="B141" s="5"/>
      <c r="C141" s="5"/>
      <c r="D141" s="5"/>
      <c r="E141" s="5"/>
      <c r="F141" s="5"/>
      <c r="G141" s="5"/>
      <c r="H141" s="379"/>
      <c r="J141" s="378"/>
      <c r="N141" s="379"/>
      <c r="U141" s="5"/>
      <c r="V141" s="5"/>
      <c r="W141" s="5"/>
      <c r="AC141" s="5"/>
      <c r="AD141" s="5"/>
    </row>
    <row r="142" spans="1:30" ht="13.5" thickBot="1">
      <c r="A142" s="731" t="s">
        <v>570</v>
      </c>
      <c r="B142" s="732"/>
      <c r="C142" s="732"/>
      <c r="D142" s="733"/>
      <c r="F142" s="5"/>
      <c r="G142" s="5"/>
      <c r="H142" s="5"/>
      <c r="J142" s="378"/>
      <c r="U142" s="5"/>
      <c r="V142" s="5"/>
      <c r="W142" s="5"/>
      <c r="AC142" s="5"/>
      <c r="AD142" s="5"/>
    </row>
    <row r="143" spans="1:30" ht="13.5" thickBot="1">
      <c r="A143" s="646"/>
      <c r="B143" s="369">
        <v>850</v>
      </c>
      <c r="C143" s="369">
        <v>1350</v>
      </c>
      <c r="D143" s="369">
        <v>2184</v>
      </c>
      <c r="E143" s="370">
        <f>('Cost-Effectiveness Level'!$I$3*B143)+('Cost-Effectiveness Level'!$J$3*C143)+('Cost-Effectiveness Level'!$K$3*D143)</f>
        <v>1600.28</v>
      </c>
      <c r="F143" s="647" t="s">
        <v>28</v>
      </c>
      <c r="G143" s="5"/>
      <c r="J143" s="378"/>
      <c r="U143" s="5"/>
      <c r="V143" s="5"/>
      <c r="W143" s="5"/>
      <c r="AC143" s="5"/>
      <c r="AD143" s="5"/>
    </row>
    <row r="144" spans="1:30" ht="12.75">
      <c r="A144" s="656" t="s">
        <v>172</v>
      </c>
      <c r="B144" s="657">
        <v>3996.742772825486</v>
      </c>
      <c r="C144" s="657">
        <v>6893.754610072014</v>
      </c>
      <c r="D144" s="657">
        <v>3401.3067559643023</v>
      </c>
      <c r="E144" s="658">
        <f>('Cost-Effectiveness Level'!$I$3*B144)+('Cost-Effectiveness Level'!$J$3*C144)+('Cost-Effectiveness Level'!$K$3*D144)</f>
        <v>4847.52414389747</v>
      </c>
      <c r="F144" s="653">
        <f>F130</f>
        <v>0.05662447889271396</v>
      </c>
      <c r="G144" s="5"/>
      <c r="J144" s="378"/>
      <c r="U144" s="5"/>
      <c r="V144" s="5"/>
      <c r="W144" s="5"/>
      <c r="AC144" s="5"/>
      <c r="AD144" s="5"/>
    </row>
    <row r="145" spans="1:31" ht="12.75">
      <c r="A145" s="321" t="s">
        <v>177</v>
      </c>
      <c r="B145" s="650">
        <v>780.130249047701</v>
      </c>
      <c r="C145" s="650">
        <v>3299.8969464611764</v>
      </c>
      <c r="D145" s="650">
        <v>681.6297550566778</v>
      </c>
      <c r="E145" s="654">
        <f>('Cost-Effectiveness Level'!$I$3*B145)+('Cost-Effectiveness Level'!$J$3*C145)+('Cost-Effectiveness Level'!$K$3*D145)</f>
        <v>1696.271386588592</v>
      </c>
      <c r="F145" s="653">
        <f aca="true" t="shared" si="46" ref="F145:F153">F131</f>
        <v>0.27965005436564294</v>
      </c>
      <c r="G145" s="5"/>
      <c r="I145" s="437"/>
      <c r="K145" s="378"/>
      <c r="V145" s="5"/>
      <c r="W145" s="5"/>
      <c r="X145" s="5"/>
      <c r="AD145" s="5"/>
      <c r="AE145" s="5"/>
    </row>
    <row r="146" spans="1:31" ht="12.75">
      <c r="A146" s="397" t="s">
        <v>185</v>
      </c>
      <c r="B146" s="650"/>
      <c r="C146" s="650"/>
      <c r="D146" s="650">
        <v>791.6252644651904</v>
      </c>
      <c r="E146" s="654">
        <f>('Cost-Effectiveness Level'!$I$3*B146)+('Cost-Effectiveness Level'!$J$3*C146)+('Cost-Effectiveness Level'!$K$3*D146)</f>
        <v>332.48261107537996</v>
      </c>
      <c r="F146" s="653">
        <f t="shared" si="46"/>
        <v>0</v>
      </c>
      <c r="G146" s="5"/>
      <c r="I146" s="437"/>
      <c r="K146" s="378"/>
      <c r="V146" s="5"/>
      <c r="W146" s="5"/>
      <c r="X146" s="5"/>
      <c r="AD146" s="5"/>
      <c r="AE146" s="5"/>
    </row>
    <row r="147" spans="1:31" ht="12.75">
      <c r="A147" s="397" t="s">
        <v>488</v>
      </c>
      <c r="B147" s="650">
        <v>3028.5315394017343</v>
      </c>
      <c r="C147" s="650">
        <v>7312.293495489364</v>
      </c>
      <c r="D147" s="650">
        <v>10364.01697745015</v>
      </c>
      <c r="E147" s="654">
        <f>('Cost-Effectiveness Level'!$I$3*B147)+('Cost-Effectiveness Level'!$J$3*C147)+('Cost-Effectiveness Level'!$K$3*D147)</f>
        <v>7737.2649666953685</v>
      </c>
      <c r="F147" s="653">
        <f t="shared" si="46"/>
        <v>0.20624694795404877</v>
      </c>
      <c r="G147" s="5"/>
      <c r="H147" s="412"/>
      <c r="I147" s="412"/>
      <c r="K147" s="378"/>
      <c r="V147" s="5"/>
      <c r="W147" s="5"/>
      <c r="X147" s="5"/>
      <c r="AD147" s="5"/>
      <c r="AE147" s="5"/>
    </row>
    <row r="148" spans="1:31" ht="12.75">
      <c r="A148" s="436" t="s">
        <v>180</v>
      </c>
      <c r="B148" s="650">
        <v>450.68339525343254</v>
      </c>
      <c r="C148" s="650">
        <v>2885.2822656716526</v>
      </c>
      <c r="D148" s="650">
        <v>461.8731673014627</v>
      </c>
      <c r="E148" s="654">
        <f>('Cost-Effectiveness Level'!$I$3*B148)+('Cost-Effectiveness Level'!$J$3*C148)+('Cost-Effectiveness Level'!$K$3*D148)</f>
        <v>1380.5306702725288</v>
      </c>
      <c r="F148" s="653">
        <f t="shared" si="46"/>
        <v>0</v>
      </c>
      <c r="H148" s="412"/>
      <c r="I148" s="412"/>
      <c r="K148" s="378"/>
      <c r="V148" s="5"/>
      <c r="W148" s="5"/>
      <c r="X148" s="5"/>
      <c r="AD148" s="5"/>
      <c r="AE148" s="5"/>
    </row>
    <row r="149" spans="1:31" ht="12.75">
      <c r="A149" s="397" t="s">
        <v>174</v>
      </c>
      <c r="B149" s="650">
        <v>524.6204841407434</v>
      </c>
      <c r="C149" s="650">
        <v>3262.4758933113244</v>
      </c>
      <c r="D149" s="650">
        <v>455.32962654330913</v>
      </c>
      <c r="E149" s="654">
        <f>('Cost-Effectiveness Level'!$I$3*B149)+('Cost-Effectiveness Level'!$J$3*C149)+('Cost-Effectiveness Level'!$K$3*D149)</f>
        <v>1535.903379434642</v>
      </c>
      <c r="F149" s="653">
        <f t="shared" si="46"/>
        <v>0.21133978395883135</v>
      </c>
      <c r="G149" s="5"/>
      <c r="H149" s="412"/>
      <c r="I149" s="412"/>
      <c r="K149" s="378"/>
      <c r="V149" s="5"/>
      <c r="W149" s="5"/>
      <c r="X149" s="5"/>
      <c r="AD149" s="5"/>
      <c r="AE149" s="5"/>
    </row>
    <row r="150" spans="1:31" ht="12.75">
      <c r="A150" s="397" t="s">
        <v>176</v>
      </c>
      <c r="B150" s="650">
        <v>443.3667390484552</v>
      </c>
      <c r="C150" s="650">
        <v>3133.058053234381</v>
      </c>
      <c r="D150" s="650">
        <v>388.6699640195002</v>
      </c>
      <c r="E150" s="654">
        <f>('Cost-Effectiveness Level'!$I$3*B150)+('Cost-Effectiveness Level'!$J$3*C150)+('Cost-Effectiveness Level'!$K$3*D150)</f>
        <v>1442.476792926946</v>
      </c>
      <c r="F150" s="653">
        <f t="shared" si="46"/>
        <v>0.05567381247519047</v>
      </c>
      <c r="G150" s="5"/>
      <c r="H150" s="412"/>
      <c r="I150" s="412"/>
      <c r="V150" s="5"/>
      <c r="W150" s="5"/>
      <c r="X150" s="5"/>
      <c r="AD150" s="5"/>
      <c r="AE150" s="5"/>
    </row>
    <row r="151" spans="1:31" ht="12.75">
      <c r="A151" s="397" t="s">
        <v>490</v>
      </c>
      <c r="B151" s="650">
        <v>503.2350659244021</v>
      </c>
      <c r="C151" s="650">
        <v>2923.6681625072097</v>
      </c>
      <c r="D151" s="650">
        <v>504.55058832119175</v>
      </c>
      <c r="E151" s="654">
        <f>('Cost-Effectiveness Level'!$I$3*B151)+('Cost-Effectiveness Level'!$J$3*C151)+('Cost-Effectiveness Level'!$K$3*D151)</f>
        <v>1423.5521620325208</v>
      </c>
      <c r="F151" s="653">
        <f t="shared" si="46"/>
        <v>0.023378222371556377</v>
      </c>
      <c r="G151" s="5"/>
      <c r="H151" s="5"/>
      <c r="I151" s="412"/>
      <c r="J151" s="5"/>
      <c r="V151" s="5"/>
      <c r="W151" s="5"/>
      <c r="X151" s="5"/>
      <c r="AD151" s="5"/>
      <c r="AE151" s="5"/>
    </row>
    <row r="152" spans="1:31" ht="12.75">
      <c r="A152" s="397" t="s">
        <v>233</v>
      </c>
      <c r="B152" s="650">
        <v>2175.7036462827455</v>
      </c>
      <c r="C152" s="650">
        <v>5164.306784951234</v>
      </c>
      <c r="D152" s="650">
        <v>4124.266574702233</v>
      </c>
      <c r="E152" s="654">
        <f>('Cost-Effectiveness Level'!$I$3*B152)+('Cost-Effectiveness Level'!$J$3*C152)+('Cost-Effectiveness Level'!$K$3*D152)</f>
        <v>4129.769268912956</v>
      </c>
      <c r="F152" s="653">
        <f t="shared" si="46"/>
        <v>0.16708669998201614</v>
      </c>
      <c r="G152" s="5"/>
      <c r="H152" s="5"/>
      <c r="I152" s="412"/>
      <c r="J152" s="5"/>
      <c r="V152" s="5"/>
      <c r="W152" s="5"/>
      <c r="X152" s="5"/>
      <c r="AD152" s="5"/>
      <c r="AE152" s="5"/>
    </row>
    <row r="153" spans="1:31" ht="13.5" thickBot="1">
      <c r="A153" s="413" t="s">
        <v>573</v>
      </c>
      <c r="B153" s="651">
        <f>SUM(B144:B152)</f>
        <v>11903.0138919247</v>
      </c>
      <c r="C153" s="651">
        <f>SUM(C144:C152)</f>
        <v>34874.73621169836</v>
      </c>
      <c r="D153" s="651">
        <f>SUM(D144:D152)</f>
        <v>21173.26867382402</v>
      </c>
      <c r="E153" s="655">
        <f>('Cost-Effectiveness Level'!$I$3*B153)+('Cost-Effectiveness Level'!$J$3*C153)+('Cost-Effectiveness Level'!$K$3*D153)</f>
        <v>24525.775381836404</v>
      </c>
      <c r="F153" s="653">
        <f t="shared" si="46"/>
        <v>1</v>
      </c>
      <c r="G153" s="5"/>
      <c r="H153" s="5"/>
      <c r="I153" s="412"/>
      <c r="J153" s="5"/>
      <c r="V153" s="5"/>
      <c r="W153" s="5"/>
      <c r="X153" s="5"/>
      <c r="AD153" s="5"/>
      <c r="AE153" s="5"/>
    </row>
    <row r="154" spans="1:30" ht="13.5" thickBot="1">
      <c r="A154" s="659" t="s">
        <v>574</v>
      </c>
      <c r="B154" s="652">
        <f>SUMPRODUCT(B144:B152,$F144:$F152)</f>
        <v>1579.9553102608927</v>
      </c>
      <c r="C154" s="652">
        <f>SUMPRODUCT(C144:C152,$F144:$F152)</f>
        <v>4616.467218706321</v>
      </c>
      <c r="D154" s="652">
        <f>SUMPRODUCT(D144:D152,$F144:$F152)</f>
        <v>3339.5354820725056</v>
      </c>
      <c r="E154" s="652">
        <f>SUMPRODUCT(E144:E152,$F144:$F152)</f>
        <v>3472.853507631033</v>
      </c>
      <c r="F154" s="5"/>
      <c r="G154" s="5"/>
      <c r="H154" s="5"/>
      <c r="I154" s="5"/>
      <c r="U154" s="5"/>
      <c r="V154" s="5"/>
      <c r="W154" s="5"/>
      <c r="AC154" s="5"/>
      <c r="AD154" s="5"/>
    </row>
    <row r="155" spans="2:30" ht="13.5" thickBot="1">
      <c r="B155" s="5"/>
      <c r="C155" s="5"/>
      <c r="D155" s="5"/>
      <c r="E155" s="5"/>
      <c r="F155" s="5"/>
      <c r="G155" s="5"/>
      <c r="H155" s="5"/>
      <c r="I155" s="5"/>
      <c r="U155" s="5"/>
      <c r="V155" s="5"/>
      <c r="W155" s="5"/>
      <c r="AC155" s="5"/>
      <c r="AD155" s="5"/>
    </row>
    <row r="156" spans="1:30" ht="13.5" thickBot="1">
      <c r="A156" s="731" t="s">
        <v>571</v>
      </c>
      <c r="B156" s="732"/>
      <c r="C156" s="732"/>
      <c r="D156" s="733"/>
      <c r="F156" s="5"/>
      <c r="G156" s="5"/>
      <c r="H156" s="5"/>
      <c r="I156" s="5"/>
      <c r="U156" s="5"/>
      <c r="V156" s="5"/>
      <c r="W156" s="5"/>
      <c r="AC156" s="5"/>
      <c r="AD156" s="5"/>
    </row>
    <row r="157" spans="1:30" ht="13.5" thickBot="1">
      <c r="A157" s="646"/>
      <c r="B157" s="369">
        <v>850</v>
      </c>
      <c r="C157" s="369">
        <v>1350</v>
      </c>
      <c r="D157" s="369">
        <v>2184</v>
      </c>
      <c r="E157" s="370">
        <f>('Cost-Effectiveness Level'!$I$3*B157)+('Cost-Effectiveness Level'!$J$3*C157)+('Cost-Effectiveness Level'!$K$3*D157)</f>
        <v>1600.28</v>
      </c>
      <c r="F157" s="647" t="s">
        <v>28</v>
      </c>
      <c r="G157" s="5"/>
      <c r="H157" s="5"/>
      <c r="I157" s="5"/>
      <c r="U157" s="5"/>
      <c r="V157" s="5"/>
      <c r="W157" s="5"/>
      <c r="AC157" s="5"/>
      <c r="AD157" s="5"/>
    </row>
    <row r="158" spans="1:30" ht="12.75">
      <c r="A158" s="656" t="s">
        <v>172</v>
      </c>
      <c r="B158" s="657">
        <v>4666.191890398804</v>
      </c>
      <c r="C158" s="657">
        <v>8024.735359674181</v>
      </c>
      <c r="D158" s="657">
        <v>3986.773670557297</v>
      </c>
      <c r="E158" s="658">
        <f>('Cost-Effectiveness Level'!$I$3*B158)+('Cost-Effectiveness Level'!$J$3*C158)+('Cost-Effectiveness Level'!$K$3*D158)</f>
        <v>5657.082756390015</v>
      </c>
      <c r="F158" s="653">
        <f>F144</f>
        <v>0.05662447889271396</v>
      </c>
      <c r="G158" s="5"/>
      <c r="H158" s="5"/>
      <c r="I158" s="5"/>
      <c r="U158" s="5"/>
      <c r="V158" s="5"/>
      <c r="W158" s="5"/>
      <c r="AC158" s="5"/>
      <c r="AD158" s="5"/>
    </row>
    <row r="159" spans="1:30" ht="12.75">
      <c r="A159" s="321" t="s">
        <v>177</v>
      </c>
      <c r="B159" s="650">
        <v>923.853867565249</v>
      </c>
      <c r="C159" s="650">
        <v>3852.8767376767646</v>
      </c>
      <c r="D159" s="650">
        <v>803.8897965745709</v>
      </c>
      <c r="E159" s="654">
        <f>('Cost-Effectiveness Level'!$I$3*B159)+('Cost-Effectiveness Level'!$J$3*C159)+('Cost-Effectiveness Level'!$K$3*D159)</f>
        <v>1986.49764839154</v>
      </c>
      <c r="F159" s="653">
        <f aca="true" t="shared" si="47" ref="F159:F167">F145</f>
        <v>0.27965005436564294</v>
      </c>
      <c r="G159" s="5"/>
      <c r="H159" s="5"/>
      <c r="I159" s="5"/>
      <c r="U159" s="5"/>
      <c r="V159" s="5"/>
      <c r="W159" s="5"/>
      <c r="AC159" s="5"/>
      <c r="AD159" s="5"/>
    </row>
    <row r="160" spans="1:30" ht="12.75">
      <c r="A160" s="397" t="s">
        <v>185</v>
      </c>
      <c r="B160" s="650"/>
      <c r="C160" s="650"/>
      <c r="D160" s="650">
        <v>924.5231462055272</v>
      </c>
      <c r="E160" s="654">
        <f>('Cost-Effectiveness Level'!$I$3*B160)+('Cost-Effectiveness Level'!$J$3*C160)+('Cost-Effectiveness Level'!$K$3*D160)</f>
        <v>388.2997214063214</v>
      </c>
      <c r="F160" s="653">
        <f t="shared" si="47"/>
        <v>0</v>
      </c>
      <c r="G160" s="5"/>
      <c r="H160" s="5"/>
      <c r="I160" s="5"/>
      <c r="U160" s="5"/>
      <c r="V160" s="5"/>
      <c r="W160" s="5"/>
      <c r="AC160" s="5"/>
      <c r="AD160" s="5"/>
    </row>
    <row r="161" spans="1:30" ht="12.75">
      <c r="A161" s="397" t="s">
        <v>488</v>
      </c>
      <c r="B161" s="650">
        <v>3572.873440323704</v>
      </c>
      <c r="C161" s="650">
        <v>8575.311456509744</v>
      </c>
      <c r="D161" s="650">
        <v>12167.714921756928</v>
      </c>
      <c r="E161" s="654">
        <f>('Cost-Effectiveness Level'!$I$3*B161)+('Cost-Effectiveness Level'!$J$3*C161)+('Cost-Effectiveness Level'!$K$3*D161)</f>
        <v>9083.633308676353</v>
      </c>
      <c r="F161" s="653">
        <f t="shared" si="47"/>
        <v>0.20624694795404877</v>
      </c>
      <c r="G161" s="5"/>
      <c r="H161" s="5"/>
      <c r="I161" s="5"/>
      <c r="U161" s="5"/>
      <c r="V161" s="5"/>
      <c r="W161" s="5"/>
      <c r="AC161" s="5"/>
      <c r="AD161" s="5"/>
    </row>
    <row r="162" spans="1:30" ht="12.75">
      <c r="A162" s="436" t="s">
        <v>180</v>
      </c>
      <c r="B162" s="650">
        <v>531.8662760035104</v>
      </c>
      <c r="C162" s="650">
        <v>3361.9416398327267</v>
      </c>
      <c r="D162" s="650">
        <v>536.6516261354791</v>
      </c>
      <c r="E162" s="654">
        <f>('Cost-Effectiveness Level'!$I$3*B162)+('Cost-Effectiveness Level'!$J$3*C162)+('Cost-Effectiveness Level'!$K$3*D162)</f>
        <v>1609.3047613140393</v>
      </c>
      <c r="F162" s="653">
        <f t="shared" si="47"/>
        <v>0</v>
      </c>
      <c r="G162" s="5"/>
      <c r="H162" s="5"/>
      <c r="I162" s="5"/>
      <c r="U162" s="5"/>
      <c r="V162" s="5"/>
      <c r="W162" s="5"/>
      <c r="AC162" s="5"/>
      <c r="AD162" s="5"/>
    </row>
    <row r="163" spans="1:30" ht="12.75">
      <c r="A163" s="397" t="s">
        <v>174</v>
      </c>
      <c r="B163" s="650">
        <v>620.8512272739608</v>
      </c>
      <c r="C163" s="650">
        <v>3808.739415533597</v>
      </c>
      <c r="D163" s="650">
        <v>536.3703898360109</v>
      </c>
      <c r="E163" s="654">
        <f>('Cost-Effectiveness Level'!$I$3*B163)+('Cost-Effectiveness Level'!$J$3*C163)+('Cost-Effectiveness Level'!$K$3*D163)</f>
        <v>1796.7667870886835</v>
      </c>
      <c r="F163" s="653">
        <f t="shared" si="47"/>
        <v>0.21133978395883135</v>
      </c>
      <c r="G163" s="5"/>
      <c r="H163" s="5"/>
      <c r="I163" s="5"/>
      <c r="U163" s="5"/>
      <c r="V163" s="5"/>
      <c r="W163" s="5"/>
      <c r="AC163" s="5"/>
      <c r="AD163" s="5"/>
    </row>
    <row r="164" spans="1:30" ht="12.75">
      <c r="A164" s="397" t="s">
        <v>176</v>
      </c>
      <c r="B164" s="650">
        <v>524.8776656878435</v>
      </c>
      <c r="C164" s="650">
        <v>3655.6194484440675</v>
      </c>
      <c r="D164" s="650">
        <v>458.3136478169545</v>
      </c>
      <c r="E164" s="654">
        <f>('Cost-Effectiveness Level'!$I$3*B164)+('Cost-Effectiveness Level'!$J$3*C164)+('Cost-Effectiveness Level'!$K$3*D164)</f>
        <v>1686.6026556294353</v>
      </c>
      <c r="F164" s="653">
        <f t="shared" si="47"/>
        <v>0.05567381247519047</v>
      </c>
      <c r="G164" s="5"/>
      <c r="H164" s="5"/>
      <c r="I164" s="5"/>
      <c r="U164" s="5"/>
      <c r="V164" s="5"/>
      <c r="W164" s="5"/>
      <c r="AC164" s="5"/>
      <c r="AD164" s="5"/>
    </row>
    <row r="165" spans="1:30" ht="12.75">
      <c r="A165" s="397" t="s">
        <v>490</v>
      </c>
      <c r="B165" s="650">
        <v>593.8533841195494</v>
      </c>
      <c r="C165" s="650">
        <v>3407.2282703630044</v>
      </c>
      <c r="D165" s="650">
        <v>585.3923135071582</v>
      </c>
      <c r="E165" s="654">
        <f>('Cost-Effectiveness Level'!$I$3*B165)+('Cost-Effectiveness Level'!$J$3*C165)+('Cost-Effectiveness Level'!$K$3*D165)</f>
        <v>1659.382191234858</v>
      </c>
      <c r="F165" s="653">
        <f t="shared" si="47"/>
        <v>0.023378222371556377</v>
      </c>
      <c r="G165" s="5"/>
      <c r="H165" s="5"/>
      <c r="I165" s="5"/>
      <c r="U165" s="5"/>
      <c r="V165" s="5"/>
      <c r="W165" s="5"/>
      <c r="AC165" s="5"/>
      <c r="AD165" s="5"/>
    </row>
    <row r="166" spans="1:30" ht="12.75">
      <c r="A166" s="397" t="s">
        <v>233</v>
      </c>
      <c r="B166" s="650">
        <v>2569.4811035430903</v>
      </c>
      <c r="C166" s="650">
        <v>6050.844791942174</v>
      </c>
      <c r="D166" s="650">
        <v>4844.03423680619</v>
      </c>
      <c r="E166" s="654">
        <f>('Cost-Effectiveness Level'!$I$3*B166)+('Cost-Effectiveness Level'!$J$3*C166)+('Cost-Effectiveness Level'!$K$3*D166)</f>
        <v>4847.711621105244</v>
      </c>
      <c r="F166" s="653">
        <f t="shared" si="47"/>
        <v>0.16708669998201614</v>
      </c>
      <c r="G166" s="5"/>
      <c r="H166" s="5"/>
      <c r="I166" s="5"/>
      <c r="U166" s="5"/>
      <c r="V166" s="5"/>
      <c r="W166" s="5"/>
      <c r="AC166" s="5"/>
      <c r="AD166" s="5"/>
    </row>
    <row r="167" spans="1:30" ht="13.5" thickBot="1">
      <c r="A167" s="413" t="s">
        <v>573</v>
      </c>
      <c r="B167" s="651">
        <f>SUM(B158:B166)</f>
        <v>14003.848854915712</v>
      </c>
      <c r="C167" s="651">
        <f>SUM(C158:C166)</f>
        <v>40737.297119976254</v>
      </c>
      <c r="D167" s="651">
        <f>SUM(D158:D166)</f>
        <v>24843.663749196116</v>
      </c>
      <c r="E167" s="655">
        <f>('Cost-Effectiveness Level'!$I$3*B167)+('Cost-Effectiveness Level'!$J$3*C167)+('Cost-Effectiveness Level'!$K$3*D167)</f>
        <v>28715.281451236486</v>
      </c>
      <c r="F167" s="653">
        <f t="shared" si="47"/>
        <v>1</v>
      </c>
      <c r="G167" s="5"/>
      <c r="H167" s="5"/>
      <c r="I167" s="5"/>
      <c r="U167" s="5"/>
      <c r="V167" s="5"/>
      <c r="W167" s="5"/>
      <c r="AC167" s="5"/>
      <c r="AD167" s="5"/>
    </row>
    <row r="168" spans="1:30" ht="13.5" thickBot="1">
      <c r="A168" s="659" t="s">
        <v>574</v>
      </c>
      <c r="B168" s="652">
        <f>SUMPRODUCT(B158:B166,$F158:$F166)</f>
        <v>1863.1125706924047</v>
      </c>
      <c r="C168" s="652">
        <f>SUMPRODUCT(C158:C166,$F158:$F166)</f>
        <v>5399.616528261315</v>
      </c>
      <c r="D168" s="652">
        <f>SUMPRODUCT(D158:D166,$F158:$F166)</f>
        <v>3922.0424703627264</v>
      </c>
      <c r="E168" s="652">
        <f>SUMPRODUCT(E158:E166,$F158:$F166)</f>
        <v>4071.734632430125</v>
      </c>
      <c r="F168" s="5"/>
      <c r="G168" s="5"/>
      <c r="H168" s="5"/>
      <c r="I168" s="5"/>
      <c r="U168" s="5"/>
      <c r="V168" s="5"/>
      <c r="W168" s="5"/>
      <c r="AC168" s="5"/>
      <c r="AD168" s="5"/>
    </row>
    <row r="169" spans="2:30" ht="13.5" thickBot="1">
      <c r="B169" s="5"/>
      <c r="C169" s="5"/>
      <c r="D169" s="5"/>
      <c r="E169" s="5"/>
      <c r="F169" s="5"/>
      <c r="G169" s="5"/>
      <c r="H169" s="5"/>
      <c r="I169" s="5"/>
      <c r="U169" s="5"/>
      <c r="V169" s="5"/>
      <c r="W169" s="5"/>
      <c r="AC169" s="5"/>
      <c r="AD169" s="5"/>
    </row>
    <row r="170" spans="1:30" ht="13.5" thickBot="1">
      <c r="A170" s="731" t="s">
        <v>572</v>
      </c>
      <c r="B170" s="732"/>
      <c r="C170" s="732"/>
      <c r="D170" s="733"/>
      <c r="F170" s="5"/>
      <c r="G170" s="5"/>
      <c r="H170" s="5"/>
      <c r="I170" s="5"/>
      <c r="U170" s="5"/>
      <c r="V170" s="5"/>
      <c r="W170" s="5"/>
      <c r="AC170" s="5"/>
      <c r="AD170" s="5"/>
    </row>
    <row r="171" spans="1:30" ht="13.5" thickBot="1">
      <c r="A171" s="646"/>
      <c r="B171" s="369">
        <v>850</v>
      </c>
      <c r="C171" s="369">
        <v>1350</v>
      </c>
      <c r="D171" s="369">
        <v>2184</v>
      </c>
      <c r="E171" s="370">
        <f>('Cost-Effectiveness Level'!$I$3*B171)+('Cost-Effectiveness Level'!$J$3*C171)+('Cost-Effectiveness Level'!$K$3*D171)</f>
        <v>1600.28</v>
      </c>
      <c r="F171" s="647" t="s">
        <v>28</v>
      </c>
      <c r="G171" s="5"/>
      <c r="H171" s="5"/>
      <c r="I171" s="5"/>
      <c r="U171" s="5"/>
      <c r="V171" s="5"/>
      <c r="W171" s="5"/>
      <c r="AC171" s="5"/>
      <c r="AD171" s="5"/>
    </row>
    <row r="172" spans="1:30" ht="12.75">
      <c r="A172" s="656" t="s">
        <v>172</v>
      </c>
      <c r="B172" s="657">
        <v>3396.797458263016</v>
      </c>
      <c r="C172" s="657">
        <v>5879.234787531786</v>
      </c>
      <c r="D172" s="657">
        <v>2902.210835790953</v>
      </c>
      <c r="E172" s="658">
        <f>('Cost-Effectiveness Level'!$I$3*B172)+('Cost-Effectiveness Level'!$J$3*C172)+('Cost-Effectiveness Level'!$K$3*D172)</f>
        <v>4132.397261946882</v>
      </c>
      <c r="F172" s="653">
        <f>F158</f>
        <v>0.05662447889271396</v>
      </c>
      <c r="G172" s="5"/>
      <c r="H172" s="5"/>
      <c r="I172" s="5"/>
      <c r="U172" s="5"/>
      <c r="V172" s="5"/>
      <c r="W172" s="5"/>
      <c r="AC172" s="5"/>
      <c r="AD172" s="5"/>
    </row>
    <row r="173" spans="1:30" ht="12.75">
      <c r="A173" s="321" t="s">
        <v>177</v>
      </c>
      <c r="B173" s="650">
        <v>653.7163712277197</v>
      </c>
      <c r="C173" s="650">
        <v>2812.302381418318</v>
      </c>
      <c r="D173" s="650">
        <v>576.7169296689572</v>
      </c>
      <c r="E173" s="654">
        <f>('Cost-Effectiveness Level'!$I$3*B173)+('Cost-Effectiveness Level'!$J$3*C173)+('Cost-Effectiveness Level'!$K$3*D173)</f>
        <v>1441.6392896454668</v>
      </c>
      <c r="F173" s="653">
        <f aca="true" t="shared" si="48" ref="F173:F181">F159</f>
        <v>0.27965005436564294</v>
      </c>
      <c r="G173" s="5"/>
      <c r="H173" s="5"/>
      <c r="I173" s="5"/>
      <c r="U173" s="5"/>
      <c r="V173" s="5"/>
      <c r="W173" s="5"/>
      <c r="AC173" s="5"/>
      <c r="AD173" s="5"/>
    </row>
    <row r="174" spans="1:30" ht="12.75">
      <c r="A174" s="397" t="s">
        <v>185</v>
      </c>
      <c r="B174" s="650"/>
      <c r="C174" s="650"/>
      <c r="D174" s="650">
        <v>658.2105564312242</v>
      </c>
      <c r="E174" s="654">
        <f>('Cost-Effectiveness Level'!$I$3*B174)+('Cost-Effectiveness Level'!$J$3*C174)+('Cost-Effectiveness Level'!$K$3*D174)</f>
        <v>276.44843370111414</v>
      </c>
      <c r="F174" s="653">
        <f t="shared" si="48"/>
        <v>0</v>
      </c>
      <c r="G174" s="5"/>
      <c r="H174" s="5"/>
      <c r="I174" s="5"/>
      <c r="U174" s="5"/>
      <c r="V174" s="5"/>
      <c r="W174" s="5"/>
      <c r="AC174" s="5"/>
      <c r="AD174" s="5"/>
    </row>
    <row r="175" spans="1:30" ht="12.75">
      <c r="A175" s="397" t="s">
        <v>488</v>
      </c>
      <c r="B175" s="650">
        <v>2502.0590485712682</v>
      </c>
      <c r="C175" s="650">
        <v>6157.81550659768</v>
      </c>
      <c r="D175" s="650">
        <v>8696.810842501114</v>
      </c>
      <c r="E175" s="654">
        <f>('Cost-Effectiveness Level'!$I$3*B175)+('Cost-Effectiveness Level'!$J$3*C175)+('Cost-Effectiveness Level'!$K$3*D175)</f>
        <v>6493.04225607184</v>
      </c>
      <c r="F175" s="653">
        <f t="shared" si="48"/>
        <v>0.20624694795404877</v>
      </c>
      <c r="G175" s="5"/>
      <c r="H175" s="5"/>
      <c r="I175" s="5"/>
      <c r="U175" s="5"/>
      <c r="V175" s="5"/>
      <c r="W175" s="5"/>
      <c r="AC175" s="5"/>
      <c r="AD175" s="5"/>
    </row>
    <row r="176" spans="1:30" ht="12.75">
      <c r="A176" s="436" t="s">
        <v>180</v>
      </c>
      <c r="B176" s="650">
        <v>364.5499912100754</v>
      </c>
      <c r="C176" s="650">
        <v>2449.2212330627517</v>
      </c>
      <c r="D176" s="650">
        <v>382.5392323469714</v>
      </c>
      <c r="E176" s="654">
        <f>('Cost-Effectiveness Level'!$I$3*B176)+('Cost-Effectiveness Level'!$J$3*C176)+('Cost-Effectiveness Level'!$K$3*D176)</f>
        <v>1164.2805443915886</v>
      </c>
      <c r="F176" s="653">
        <f t="shared" si="48"/>
        <v>0</v>
      </c>
      <c r="G176" s="5"/>
      <c r="H176" s="5"/>
      <c r="I176" s="5"/>
      <c r="U176" s="5"/>
      <c r="V176" s="5"/>
      <c r="W176" s="5"/>
      <c r="AC176" s="5"/>
      <c r="AD176" s="5"/>
    </row>
    <row r="177" spans="1:30" ht="12.75">
      <c r="A177" s="397" t="s">
        <v>174</v>
      </c>
      <c r="B177" s="650">
        <v>441.6811706046374</v>
      </c>
      <c r="C177" s="650">
        <v>2780.4493601979593</v>
      </c>
      <c r="D177" s="650">
        <v>385.4580933053803</v>
      </c>
      <c r="E177" s="654">
        <f>('Cost-Effectiveness Level'!$I$3*B177)+('Cost-Effectiveness Level'!$J$3*C177)+('Cost-Effectiveness Level'!$K$3*D177)</f>
        <v>1306.7993901844118</v>
      </c>
      <c r="F177" s="653">
        <f t="shared" si="48"/>
        <v>0.21133978395883135</v>
      </c>
      <c r="G177" s="5"/>
      <c r="H177" s="5"/>
      <c r="I177" s="5"/>
      <c r="U177" s="5"/>
      <c r="V177" s="5"/>
      <c r="W177" s="5"/>
      <c r="AC177" s="5"/>
      <c r="AD177" s="5"/>
    </row>
    <row r="178" spans="1:30" ht="12.75">
      <c r="A178" s="397" t="s">
        <v>176</v>
      </c>
      <c r="B178" s="650">
        <v>370.04670459232875</v>
      </c>
      <c r="C178" s="650">
        <v>2667.1819428680847</v>
      </c>
      <c r="D178" s="650">
        <v>327.9525883390379</v>
      </c>
      <c r="E178" s="654">
        <f>('Cost-Effectiveness Level'!$I$3*B178)+('Cost-Effectiveness Level'!$J$3*C178)+('Cost-Effectiveness Level'!$K$3*D178)</f>
        <v>1225.2785663107338</v>
      </c>
      <c r="F178" s="653">
        <f t="shared" si="48"/>
        <v>0.05567381247519047</v>
      </c>
      <c r="G178" s="5"/>
      <c r="H178" s="5"/>
      <c r="I178" s="5"/>
      <c r="U178" s="5"/>
      <c r="V178" s="5"/>
      <c r="W178" s="5"/>
      <c r="AC178" s="5"/>
      <c r="AD178" s="5"/>
    </row>
    <row r="179" spans="1:30" ht="12.75">
      <c r="A179" s="397" t="s">
        <v>490</v>
      </c>
      <c r="B179" s="650">
        <v>412.0895634339231</v>
      </c>
      <c r="C179" s="650">
        <v>2479.244680030184</v>
      </c>
      <c r="D179" s="650">
        <v>416.73521097274715</v>
      </c>
      <c r="E179" s="654">
        <f>('Cost-Effectiveness Level'!$I$3*B179)+('Cost-Effectiveness Level'!$J$3*C179)+('Cost-Effectiveness Level'!$K$3*D179)</f>
        <v>1199.5596797068085</v>
      </c>
      <c r="F179" s="653">
        <f t="shared" si="48"/>
        <v>0.023378222371556377</v>
      </c>
      <c r="G179" s="5"/>
      <c r="H179" s="5"/>
      <c r="I179" s="5"/>
      <c r="U179" s="5"/>
      <c r="V179" s="5"/>
      <c r="W179" s="5"/>
      <c r="AC179" s="5"/>
      <c r="AD179" s="5"/>
    </row>
    <row r="180" spans="1:30" ht="12.75">
      <c r="A180" s="397" t="s">
        <v>233</v>
      </c>
      <c r="B180" s="650">
        <v>1838.4873614427452</v>
      </c>
      <c r="C180" s="650">
        <v>4398.844916646905</v>
      </c>
      <c r="D180" s="650">
        <v>3500.9703732569724</v>
      </c>
      <c r="E180" s="654">
        <f>('Cost-Effectiveness Level'!$I$3*B180)+('Cost-Effectiveness Level'!$J$3*C180)+('Cost-Effectiveness Level'!$K$3*D180)</f>
        <v>3509.666097382302</v>
      </c>
      <c r="F180" s="653">
        <f t="shared" si="48"/>
        <v>0.16708669998201614</v>
      </c>
      <c r="G180" s="5"/>
      <c r="H180" s="5"/>
      <c r="I180" s="5"/>
      <c r="U180" s="5"/>
      <c r="V180" s="5"/>
      <c r="W180" s="5"/>
      <c r="AC180" s="5"/>
      <c r="AD180" s="5"/>
    </row>
    <row r="181" spans="1:30" ht="13.5" thickBot="1">
      <c r="A181" s="413" t="s">
        <v>573</v>
      </c>
      <c r="B181" s="651">
        <f>SUM(B172:B180)</f>
        <v>9979.427669345714</v>
      </c>
      <c r="C181" s="651">
        <f>SUM(C172:C180)</f>
        <v>29624.29480835367</v>
      </c>
      <c r="D181" s="651">
        <f>SUM(D172:D180)</f>
        <v>17847.604662613358</v>
      </c>
      <c r="E181" s="655">
        <f>('Cost-Effectiveness Level'!$I$3*B181)+('Cost-Effectiveness Level'!$J$3*C181)+('Cost-Effectiveness Level'!$K$3*D181)</f>
        <v>20749.111519341146</v>
      </c>
      <c r="F181" s="653">
        <f t="shared" si="48"/>
        <v>1</v>
      </c>
      <c r="G181" s="5"/>
      <c r="H181" s="5"/>
      <c r="I181" s="5"/>
      <c r="U181" s="5"/>
      <c r="V181" s="5"/>
      <c r="W181" s="5"/>
      <c r="AC181" s="5"/>
      <c r="AD181" s="5"/>
    </row>
    <row r="182" spans="1:30" ht="13.5" thickBot="1">
      <c r="A182" s="659" t="s">
        <v>574</v>
      </c>
      <c r="B182" s="652">
        <f>SUMPRODUCT(B172:B180,$F172:$F180)</f>
        <v>1321.963168746288</v>
      </c>
      <c r="C182" s="652">
        <f>SUMPRODUCT(C172:C180,$F172:$F180)</f>
        <v>3918.460343003651</v>
      </c>
      <c r="D182" s="652">
        <f>SUMPRODUCT(D172:D180,$F172:$F180)</f>
        <v>2813.7349060512715</v>
      </c>
      <c r="E182" s="652">
        <f>SUMPRODUCT(E172:E180,$F172:$F180)</f>
        <v>2935.176224632179</v>
      </c>
      <c r="F182" s="5"/>
      <c r="G182" s="5"/>
      <c r="H182" s="5"/>
      <c r="I182" s="5"/>
      <c r="U182" s="5"/>
      <c r="V182" s="5"/>
      <c r="W182" s="5"/>
      <c r="AC182" s="5"/>
      <c r="AD182" s="5"/>
    </row>
    <row r="183" spans="2:30" ht="13.5" thickBot="1">
      <c r="B183" s="5"/>
      <c r="C183" s="5"/>
      <c r="D183" s="5"/>
      <c r="E183" s="5"/>
      <c r="F183" s="5"/>
      <c r="G183" s="5"/>
      <c r="H183" s="5"/>
      <c r="I183" s="5"/>
      <c r="U183" s="5"/>
      <c r="V183" s="5"/>
      <c r="W183" s="5"/>
      <c r="AC183" s="5"/>
      <c r="AD183" s="5"/>
    </row>
    <row r="184" spans="1:30" ht="13.5" thickBot="1">
      <c r="A184" s="734" t="str">
        <f>"Incremental Savings "&amp;'Cost-Effectiveness Level'!R30</f>
        <v>Incremental Savings CASE =&gt; PNW Region</v>
      </c>
      <c r="B184" s="735"/>
      <c r="C184" s="735"/>
      <c r="D184" s="736"/>
      <c r="E184" s="667"/>
      <c r="F184" s="668"/>
      <c r="G184" s="5"/>
      <c r="H184" s="5"/>
      <c r="I184" s="5"/>
      <c r="U184" s="5"/>
      <c r="V184" s="5"/>
      <c r="W184" s="5"/>
      <c r="AC184" s="5"/>
      <c r="AD184" s="5"/>
    </row>
    <row r="185" spans="1:30" ht="13.5" thickBot="1">
      <c r="A185" s="663"/>
      <c r="B185" s="664">
        <v>850</v>
      </c>
      <c r="C185" s="664">
        <v>1350</v>
      </c>
      <c r="D185" s="664">
        <v>2184</v>
      </c>
      <c r="E185" s="665">
        <f>('Cost-Effectiveness Level'!$I$3*B185)+('Cost-Effectiveness Level'!$J$3*C185)+('Cost-Effectiveness Level'!$K$3*D185)</f>
        <v>1600.28</v>
      </c>
      <c r="F185" s="666" t="s">
        <v>28</v>
      </c>
      <c r="G185" s="5"/>
      <c r="H185" s="5"/>
      <c r="I185" s="5"/>
      <c r="U185" s="5"/>
      <c r="V185" s="5"/>
      <c r="W185" s="5"/>
      <c r="AC185" s="5"/>
      <c r="AD185" s="5"/>
    </row>
    <row r="186" spans="1:30" ht="12.75">
      <c r="A186" s="656" t="s">
        <v>172</v>
      </c>
      <c r="B186" s="657">
        <f>VLOOKUP($A186,$T$45:$Y$56,6,0)</f>
        <v>3396.797458263016</v>
      </c>
      <c r="C186" s="657">
        <f>VLOOKUP($A186,$Z$45:$AE$59,6,0)+VLOOKUP(A$16,$Z$45:$AE$59,6,0)</f>
        <v>5879.234787531786</v>
      </c>
      <c r="D186" s="657">
        <f aca="true" t="shared" si="49" ref="D186:D194">VLOOKUP($A186,$AF$45:$AK$58,6,0)</f>
        <v>2902.210835790953</v>
      </c>
      <c r="E186" s="658">
        <f>('Cost-Effectiveness Level'!$I$3*B186)+('Cost-Effectiveness Level'!$J$3*C186)+('Cost-Effectiveness Level'!$K$3*D186)</f>
        <v>4132.397261946882</v>
      </c>
      <c r="F186" s="661">
        <f>F172</f>
        <v>0.05662447889271396</v>
      </c>
      <c r="G186" s="5"/>
      <c r="H186" s="5"/>
      <c r="I186" s="5"/>
      <c r="U186" s="5"/>
      <c r="V186" s="5"/>
      <c r="W186" s="5"/>
      <c r="AC186" s="5"/>
      <c r="AD186" s="5"/>
    </row>
    <row r="187" spans="1:30" ht="12.75">
      <c r="A187" s="321" t="s">
        <v>177</v>
      </c>
      <c r="B187" s="650">
        <f>VLOOKUP($A187,$T$45:$Y$56,6,0)</f>
        <v>653.7163712277197</v>
      </c>
      <c r="C187" s="650">
        <f>VLOOKUP($A187,$Z$45:$AE$59,6,0)+VLOOKUP(A$16,$Z$45:$AE$59,6,0)</f>
        <v>2812.302381418318</v>
      </c>
      <c r="D187" s="650">
        <f t="shared" si="49"/>
        <v>576.7169296689572</v>
      </c>
      <c r="E187" s="654">
        <f>('Cost-Effectiveness Level'!$I$3*B187)+('Cost-Effectiveness Level'!$J$3*C187)+('Cost-Effectiveness Level'!$K$3*D187)</f>
        <v>1441.6392896454668</v>
      </c>
      <c r="F187" s="661">
        <f aca="true" t="shared" si="50" ref="F187:F195">F173</f>
        <v>0.27965005436564294</v>
      </c>
      <c r="G187" s="5"/>
      <c r="H187" s="5"/>
      <c r="I187" s="5"/>
      <c r="U187" s="5"/>
      <c r="V187" s="5"/>
      <c r="W187" s="5"/>
      <c r="AC187" s="5"/>
      <c r="AD187" s="5"/>
    </row>
    <row r="188" spans="1:30" ht="12.75">
      <c r="A188" s="397" t="s">
        <v>185</v>
      </c>
      <c r="B188" s="650"/>
      <c r="C188" s="650"/>
      <c r="D188" s="650">
        <f t="shared" si="49"/>
        <v>658.2105564312242</v>
      </c>
      <c r="E188" s="654">
        <f>('Cost-Effectiveness Level'!$I$3*B188)+('Cost-Effectiveness Level'!$J$3*C188)+('Cost-Effectiveness Level'!$K$3*D188)</f>
        <v>276.44843370111414</v>
      </c>
      <c r="F188" s="661">
        <f t="shared" si="50"/>
        <v>0</v>
      </c>
      <c r="G188" s="5"/>
      <c r="H188" s="5"/>
      <c r="I188" s="5"/>
      <c r="U188" s="5"/>
      <c r="V188" s="5"/>
      <c r="W188" s="5"/>
      <c r="AC188" s="5"/>
      <c r="AD188" s="5"/>
    </row>
    <row r="189" spans="1:30" ht="12.75">
      <c r="A189" s="397" t="s">
        <v>488</v>
      </c>
      <c r="B189" s="650">
        <f aca="true" t="shared" si="51" ref="B189:B194">VLOOKUP($A189,$T$45:$Y$56,6,0)</f>
        <v>2502.0590485712682</v>
      </c>
      <c r="C189" s="650">
        <f aca="true" t="shared" si="52" ref="C189:C194">VLOOKUP($A189,$Z$45:$AE$59,6,0)+VLOOKUP(A$16,$Z$45:$AE$59,6,0)</f>
        <v>6157.81550659768</v>
      </c>
      <c r="D189" s="650">
        <f t="shared" si="49"/>
        <v>8696.810842501114</v>
      </c>
      <c r="E189" s="654">
        <f>('Cost-Effectiveness Level'!$I$3*B189)+('Cost-Effectiveness Level'!$J$3*C189)+('Cost-Effectiveness Level'!$K$3*D189)</f>
        <v>6493.04225607184</v>
      </c>
      <c r="F189" s="661">
        <f t="shared" si="50"/>
        <v>0.20624694795404877</v>
      </c>
      <c r="G189" s="5"/>
      <c r="H189" s="5"/>
      <c r="I189" s="5"/>
      <c r="U189" s="5"/>
      <c r="V189" s="5"/>
      <c r="W189" s="5"/>
      <c r="AC189" s="5"/>
      <c r="AD189" s="5"/>
    </row>
    <row r="190" spans="1:30" ht="12.75">
      <c r="A190" s="436" t="s">
        <v>180</v>
      </c>
      <c r="B190" s="650">
        <f t="shared" si="51"/>
        <v>364.5499912100754</v>
      </c>
      <c r="C190" s="650">
        <f t="shared" si="52"/>
        <v>2449.2212330627517</v>
      </c>
      <c r="D190" s="650">
        <f t="shared" si="49"/>
        <v>382.5392323469714</v>
      </c>
      <c r="E190" s="654">
        <f>('Cost-Effectiveness Level'!$I$3*B190)+('Cost-Effectiveness Level'!$J$3*C190)+('Cost-Effectiveness Level'!$K$3*D190)</f>
        <v>1164.2805443915886</v>
      </c>
      <c r="F190" s="661">
        <f t="shared" si="50"/>
        <v>0</v>
      </c>
      <c r="G190" s="5"/>
      <c r="H190" s="5"/>
      <c r="I190" s="5"/>
      <c r="U190" s="5"/>
      <c r="V190" s="5"/>
      <c r="W190" s="5"/>
      <c r="AC190" s="5"/>
      <c r="AD190" s="5"/>
    </row>
    <row r="191" spans="1:30" ht="12.75">
      <c r="A191" s="397" t="s">
        <v>174</v>
      </c>
      <c r="B191" s="650">
        <f t="shared" si="51"/>
        <v>441.6811706046374</v>
      </c>
      <c r="C191" s="650">
        <f t="shared" si="52"/>
        <v>2780.4493601979593</v>
      </c>
      <c r="D191" s="650">
        <f t="shared" si="49"/>
        <v>385.4580933053803</v>
      </c>
      <c r="E191" s="654">
        <f>('Cost-Effectiveness Level'!$I$3*B191)+('Cost-Effectiveness Level'!$J$3*C191)+('Cost-Effectiveness Level'!$K$3*D191)</f>
        <v>1306.7993901844118</v>
      </c>
      <c r="F191" s="661">
        <f t="shared" si="50"/>
        <v>0.21133978395883135</v>
      </c>
      <c r="G191" s="5"/>
      <c r="H191" s="5"/>
      <c r="I191" s="5"/>
      <c r="U191" s="5"/>
      <c r="V191" s="5"/>
      <c r="W191" s="5"/>
      <c r="AC191" s="5"/>
      <c r="AD191" s="5"/>
    </row>
    <row r="192" spans="1:30" ht="12.75">
      <c r="A192" s="397" t="s">
        <v>176</v>
      </c>
      <c r="B192" s="650">
        <f t="shared" si="51"/>
        <v>370.04670459232875</v>
      </c>
      <c r="C192" s="650">
        <f t="shared" si="52"/>
        <v>2667.1819428680847</v>
      </c>
      <c r="D192" s="650">
        <f t="shared" si="49"/>
        <v>327.9525883390379</v>
      </c>
      <c r="E192" s="654">
        <f>('Cost-Effectiveness Level'!$I$3*B192)+('Cost-Effectiveness Level'!$J$3*C192)+('Cost-Effectiveness Level'!$K$3*D192)</f>
        <v>1225.2785663107338</v>
      </c>
      <c r="F192" s="661">
        <f t="shared" si="50"/>
        <v>0.05567381247519047</v>
      </c>
      <c r="G192" s="5"/>
      <c r="H192" s="5"/>
      <c r="I192" s="5"/>
      <c r="U192" s="5"/>
      <c r="V192" s="5"/>
      <c r="W192" s="5"/>
      <c r="AC192" s="5"/>
      <c r="AD192" s="5"/>
    </row>
    <row r="193" spans="1:30" ht="12.75">
      <c r="A193" s="397" t="s">
        <v>490</v>
      </c>
      <c r="B193" s="650">
        <f t="shared" si="51"/>
        <v>412.0895634339231</v>
      </c>
      <c r="C193" s="650">
        <f t="shared" si="52"/>
        <v>2479.244680030184</v>
      </c>
      <c r="D193" s="650">
        <f t="shared" si="49"/>
        <v>416.73521097274715</v>
      </c>
      <c r="E193" s="654">
        <f>('Cost-Effectiveness Level'!$I$3*B193)+('Cost-Effectiveness Level'!$J$3*C193)+('Cost-Effectiveness Level'!$K$3*D193)</f>
        <v>1199.5596797068085</v>
      </c>
      <c r="F193" s="661">
        <f t="shared" si="50"/>
        <v>0.023378222371556377</v>
      </c>
      <c r="G193" s="5"/>
      <c r="H193" s="5"/>
      <c r="I193" s="5"/>
      <c r="U193" s="5"/>
      <c r="V193" s="5"/>
      <c r="W193" s="5"/>
      <c r="AC193" s="5"/>
      <c r="AD193" s="5"/>
    </row>
    <row r="194" spans="1:30" ht="12.75">
      <c r="A194" s="397" t="s">
        <v>233</v>
      </c>
      <c r="B194" s="650">
        <f t="shared" si="51"/>
        <v>1838.4873614427452</v>
      </c>
      <c r="C194" s="650">
        <f t="shared" si="52"/>
        <v>4398.844916646905</v>
      </c>
      <c r="D194" s="650">
        <f t="shared" si="49"/>
        <v>3500.9703732569724</v>
      </c>
      <c r="E194" s="654">
        <f>('Cost-Effectiveness Level'!$I$3*B194)+('Cost-Effectiveness Level'!$J$3*C194)+('Cost-Effectiveness Level'!$K$3*D194)</f>
        <v>3509.666097382302</v>
      </c>
      <c r="F194" s="661">
        <f t="shared" si="50"/>
        <v>0.16708669998201614</v>
      </c>
      <c r="G194" s="5"/>
      <c r="H194" s="5"/>
      <c r="I194" s="5"/>
      <c r="U194" s="5"/>
      <c r="V194" s="5"/>
      <c r="W194" s="5"/>
      <c r="AC194" s="5"/>
      <c r="AD194" s="5"/>
    </row>
    <row r="195" spans="1:30" ht="13.5" thickBot="1">
      <c r="A195" s="413" t="s">
        <v>573</v>
      </c>
      <c r="B195" s="651">
        <f>SUM(B186:B194)</f>
        <v>9979.427669345714</v>
      </c>
      <c r="C195" s="651">
        <f>SUM(C186:C194)</f>
        <v>29624.29480835367</v>
      </c>
      <c r="D195" s="651">
        <f>SUM(D186:D194)</f>
        <v>17847.604662613358</v>
      </c>
      <c r="E195" s="655">
        <f>('Cost-Effectiveness Level'!$I$3*B195)+('Cost-Effectiveness Level'!$J$3*C195)+('Cost-Effectiveness Level'!$K$3*D195)</f>
        <v>20749.111519341146</v>
      </c>
      <c r="F195" s="662">
        <f t="shared" si="50"/>
        <v>1</v>
      </c>
      <c r="G195" s="5"/>
      <c r="H195" s="5"/>
      <c r="I195" s="5"/>
      <c r="U195" s="5"/>
      <c r="V195" s="5"/>
      <c r="W195" s="5"/>
      <c r="AC195" s="5"/>
      <c r="AD195" s="5"/>
    </row>
    <row r="196" spans="1:30" ht="13.5" thickBot="1">
      <c r="A196" s="659" t="s">
        <v>574</v>
      </c>
      <c r="B196" s="660">
        <f>SUMPRODUCT(B186:B194,$F186:$F194)</f>
        <v>1321.963168746288</v>
      </c>
      <c r="C196" s="660">
        <f>SUMPRODUCT(C186:C194,$F186:$F194)</f>
        <v>3918.460343003651</v>
      </c>
      <c r="D196" s="660">
        <f>SUMPRODUCT(D186:D194,$F186:$F194)</f>
        <v>2813.7349060512715</v>
      </c>
      <c r="E196" s="660">
        <f>SUMPRODUCT(E186:E194,$F186:$F194)</f>
        <v>2935.176224632179</v>
      </c>
      <c r="F196" s="669"/>
      <c r="G196" s="5"/>
      <c r="H196" s="5"/>
      <c r="I196" s="5"/>
      <c r="U196" s="5"/>
      <c r="V196" s="5"/>
      <c r="W196" s="5"/>
      <c r="AC196" s="5"/>
      <c r="AD196" s="5"/>
    </row>
    <row r="197" spans="2:30" ht="12.75">
      <c r="B197" s="5"/>
      <c r="C197" s="5"/>
      <c r="D197" s="5"/>
      <c r="E197" s="5"/>
      <c r="F197" s="5"/>
      <c r="G197" s="5"/>
      <c r="H197" s="5"/>
      <c r="I197" s="5"/>
      <c r="U197" s="5"/>
      <c r="V197" s="5"/>
      <c r="W197" s="5"/>
      <c r="AC197" s="5"/>
      <c r="AD197" s="5"/>
    </row>
    <row r="198" spans="2:30" ht="12.75">
      <c r="B198" s="5"/>
      <c r="C198" s="5"/>
      <c r="D198" s="5"/>
      <c r="E198" s="5"/>
      <c r="F198" s="5"/>
      <c r="G198" s="5"/>
      <c r="H198" s="5"/>
      <c r="I198" s="5"/>
      <c r="U198" s="5"/>
      <c r="V198" s="5"/>
      <c r="W198" s="5"/>
      <c r="AC198" s="5"/>
      <c r="AD198" s="5"/>
    </row>
    <row r="199" spans="2:30" ht="12.75">
      <c r="B199" s="5"/>
      <c r="C199" s="5"/>
      <c r="D199" s="5"/>
      <c r="E199" s="5"/>
      <c r="F199" s="5"/>
      <c r="G199" s="5"/>
      <c r="H199" s="5"/>
      <c r="I199" s="5"/>
      <c r="U199" s="5"/>
      <c r="V199" s="5"/>
      <c r="W199" s="5"/>
      <c r="AC199" s="5"/>
      <c r="AD199" s="5"/>
    </row>
    <row r="200" spans="2:30" ht="12.75">
      <c r="B200" s="5"/>
      <c r="C200" s="5"/>
      <c r="D200" s="5"/>
      <c r="E200" s="5"/>
      <c r="F200" s="5"/>
      <c r="G200" s="5"/>
      <c r="H200" s="5"/>
      <c r="I200" s="5"/>
      <c r="U200" s="5"/>
      <c r="V200" s="5"/>
      <c r="W200" s="5"/>
      <c r="AC200" s="5"/>
      <c r="AD200" s="5"/>
    </row>
    <row r="201" spans="2:30" ht="12.75">
      <c r="B201" s="5"/>
      <c r="C201" s="5"/>
      <c r="D201" s="5"/>
      <c r="E201" s="5"/>
      <c r="F201" s="5"/>
      <c r="G201" s="5"/>
      <c r="H201" s="5"/>
      <c r="I201" s="5"/>
      <c r="U201" s="5"/>
      <c r="V201" s="5"/>
      <c r="W201" s="5"/>
      <c r="AC201" s="5"/>
      <c r="AD201" s="5"/>
    </row>
    <row r="202" spans="2:30" ht="12.75">
      <c r="B202" s="5"/>
      <c r="C202" s="5"/>
      <c r="D202" s="5"/>
      <c r="E202" s="5"/>
      <c r="F202" s="5"/>
      <c r="G202" s="5"/>
      <c r="H202" s="5"/>
      <c r="I202" s="5"/>
      <c r="U202" s="5"/>
      <c r="V202" s="5"/>
      <c r="W202" s="5"/>
      <c r="AC202" s="5"/>
      <c r="AD202" s="5"/>
    </row>
    <row r="203" spans="2:30" ht="12.75">
      <c r="B203" s="5"/>
      <c r="C203" s="5"/>
      <c r="D203" s="5"/>
      <c r="E203" s="5"/>
      <c r="F203" s="5"/>
      <c r="G203" s="5"/>
      <c r="H203" s="5"/>
      <c r="I203" s="5"/>
      <c r="U203" s="5"/>
      <c r="V203" s="5"/>
      <c r="W203" s="5"/>
      <c r="AC203" s="5"/>
      <c r="AD203" s="5"/>
    </row>
    <row r="204" spans="2:30" ht="12.75">
      <c r="B204" s="5"/>
      <c r="C204" s="5"/>
      <c r="D204" s="5"/>
      <c r="E204" s="5"/>
      <c r="F204" s="5"/>
      <c r="G204" s="5"/>
      <c r="H204" s="5"/>
      <c r="I204" s="5"/>
      <c r="U204" s="5"/>
      <c r="V204" s="5"/>
      <c r="W204" s="5"/>
      <c r="AC204" s="5"/>
      <c r="AD204" s="5"/>
    </row>
    <row r="205" spans="2:30" ht="12.75">
      <c r="B205" s="5"/>
      <c r="C205" s="5"/>
      <c r="D205" s="5"/>
      <c r="E205" s="5"/>
      <c r="F205" s="5"/>
      <c r="G205" s="5"/>
      <c r="H205" s="5"/>
      <c r="I205" s="5"/>
      <c r="U205" s="5"/>
      <c r="V205" s="5"/>
      <c r="W205" s="5"/>
      <c r="AC205" s="5"/>
      <c r="AD205" s="5"/>
    </row>
    <row r="206" spans="2:30" ht="12.75">
      <c r="B206" s="5"/>
      <c r="C206" s="5"/>
      <c r="D206" s="5"/>
      <c r="E206" s="5"/>
      <c r="F206" s="5"/>
      <c r="G206" s="5"/>
      <c r="H206" s="5"/>
      <c r="I206" s="5"/>
      <c r="U206" s="5"/>
      <c r="V206" s="5"/>
      <c r="W206" s="5"/>
      <c r="AC206" s="5"/>
      <c r="AD206" s="5"/>
    </row>
    <row r="207" spans="2:30" ht="12.75">
      <c r="B207" s="5"/>
      <c r="C207" s="5"/>
      <c r="D207" s="5"/>
      <c r="E207" s="5"/>
      <c r="F207" s="5"/>
      <c r="G207" s="5"/>
      <c r="H207" s="5"/>
      <c r="I207" s="5"/>
      <c r="U207" s="5"/>
      <c r="V207" s="5"/>
      <c r="W207" s="5"/>
      <c r="AC207" s="5"/>
      <c r="AD207" s="5"/>
    </row>
    <row r="208" spans="2:30" ht="12.75">
      <c r="B208" s="5"/>
      <c r="C208" s="5"/>
      <c r="D208" s="5"/>
      <c r="E208" s="5"/>
      <c r="F208" s="5"/>
      <c r="G208" s="5"/>
      <c r="H208" s="5"/>
      <c r="I208" s="5"/>
      <c r="U208" s="5"/>
      <c r="V208" s="5"/>
      <c r="W208" s="5"/>
      <c r="AC208" s="5"/>
      <c r="AD208" s="5"/>
    </row>
    <row r="209" spans="2:30" ht="12.75">
      <c r="B209" s="5"/>
      <c r="C209" s="5"/>
      <c r="D209" s="5"/>
      <c r="E209" s="5"/>
      <c r="F209" s="5"/>
      <c r="G209" s="5"/>
      <c r="H209" s="5"/>
      <c r="I209" s="5"/>
      <c r="U209" s="5"/>
      <c r="V209" s="5"/>
      <c r="W209" s="5"/>
      <c r="AC209" s="5"/>
      <c r="AD209" s="5"/>
    </row>
    <row r="210" spans="2:30" ht="12.75">
      <c r="B210" s="5"/>
      <c r="C210" s="5"/>
      <c r="D210" s="5"/>
      <c r="E210" s="5"/>
      <c r="F210" s="5"/>
      <c r="G210" s="5"/>
      <c r="H210" s="5"/>
      <c r="I210" s="5"/>
      <c r="U210" s="5"/>
      <c r="V210" s="5"/>
      <c r="W210" s="5"/>
      <c r="AC210" s="5"/>
      <c r="AD210" s="5"/>
    </row>
    <row r="211" spans="2:29" ht="12.75">
      <c r="B211" s="5"/>
      <c r="C211" s="5"/>
      <c r="D211" s="5"/>
      <c r="E211" s="5"/>
      <c r="F211" s="5"/>
      <c r="G211" s="5"/>
      <c r="H211" s="5"/>
      <c r="I211" s="5"/>
      <c r="U211" s="5"/>
      <c r="V211" s="5"/>
      <c r="W211" s="5"/>
      <c r="AC211" s="5"/>
    </row>
    <row r="212" spans="2:29" ht="12.75">
      <c r="B212" s="5"/>
      <c r="C212" s="5"/>
      <c r="D212" s="5"/>
      <c r="E212" s="5"/>
      <c r="F212" s="5"/>
      <c r="G212" s="5"/>
      <c r="H212" s="5"/>
      <c r="I212" s="5"/>
      <c r="U212" s="5"/>
      <c r="V212" s="5"/>
      <c r="W212" s="5"/>
      <c r="AC212" s="5"/>
    </row>
    <row r="213" spans="2:29" ht="12.75">
      <c r="B213" s="5"/>
      <c r="C213" s="5"/>
      <c r="D213" s="5"/>
      <c r="E213" s="5"/>
      <c r="F213" s="5"/>
      <c r="G213" s="5"/>
      <c r="H213" s="5"/>
      <c r="I213" s="5"/>
      <c r="U213" s="5"/>
      <c r="V213" s="5"/>
      <c r="W213" s="5"/>
      <c r="AC213" s="5"/>
    </row>
    <row r="214" spans="2:29" ht="12.75">
      <c r="B214" s="5"/>
      <c r="C214" s="5"/>
      <c r="D214" s="5"/>
      <c r="E214" s="5"/>
      <c r="F214" s="5"/>
      <c r="G214" s="5"/>
      <c r="H214" s="5"/>
      <c r="I214" s="5"/>
      <c r="U214" s="5"/>
      <c r="V214" s="5"/>
      <c r="W214" s="5"/>
      <c r="AC214" s="5"/>
    </row>
    <row r="215" spans="2:29" ht="12.75">
      <c r="B215" s="5"/>
      <c r="C215" s="5"/>
      <c r="D215" s="5"/>
      <c r="E215" s="5"/>
      <c r="F215" s="5"/>
      <c r="G215" s="5"/>
      <c r="H215" s="5"/>
      <c r="I215" s="5"/>
      <c r="U215" s="5"/>
      <c r="V215" s="5"/>
      <c r="W215" s="5"/>
      <c r="AC215" s="5"/>
    </row>
    <row r="216" spans="2:29" ht="12.75">
      <c r="B216" s="5"/>
      <c r="C216" s="5"/>
      <c r="D216" s="5"/>
      <c r="E216" s="5"/>
      <c r="F216" s="5"/>
      <c r="G216" s="5"/>
      <c r="H216" s="5"/>
      <c r="I216" s="5"/>
      <c r="U216" s="5"/>
      <c r="V216" s="5"/>
      <c r="W216" s="5"/>
      <c r="AC216" s="5"/>
    </row>
    <row r="217" spans="2:29" ht="12.75">
      <c r="B217" s="5"/>
      <c r="C217" s="5"/>
      <c r="D217" s="5"/>
      <c r="E217" s="5"/>
      <c r="F217" s="5"/>
      <c r="G217" s="5"/>
      <c r="H217" s="5"/>
      <c r="I217" s="5"/>
      <c r="U217" s="5"/>
      <c r="V217" s="5"/>
      <c r="W217" s="5"/>
      <c r="AC217" s="5"/>
    </row>
    <row r="218" spans="2:29" ht="12.75">
      <c r="B218" s="5"/>
      <c r="C218" s="5"/>
      <c r="D218" s="5"/>
      <c r="E218" s="5"/>
      <c r="F218" s="5"/>
      <c r="G218" s="5"/>
      <c r="H218" s="5"/>
      <c r="I218" s="5"/>
      <c r="U218" s="5"/>
      <c r="V218" s="5"/>
      <c r="W218" s="5"/>
      <c r="AC218" s="5"/>
    </row>
    <row r="219" spans="2:29" ht="12.75">
      <c r="B219" s="5"/>
      <c r="C219" s="5"/>
      <c r="D219" s="5"/>
      <c r="E219" s="5"/>
      <c r="F219" s="5"/>
      <c r="G219" s="5"/>
      <c r="H219" s="5"/>
      <c r="I219" s="5"/>
      <c r="U219" s="5"/>
      <c r="V219" s="5"/>
      <c r="W219" s="5"/>
      <c r="AC219" s="5"/>
    </row>
    <row r="220" spans="2:29" ht="12.75">
      <c r="B220" s="5"/>
      <c r="C220" s="5"/>
      <c r="D220" s="5"/>
      <c r="E220" s="5"/>
      <c r="F220" s="5"/>
      <c r="G220" s="5"/>
      <c r="H220" s="5"/>
      <c r="I220" s="5"/>
      <c r="U220" s="5"/>
      <c r="V220" s="5"/>
      <c r="W220" s="5"/>
      <c r="AC220" s="5"/>
    </row>
    <row r="221" spans="2:29" ht="12.75">
      <c r="B221" s="5"/>
      <c r="C221" s="5"/>
      <c r="D221" s="5"/>
      <c r="E221" s="5"/>
      <c r="F221" s="5"/>
      <c r="G221" s="5"/>
      <c r="H221" s="5"/>
      <c r="I221" s="5"/>
      <c r="U221" s="5"/>
      <c r="V221" s="5"/>
      <c r="W221" s="5"/>
      <c r="AC221" s="5"/>
    </row>
    <row r="222" spans="2:29" ht="12.75">
      <c r="B222" s="5"/>
      <c r="C222" s="5"/>
      <c r="D222" s="5"/>
      <c r="E222" s="5"/>
      <c r="F222" s="5"/>
      <c r="G222" s="5"/>
      <c r="H222" s="5"/>
      <c r="I222" s="5"/>
      <c r="U222" s="5"/>
      <c r="V222" s="5"/>
      <c r="W222" s="5"/>
      <c r="AC222" s="5"/>
    </row>
    <row r="223" spans="2:29" ht="12.75">
      <c r="B223" s="5"/>
      <c r="C223" s="5"/>
      <c r="D223" s="5"/>
      <c r="E223" s="5"/>
      <c r="F223" s="5"/>
      <c r="G223" s="5"/>
      <c r="H223" s="5"/>
      <c r="I223" s="5"/>
      <c r="U223" s="5"/>
      <c r="V223" s="5"/>
      <c r="W223" s="5"/>
      <c r="AC223" s="5"/>
    </row>
    <row r="224" spans="2:29" ht="12.75">
      <c r="B224" s="5"/>
      <c r="C224" s="5"/>
      <c r="D224" s="5"/>
      <c r="E224" s="5"/>
      <c r="F224" s="5"/>
      <c r="G224" s="5"/>
      <c r="H224" s="5"/>
      <c r="I224" s="5"/>
      <c r="U224" s="5"/>
      <c r="V224" s="5"/>
      <c r="W224" s="5"/>
      <c r="AC224" s="5"/>
    </row>
    <row r="225" spans="2:29" ht="12.75">
      <c r="B225" s="5"/>
      <c r="C225" s="5"/>
      <c r="D225" s="5"/>
      <c r="E225" s="5"/>
      <c r="F225" s="5"/>
      <c r="G225" s="5"/>
      <c r="H225" s="5"/>
      <c r="I225" s="5"/>
      <c r="U225" s="5"/>
      <c r="V225" s="5"/>
      <c r="W225" s="5"/>
      <c r="AC225" s="5"/>
    </row>
    <row r="226" spans="2:29" ht="12.75">
      <c r="B226" s="5"/>
      <c r="C226" s="5"/>
      <c r="D226" s="5"/>
      <c r="E226" s="5"/>
      <c r="F226" s="5"/>
      <c r="G226" s="5"/>
      <c r="H226" s="5"/>
      <c r="I226" s="5"/>
      <c r="U226" s="5"/>
      <c r="V226" s="5"/>
      <c r="W226" s="5"/>
      <c r="AC226" s="5"/>
    </row>
    <row r="227" spans="2:29" ht="12.75">
      <c r="B227" s="5"/>
      <c r="C227" s="5"/>
      <c r="D227" s="5"/>
      <c r="E227" s="5"/>
      <c r="F227" s="5"/>
      <c r="G227" s="5"/>
      <c r="H227" s="5"/>
      <c r="I227" s="5"/>
      <c r="U227" s="5"/>
      <c r="V227" s="5"/>
      <c r="W227" s="5"/>
      <c r="AC227" s="5"/>
    </row>
    <row r="228" spans="2:29" ht="12.75">
      <c r="B228" s="5"/>
      <c r="C228" s="5"/>
      <c r="D228" s="5"/>
      <c r="E228" s="5"/>
      <c r="F228" s="5"/>
      <c r="G228" s="5"/>
      <c r="H228" s="5"/>
      <c r="I228" s="5"/>
      <c r="U228" s="5"/>
      <c r="V228" s="5"/>
      <c r="W228" s="5"/>
      <c r="AC228" s="5"/>
    </row>
    <row r="229" spans="2:23" ht="12.75">
      <c r="B229" s="5"/>
      <c r="C229" s="5"/>
      <c r="D229" s="5"/>
      <c r="E229" s="5"/>
      <c r="F229" s="5"/>
      <c r="G229" s="5"/>
      <c r="H229" s="5"/>
      <c r="I229" s="5"/>
      <c r="U229" s="5"/>
      <c r="V229" s="5"/>
      <c r="W229" s="5"/>
    </row>
    <row r="230" spans="2:23" ht="12.75">
      <c r="B230" s="5"/>
      <c r="C230" s="5"/>
      <c r="D230" s="5"/>
      <c r="E230" s="5"/>
      <c r="F230" s="5"/>
      <c r="G230" s="5"/>
      <c r="H230" s="5"/>
      <c r="I230" s="5"/>
      <c r="U230" s="5"/>
      <c r="V230" s="5"/>
      <c r="W230" s="5"/>
    </row>
    <row r="231" spans="2:23" ht="12.75">
      <c r="B231" s="5"/>
      <c r="C231" s="5"/>
      <c r="D231" s="5"/>
      <c r="E231" s="5"/>
      <c r="F231" s="5"/>
      <c r="G231" s="5"/>
      <c r="H231" s="5"/>
      <c r="I231" s="5"/>
      <c r="U231" s="5"/>
      <c r="V231" s="5"/>
      <c r="W231" s="5"/>
    </row>
    <row r="232" spans="2:23" ht="12.75">
      <c r="B232" s="5"/>
      <c r="C232" s="5"/>
      <c r="D232" s="5"/>
      <c r="E232" s="5"/>
      <c r="F232" s="5"/>
      <c r="G232" s="5"/>
      <c r="H232" s="5"/>
      <c r="I232" s="5"/>
      <c r="U232" s="5"/>
      <c r="V232" s="5"/>
      <c r="W232" s="5"/>
    </row>
    <row r="233" spans="2:23" ht="12.75">
      <c r="B233" s="5"/>
      <c r="C233" s="5"/>
      <c r="D233" s="5"/>
      <c r="E233" s="5"/>
      <c r="F233" s="5"/>
      <c r="G233" s="5"/>
      <c r="H233" s="5"/>
      <c r="I233" s="5"/>
      <c r="U233" s="5"/>
      <c r="V233" s="5"/>
      <c r="W233" s="5"/>
    </row>
    <row r="234" spans="2:23" ht="12.75">
      <c r="B234" s="5"/>
      <c r="C234" s="5"/>
      <c r="D234" s="5"/>
      <c r="E234" s="5"/>
      <c r="F234" s="5"/>
      <c r="G234" s="5"/>
      <c r="H234" s="5"/>
      <c r="I234" s="5"/>
      <c r="U234" s="5"/>
      <c r="V234" s="5"/>
      <c r="W234" s="5"/>
    </row>
    <row r="235" spans="2:23" ht="12.75">
      <c r="B235" s="5"/>
      <c r="C235" s="5"/>
      <c r="D235" s="5"/>
      <c r="E235" s="5"/>
      <c r="F235" s="5"/>
      <c r="G235" s="5"/>
      <c r="H235" s="5"/>
      <c r="I235" s="5"/>
      <c r="U235" s="5"/>
      <c r="V235" s="5"/>
      <c r="W235" s="5"/>
    </row>
    <row r="236" spans="2:23" ht="12.75">
      <c r="B236" s="5"/>
      <c r="C236" s="5"/>
      <c r="D236" s="5"/>
      <c r="E236" s="5"/>
      <c r="F236" s="5"/>
      <c r="G236" s="5"/>
      <c r="H236" s="5"/>
      <c r="I236" s="5"/>
      <c r="U236" s="5"/>
      <c r="V236" s="5"/>
      <c r="W236" s="5"/>
    </row>
    <row r="237" spans="2:23" ht="12.75">
      <c r="B237" s="5"/>
      <c r="C237" s="5"/>
      <c r="D237" s="5"/>
      <c r="E237" s="5"/>
      <c r="F237" s="5"/>
      <c r="G237" s="5"/>
      <c r="H237" s="5"/>
      <c r="I237" s="5"/>
      <c r="U237" s="5"/>
      <c r="V237" s="5"/>
      <c r="W237" s="5"/>
    </row>
    <row r="238" spans="2:23" ht="12.75">
      <c r="B238" s="5"/>
      <c r="C238" s="5"/>
      <c r="D238" s="5"/>
      <c r="E238" s="5"/>
      <c r="F238" s="5"/>
      <c r="G238" s="5"/>
      <c r="H238" s="5"/>
      <c r="I238" s="5"/>
      <c r="U238" s="5"/>
      <c r="V238" s="5"/>
      <c r="W238" s="5"/>
    </row>
    <row r="239" spans="2:23" ht="12.75">
      <c r="B239" s="5"/>
      <c r="C239" s="5"/>
      <c r="D239" s="5"/>
      <c r="E239" s="5"/>
      <c r="F239" s="5"/>
      <c r="G239" s="5"/>
      <c r="H239" s="5"/>
      <c r="I239" s="5"/>
      <c r="U239" s="5"/>
      <c r="V239" s="5"/>
      <c r="W239" s="5"/>
    </row>
    <row r="240" spans="2:23" ht="12.75">
      <c r="B240" s="5"/>
      <c r="C240" s="5"/>
      <c r="D240" s="5"/>
      <c r="E240" s="5"/>
      <c r="F240" s="5"/>
      <c r="G240" s="5"/>
      <c r="H240" s="5"/>
      <c r="I240" s="5"/>
      <c r="U240" s="5"/>
      <c r="V240" s="5"/>
      <c r="W240" s="5"/>
    </row>
    <row r="241" spans="2:23" ht="12.75">
      <c r="B241" s="5"/>
      <c r="C241" s="5"/>
      <c r="D241" s="5"/>
      <c r="E241" s="5"/>
      <c r="F241" s="5"/>
      <c r="G241" s="5"/>
      <c r="H241" s="5"/>
      <c r="I241" s="5"/>
      <c r="U241" s="5"/>
      <c r="V241" s="5"/>
      <c r="W241" s="5"/>
    </row>
    <row r="242" spans="2:23" ht="12.75">
      <c r="B242" s="5"/>
      <c r="C242" s="5"/>
      <c r="D242" s="5"/>
      <c r="E242" s="5"/>
      <c r="F242" s="5"/>
      <c r="G242" s="5"/>
      <c r="H242" s="5"/>
      <c r="I242" s="5"/>
      <c r="U242" s="5"/>
      <c r="V242" s="5"/>
      <c r="W242" s="5"/>
    </row>
    <row r="243" spans="2:23" ht="12.75">
      <c r="B243" s="5"/>
      <c r="C243" s="5"/>
      <c r="D243" s="5"/>
      <c r="E243" s="5"/>
      <c r="F243" s="5"/>
      <c r="G243" s="5"/>
      <c r="H243" s="5"/>
      <c r="I243" s="5"/>
      <c r="U243" s="5"/>
      <c r="V243" s="5"/>
      <c r="W243" s="5"/>
    </row>
    <row r="244" spans="2:23" ht="12.75">
      <c r="B244" s="5"/>
      <c r="C244" s="5"/>
      <c r="D244" s="5"/>
      <c r="E244" s="5"/>
      <c r="F244" s="5"/>
      <c r="G244" s="5"/>
      <c r="H244" s="5"/>
      <c r="I244" s="5"/>
      <c r="U244" s="5"/>
      <c r="V244" s="5"/>
      <c r="W244" s="5"/>
    </row>
    <row r="245" spans="2:23" ht="12.75">
      <c r="B245" s="5"/>
      <c r="C245" s="5"/>
      <c r="D245" s="5"/>
      <c r="E245" s="5"/>
      <c r="F245" s="5"/>
      <c r="G245" s="5"/>
      <c r="H245" s="5"/>
      <c r="I245" s="5"/>
      <c r="U245" s="5"/>
      <c r="V245" s="5"/>
      <c r="W245" s="5"/>
    </row>
    <row r="246" spans="2:23" ht="12.75">
      <c r="B246" s="5"/>
      <c r="C246" s="5"/>
      <c r="D246" s="5"/>
      <c r="E246" s="5"/>
      <c r="F246" s="5"/>
      <c r="G246" s="5"/>
      <c r="H246" s="5"/>
      <c r="I246" s="5"/>
      <c r="U246" s="5"/>
      <c r="V246" s="5"/>
      <c r="W246" s="5"/>
    </row>
    <row r="247" spans="2:23" ht="12.75">
      <c r="B247" s="5"/>
      <c r="C247" s="5"/>
      <c r="D247" s="5"/>
      <c r="E247" s="5"/>
      <c r="F247" s="5"/>
      <c r="G247" s="5"/>
      <c r="H247" s="5"/>
      <c r="I247" s="5"/>
      <c r="U247" s="5"/>
      <c r="V247" s="5"/>
      <c r="W247" s="5"/>
    </row>
    <row r="248" spans="2:23" ht="12.75">
      <c r="B248" s="5"/>
      <c r="C248" s="5"/>
      <c r="D248" s="5"/>
      <c r="E248" s="5"/>
      <c r="F248" s="5"/>
      <c r="G248" s="5"/>
      <c r="H248" s="5"/>
      <c r="I248" s="5"/>
      <c r="U248" s="5"/>
      <c r="V248" s="5"/>
      <c r="W248" s="5"/>
    </row>
    <row r="249" spans="2:23" ht="12.75">
      <c r="B249" s="5"/>
      <c r="C249" s="5"/>
      <c r="D249" s="5"/>
      <c r="E249" s="5"/>
      <c r="F249" s="5"/>
      <c r="G249" s="5"/>
      <c r="H249" s="5"/>
      <c r="I249" s="5"/>
      <c r="U249" s="5"/>
      <c r="V249" s="5"/>
      <c r="W249" s="5"/>
    </row>
    <row r="250" spans="2:23" ht="12.75">
      <c r="B250" s="5"/>
      <c r="C250" s="5"/>
      <c r="D250" s="5"/>
      <c r="E250" s="5"/>
      <c r="F250" s="5"/>
      <c r="G250" s="5"/>
      <c r="H250" s="5"/>
      <c r="I250" s="5"/>
      <c r="U250" s="5"/>
      <c r="V250" s="5"/>
      <c r="W250" s="5"/>
    </row>
    <row r="251" spans="2:9" ht="12.75">
      <c r="B251" s="5"/>
      <c r="C251" s="5"/>
      <c r="D251" s="5"/>
      <c r="E251" s="5"/>
      <c r="F251" s="5"/>
      <c r="G251" s="5"/>
      <c r="H251" s="5"/>
      <c r="I251" s="5"/>
    </row>
    <row r="252" spans="2:9" ht="12.75">
      <c r="B252" s="5"/>
      <c r="C252" s="5"/>
      <c r="D252" s="5"/>
      <c r="E252" s="5"/>
      <c r="F252" s="5"/>
      <c r="G252" s="5"/>
      <c r="H252" s="5"/>
      <c r="I252" s="5"/>
    </row>
    <row r="253" spans="2:9" ht="12.75">
      <c r="B253" s="5"/>
      <c r="C253" s="5"/>
      <c r="D253" s="5"/>
      <c r="E253" s="5"/>
      <c r="F253" s="5"/>
      <c r="G253" s="5"/>
      <c r="H253" s="5"/>
      <c r="I253" s="5"/>
    </row>
    <row r="254" spans="2:9" ht="12.75">
      <c r="B254" s="5"/>
      <c r="C254" s="5"/>
      <c r="D254" s="5"/>
      <c r="E254" s="5"/>
      <c r="F254" s="5"/>
      <c r="G254" s="5"/>
      <c r="H254" s="5"/>
      <c r="I254" s="5"/>
    </row>
    <row r="255" spans="2:9" ht="12.75">
      <c r="B255" s="5"/>
      <c r="C255" s="5"/>
      <c r="D255" s="5"/>
      <c r="E255" s="5"/>
      <c r="F255" s="5"/>
      <c r="G255" s="5"/>
      <c r="H255" s="5"/>
      <c r="I255" s="5"/>
    </row>
    <row r="256" spans="2:9" ht="12.75">
      <c r="B256" s="5"/>
      <c r="C256" s="5"/>
      <c r="D256" s="5"/>
      <c r="E256" s="5"/>
      <c r="F256" s="5"/>
      <c r="G256" s="5"/>
      <c r="H256" s="5"/>
      <c r="I256" s="5"/>
    </row>
    <row r="257" spans="2:9" ht="12.75">
      <c r="B257" s="5"/>
      <c r="C257" s="5"/>
      <c r="D257" s="5"/>
      <c r="E257" s="5"/>
      <c r="F257" s="5"/>
      <c r="G257" s="5"/>
      <c r="H257" s="5"/>
      <c r="I257" s="5"/>
    </row>
    <row r="258" spans="2:9" ht="12.75">
      <c r="B258" s="5"/>
      <c r="C258" s="5"/>
      <c r="D258" s="5"/>
      <c r="E258" s="5"/>
      <c r="F258" s="5"/>
      <c r="G258" s="5"/>
      <c r="H258" s="5"/>
      <c r="I258" s="5"/>
    </row>
    <row r="259" spans="2:9" ht="12.75">
      <c r="B259" s="5"/>
      <c r="C259" s="5"/>
      <c r="D259" s="5"/>
      <c r="E259" s="5"/>
      <c r="F259" s="5"/>
      <c r="G259" s="5"/>
      <c r="H259" s="5"/>
      <c r="I259" s="5"/>
    </row>
    <row r="260" spans="2:9" ht="12.75">
      <c r="B260" s="5"/>
      <c r="C260" s="5"/>
      <c r="D260" s="5"/>
      <c r="E260" s="5"/>
      <c r="F260" s="5"/>
      <c r="G260" s="5"/>
      <c r="H260" s="5"/>
      <c r="I260" s="5"/>
    </row>
    <row r="261" spans="2:9" ht="12.75">
      <c r="B261" s="5"/>
      <c r="C261" s="5"/>
      <c r="D261" s="5"/>
      <c r="E261" s="5"/>
      <c r="F261" s="5"/>
      <c r="G261" s="5"/>
      <c r="H261" s="5"/>
      <c r="I261" s="5"/>
    </row>
    <row r="262" spans="2:9" ht="12.75">
      <c r="B262" s="5"/>
      <c r="C262" s="5"/>
      <c r="D262" s="5"/>
      <c r="E262" s="5"/>
      <c r="F262" s="5"/>
      <c r="G262" s="5"/>
      <c r="H262" s="5"/>
      <c r="I262" s="5"/>
    </row>
    <row r="263" spans="2:9" ht="12.75">
      <c r="B263" s="5"/>
      <c r="C263" s="5"/>
      <c r="D263" s="5"/>
      <c r="E263" s="5"/>
      <c r="F263" s="5"/>
      <c r="G263" s="5"/>
      <c r="H263" s="5"/>
      <c r="I263" s="5"/>
    </row>
    <row r="264" spans="2:9" ht="12.75">
      <c r="B264" s="5"/>
      <c r="C264" s="5"/>
      <c r="D264" s="5"/>
      <c r="E264" s="5"/>
      <c r="F264" s="5"/>
      <c r="G264" s="5"/>
      <c r="H264" s="5"/>
      <c r="I264" s="5"/>
    </row>
    <row r="265" spans="2:9" ht="12.75">
      <c r="B265" s="5"/>
      <c r="C265" s="5"/>
      <c r="D265" s="5"/>
      <c r="E265" s="5"/>
      <c r="F265" s="5"/>
      <c r="G265" s="5"/>
      <c r="H265" s="5"/>
      <c r="I265" s="5"/>
    </row>
    <row r="266" spans="2:9" ht="12.75">
      <c r="B266" s="5"/>
      <c r="C266" s="5"/>
      <c r="D266" s="5"/>
      <c r="E266" s="5"/>
      <c r="F266" s="5"/>
      <c r="G266" s="5"/>
      <c r="H266" s="5"/>
      <c r="I266" s="5"/>
    </row>
    <row r="267" spans="2:9" ht="12.75">
      <c r="B267" s="5"/>
      <c r="C267" s="5"/>
      <c r="D267" s="5"/>
      <c r="E267" s="5"/>
      <c r="F267" s="5"/>
      <c r="G267" s="5"/>
      <c r="H267" s="5"/>
      <c r="I267" s="5"/>
    </row>
    <row r="268" spans="2:9" ht="12.75">
      <c r="B268" s="5"/>
      <c r="C268" s="5"/>
      <c r="D268" s="5"/>
      <c r="E268" s="5"/>
      <c r="F268" s="5"/>
      <c r="G268" s="5"/>
      <c r="H268" s="5"/>
      <c r="I268" s="5"/>
    </row>
    <row r="269" spans="2:9" ht="12.75">
      <c r="B269" s="5"/>
      <c r="C269" s="5"/>
      <c r="D269" s="5"/>
      <c r="E269" s="5"/>
      <c r="F269" s="5"/>
      <c r="G269" s="5"/>
      <c r="H269" s="5"/>
      <c r="I269" s="5"/>
    </row>
    <row r="270" spans="2:9" ht="12.75">
      <c r="B270" s="5"/>
      <c r="C270" s="5"/>
      <c r="D270" s="5"/>
      <c r="E270" s="5"/>
      <c r="F270" s="5"/>
      <c r="G270" s="5"/>
      <c r="H270" s="5"/>
      <c r="I270" s="5"/>
    </row>
    <row r="271" spans="2:9" ht="12.75">
      <c r="B271" s="5"/>
      <c r="C271" s="5"/>
      <c r="D271" s="5"/>
      <c r="E271" s="5"/>
      <c r="F271" s="5"/>
      <c r="G271" s="5"/>
      <c r="H271" s="5"/>
      <c r="I271" s="5"/>
    </row>
    <row r="272" spans="2:9" ht="12.75">
      <c r="B272" s="5"/>
      <c r="C272" s="5"/>
      <c r="D272" s="5"/>
      <c r="E272" s="5"/>
      <c r="F272" s="5"/>
      <c r="G272" s="5"/>
      <c r="H272" s="5"/>
      <c r="I272" s="5"/>
    </row>
    <row r="273" spans="2:9" ht="12.75">
      <c r="B273" s="5"/>
      <c r="C273" s="5"/>
      <c r="D273" s="5"/>
      <c r="E273" s="5"/>
      <c r="F273" s="5"/>
      <c r="G273" s="5"/>
      <c r="H273" s="5"/>
      <c r="I273" s="5"/>
    </row>
    <row r="274" spans="2:9" ht="12.75">
      <c r="B274" s="5"/>
      <c r="C274" s="5"/>
      <c r="D274" s="5"/>
      <c r="E274" s="5"/>
      <c r="F274" s="5"/>
      <c r="G274" s="5"/>
      <c r="H274" s="5"/>
      <c r="I274" s="5"/>
    </row>
    <row r="275" spans="2:9" ht="12.75">
      <c r="B275" s="5"/>
      <c r="C275" s="5"/>
      <c r="D275" s="5"/>
      <c r="E275" s="5"/>
      <c r="F275" s="5"/>
      <c r="G275" s="5"/>
      <c r="H275" s="5"/>
      <c r="I275" s="5"/>
    </row>
    <row r="276" spans="2:9" ht="12.75">
      <c r="B276" s="5"/>
      <c r="C276" s="5"/>
      <c r="D276" s="5"/>
      <c r="E276" s="5"/>
      <c r="F276" s="5"/>
      <c r="G276" s="5"/>
      <c r="H276" s="5"/>
      <c r="I276" s="5"/>
    </row>
    <row r="277" spans="2:9" ht="12.75">
      <c r="B277" s="5"/>
      <c r="C277" s="5"/>
      <c r="D277" s="5"/>
      <c r="E277" s="5"/>
      <c r="F277" s="5"/>
      <c r="G277" s="5"/>
      <c r="H277" s="5"/>
      <c r="I277" s="5"/>
    </row>
    <row r="278" spans="2:9" ht="12.75">
      <c r="B278" s="5"/>
      <c r="C278" s="5"/>
      <c r="D278" s="5"/>
      <c r="E278" s="5"/>
      <c r="F278" s="5"/>
      <c r="G278" s="5"/>
      <c r="H278" s="5"/>
      <c r="I278" s="5"/>
    </row>
    <row r="279" spans="2:9" ht="12.75">
      <c r="B279" s="5"/>
      <c r="C279" s="5"/>
      <c r="D279" s="5"/>
      <c r="E279" s="5"/>
      <c r="F279" s="5"/>
      <c r="G279" s="5"/>
      <c r="H279" s="5"/>
      <c r="I279" s="5"/>
    </row>
    <row r="280" spans="2:9" ht="12.75">
      <c r="B280" s="5"/>
      <c r="C280" s="5"/>
      <c r="D280" s="5"/>
      <c r="E280" s="5"/>
      <c r="F280" s="5"/>
      <c r="G280" s="5"/>
      <c r="H280" s="5"/>
      <c r="I280" s="5"/>
    </row>
    <row r="281" spans="2:9" ht="12.75">
      <c r="B281" s="5"/>
      <c r="C281" s="5"/>
      <c r="D281" s="5"/>
      <c r="E281" s="5"/>
      <c r="F281" s="5"/>
      <c r="G281" s="5"/>
      <c r="H281" s="5"/>
      <c r="I281" s="5"/>
    </row>
    <row r="282" spans="2:9" ht="12.75">
      <c r="B282" s="5"/>
      <c r="C282" s="5"/>
      <c r="D282" s="5"/>
      <c r="E282" s="5"/>
      <c r="F282" s="5"/>
      <c r="G282" s="5"/>
      <c r="H282" s="5"/>
      <c r="I282" s="5"/>
    </row>
    <row r="283" spans="2:9" ht="12.75">
      <c r="B283" s="5"/>
      <c r="C283" s="5"/>
      <c r="D283" s="5"/>
      <c r="E283" s="5"/>
      <c r="F283" s="5"/>
      <c r="G283" s="5"/>
      <c r="H283" s="5"/>
      <c r="I283" s="5"/>
    </row>
    <row r="284" spans="2:9" ht="12.75">
      <c r="B284" s="5"/>
      <c r="C284" s="5"/>
      <c r="D284" s="5"/>
      <c r="E284" s="5"/>
      <c r="F284" s="5"/>
      <c r="G284" s="5"/>
      <c r="H284" s="5"/>
      <c r="I284" s="5"/>
    </row>
    <row r="285" spans="2:9" ht="12.75">
      <c r="B285" s="5"/>
      <c r="C285" s="5"/>
      <c r="D285" s="5"/>
      <c r="E285" s="5"/>
      <c r="F285" s="5"/>
      <c r="G285" s="5"/>
      <c r="H285" s="5"/>
      <c r="I285" s="5"/>
    </row>
    <row r="286" spans="2:9" ht="12.75">
      <c r="B286" s="5"/>
      <c r="C286" s="5"/>
      <c r="D286" s="5"/>
      <c r="E286" s="5"/>
      <c r="F286" s="5"/>
      <c r="G286" s="5"/>
      <c r="H286" s="5"/>
      <c r="I286" s="5"/>
    </row>
    <row r="287" spans="2:9" ht="12.75">
      <c r="B287" s="5"/>
      <c r="C287" s="5"/>
      <c r="D287" s="5"/>
      <c r="E287" s="5"/>
      <c r="F287" s="5"/>
      <c r="G287" s="5"/>
      <c r="H287" s="5"/>
      <c r="I287" s="5"/>
    </row>
    <row r="288" spans="2:9" ht="12.75">
      <c r="B288" s="5"/>
      <c r="C288" s="5"/>
      <c r="D288" s="5"/>
      <c r="E288" s="5"/>
      <c r="F288" s="5"/>
      <c r="G288" s="5"/>
      <c r="H288" s="5"/>
      <c r="I288" s="5"/>
    </row>
    <row r="289" spans="2:9" ht="12.75">
      <c r="B289" s="5"/>
      <c r="C289" s="5"/>
      <c r="D289" s="5"/>
      <c r="E289" s="5"/>
      <c r="F289" s="5"/>
      <c r="G289" s="5"/>
      <c r="H289" s="5"/>
      <c r="I289" s="5"/>
    </row>
    <row r="290" spans="2:9" ht="12.75">
      <c r="B290" s="5"/>
      <c r="C290" s="5"/>
      <c r="D290" s="5"/>
      <c r="E290" s="5"/>
      <c r="F290" s="5"/>
      <c r="G290" s="5"/>
      <c r="H290" s="5"/>
      <c r="I290" s="5"/>
    </row>
    <row r="291" spans="2:9" ht="12.75">
      <c r="B291" s="5"/>
      <c r="C291" s="5"/>
      <c r="D291" s="5"/>
      <c r="E291" s="5"/>
      <c r="F291" s="5"/>
      <c r="G291" s="5"/>
      <c r="H291" s="5"/>
      <c r="I291" s="5"/>
    </row>
    <row r="292" spans="2:9" ht="12.75">
      <c r="B292" s="5"/>
      <c r="C292" s="5"/>
      <c r="D292" s="5"/>
      <c r="E292" s="5"/>
      <c r="F292" s="5"/>
      <c r="G292" s="5"/>
      <c r="H292" s="5"/>
      <c r="I292" s="5"/>
    </row>
    <row r="293" spans="2:9" ht="12.75">
      <c r="B293" s="5"/>
      <c r="C293" s="5"/>
      <c r="D293" s="5"/>
      <c r="E293" s="5"/>
      <c r="F293" s="5"/>
      <c r="G293" s="5"/>
      <c r="H293" s="5"/>
      <c r="I293" s="5"/>
    </row>
    <row r="294" spans="2:9" ht="12.75">
      <c r="B294" s="5"/>
      <c r="C294" s="5"/>
      <c r="D294" s="5"/>
      <c r="E294" s="5"/>
      <c r="F294" s="5"/>
      <c r="G294" s="5"/>
      <c r="H294" s="5"/>
      <c r="I294" s="5"/>
    </row>
    <row r="295" spans="2:9" ht="12.75">
      <c r="B295" s="5"/>
      <c r="C295" s="5"/>
      <c r="D295" s="5"/>
      <c r="E295" s="5"/>
      <c r="F295" s="5"/>
      <c r="G295" s="5"/>
      <c r="H295" s="5"/>
      <c r="I295" s="5"/>
    </row>
    <row r="296" spans="2:9" ht="12.75">
      <c r="B296" s="5"/>
      <c r="C296" s="5"/>
      <c r="D296" s="5"/>
      <c r="E296" s="5"/>
      <c r="F296" s="5"/>
      <c r="G296" s="5"/>
      <c r="H296" s="5"/>
      <c r="I296" s="5"/>
    </row>
    <row r="297" spans="2:9" ht="12.75">
      <c r="B297" s="5"/>
      <c r="C297" s="5"/>
      <c r="D297" s="5"/>
      <c r="E297" s="5"/>
      <c r="F297" s="5"/>
      <c r="G297" s="5"/>
      <c r="H297" s="5"/>
      <c r="I297" s="5"/>
    </row>
    <row r="298" spans="2:9" ht="12.75">
      <c r="B298" s="5"/>
      <c r="C298" s="5"/>
      <c r="D298" s="5"/>
      <c r="E298" s="5"/>
      <c r="F298" s="5"/>
      <c r="G298" s="5"/>
      <c r="H298" s="5"/>
      <c r="I298" s="5"/>
    </row>
    <row r="299" spans="2:9" ht="12.75">
      <c r="B299" s="5"/>
      <c r="C299" s="5"/>
      <c r="D299" s="5"/>
      <c r="E299" s="5"/>
      <c r="F299" s="5"/>
      <c r="G299" s="5"/>
      <c r="H299" s="5"/>
      <c r="I299" s="5"/>
    </row>
    <row r="300" spans="2:9" ht="12.75">
      <c r="B300" s="5"/>
      <c r="C300" s="5"/>
      <c r="D300" s="5"/>
      <c r="E300" s="5"/>
      <c r="F300" s="5"/>
      <c r="G300" s="5"/>
      <c r="H300" s="5"/>
      <c r="I300" s="5"/>
    </row>
    <row r="301" spans="2:9" ht="12.75">
      <c r="B301" s="5"/>
      <c r="C301" s="5"/>
      <c r="D301" s="5"/>
      <c r="E301" s="5"/>
      <c r="F301" s="5"/>
      <c r="G301" s="5"/>
      <c r="H301" s="5"/>
      <c r="I301" s="5"/>
    </row>
    <row r="302" spans="2:9" ht="12.75">
      <c r="B302" s="5"/>
      <c r="C302" s="5"/>
      <c r="D302" s="5"/>
      <c r="E302" s="5"/>
      <c r="F302" s="5"/>
      <c r="G302" s="5"/>
      <c r="H302" s="5"/>
      <c r="I302" s="5"/>
    </row>
    <row r="303" spans="2:9" ht="12.75">
      <c r="B303" s="5"/>
      <c r="C303" s="5"/>
      <c r="D303" s="5"/>
      <c r="E303" s="5"/>
      <c r="F303" s="5"/>
      <c r="G303" s="5"/>
      <c r="H303" s="5"/>
      <c r="I303" s="5"/>
    </row>
    <row r="304" spans="2:9" ht="12.75">
      <c r="B304" s="5"/>
      <c r="C304" s="5"/>
      <c r="D304" s="5"/>
      <c r="E304" s="5"/>
      <c r="F304" s="5"/>
      <c r="G304" s="5"/>
      <c r="H304" s="5"/>
      <c r="I304" s="5"/>
    </row>
    <row r="305" spans="2:9" ht="12.75">
      <c r="B305" s="5"/>
      <c r="C305" s="5"/>
      <c r="D305" s="5"/>
      <c r="E305" s="5"/>
      <c r="F305" s="5"/>
      <c r="G305" s="5"/>
      <c r="H305" s="5"/>
      <c r="I305" s="5"/>
    </row>
    <row r="306" spans="2:9" ht="12.75">
      <c r="B306" s="5"/>
      <c r="C306" s="5"/>
      <c r="D306" s="5"/>
      <c r="E306" s="5"/>
      <c r="F306" s="5"/>
      <c r="G306" s="5"/>
      <c r="H306" s="5"/>
      <c r="I306" s="5"/>
    </row>
    <row r="307" spans="2:9" ht="12.75">
      <c r="B307" s="5"/>
      <c r="C307" s="5"/>
      <c r="D307" s="5"/>
      <c r="E307" s="5"/>
      <c r="F307" s="5"/>
      <c r="G307" s="5"/>
      <c r="H307" s="5"/>
      <c r="I307" s="5"/>
    </row>
    <row r="308" spans="2:9" ht="12.75">
      <c r="B308" s="5"/>
      <c r="C308" s="5"/>
      <c r="D308" s="5"/>
      <c r="E308" s="5"/>
      <c r="F308" s="5"/>
      <c r="G308" s="5"/>
      <c r="H308" s="5"/>
      <c r="I308" s="5"/>
    </row>
    <row r="309" spans="2:9" ht="12.75">
      <c r="B309" s="5"/>
      <c r="C309" s="5"/>
      <c r="D309" s="5"/>
      <c r="E309" s="5"/>
      <c r="F309" s="5"/>
      <c r="G309" s="5"/>
      <c r="H309" s="5"/>
      <c r="I309" s="5"/>
    </row>
    <row r="310" spans="2:9" ht="12.75">
      <c r="B310" s="5"/>
      <c r="C310" s="5"/>
      <c r="D310" s="5"/>
      <c r="E310" s="5"/>
      <c r="F310" s="5"/>
      <c r="G310" s="5"/>
      <c r="H310" s="5"/>
      <c r="I310" s="5"/>
    </row>
    <row r="311" spans="2:9" ht="12.75">
      <c r="B311" s="5"/>
      <c r="C311" s="5"/>
      <c r="D311" s="5"/>
      <c r="E311" s="5"/>
      <c r="F311" s="5"/>
      <c r="G311" s="5"/>
      <c r="H311" s="5"/>
      <c r="I311" s="5"/>
    </row>
    <row r="312" spans="2:9" ht="12.75">
      <c r="B312" s="5"/>
      <c r="C312" s="5"/>
      <c r="D312" s="5"/>
      <c r="E312" s="5"/>
      <c r="F312" s="5"/>
      <c r="G312" s="5"/>
      <c r="H312" s="5"/>
      <c r="I312" s="5"/>
    </row>
    <row r="313" spans="2:9" ht="12.75">
      <c r="B313" s="5"/>
      <c r="C313" s="5"/>
      <c r="D313" s="5"/>
      <c r="E313" s="5"/>
      <c r="F313" s="5"/>
      <c r="G313" s="5"/>
      <c r="H313" s="5"/>
      <c r="I313" s="5"/>
    </row>
    <row r="314" spans="2:9" ht="12.75">
      <c r="B314" s="5"/>
      <c r="C314" s="5"/>
      <c r="D314" s="5"/>
      <c r="E314" s="5"/>
      <c r="F314" s="5"/>
      <c r="G314" s="5"/>
      <c r="H314" s="5"/>
      <c r="I314" s="5"/>
    </row>
    <row r="315" spans="2:9" ht="12.75">
      <c r="B315" s="5"/>
      <c r="C315" s="5"/>
      <c r="D315" s="5"/>
      <c r="E315" s="5"/>
      <c r="F315" s="5"/>
      <c r="G315" s="5"/>
      <c r="H315" s="5"/>
      <c r="I315" s="5"/>
    </row>
    <row r="316" spans="2:9" ht="12.75">
      <c r="B316" s="5"/>
      <c r="C316" s="5"/>
      <c r="D316" s="5"/>
      <c r="E316" s="5"/>
      <c r="F316" s="5"/>
      <c r="G316" s="5"/>
      <c r="H316" s="5"/>
      <c r="I316" s="5"/>
    </row>
    <row r="317" spans="2:9" ht="12.75">
      <c r="B317" s="5"/>
      <c r="C317" s="5"/>
      <c r="D317" s="5"/>
      <c r="E317" s="5"/>
      <c r="F317" s="5"/>
      <c r="G317" s="5"/>
      <c r="H317" s="5"/>
      <c r="I317" s="5"/>
    </row>
    <row r="318" spans="2:9" ht="12.75">
      <c r="B318" s="5"/>
      <c r="C318" s="5"/>
      <c r="D318" s="5"/>
      <c r="E318" s="5"/>
      <c r="F318" s="5"/>
      <c r="G318" s="5"/>
      <c r="H318" s="5"/>
      <c r="I318" s="5"/>
    </row>
    <row r="319" spans="2:9" ht="12.75">
      <c r="B319" s="5"/>
      <c r="C319" s="5"/>
      <c r="D319" s="5"/>
      <c r="E319" s="5"/>
      <c r="F319" s="5"/>
      <c r="G319" s="5"/>
      <c r="H319" s="5"/>
      <c r="I319" s="5"/>
    </row>
    <row r="320" spans="2:9" ht="12.75">
      <c r="B320" s="5"/>
      <c r="C320" s="5"/>
      <c r="D320" s="5"/>
      <c r="E320" s="5"/>
      <c r="F320" s="5"/>
      <c r="G320" s="5"/>
      <c r="H320" s="5"/>
      <c r="I320" s="5"/>
    </row>
    <row r="321" spans="2:9" ht="12.75">
      <c r="B321" s="5"/>
      <c r="C321" s="5"/>
      <c r="D321" s="5"/>
      <c r="E321" s="5"/>
      <c r="F321" s="5"/>
      <c r="G321" s="5"/>
      <c r="H321" s="5"/>
      <c r="I321" s="5"/>
    </row>
    <row r="322" spans="2:9" ht="12.75">
      <c r="B322" s="5"/>
      <c r="C322" s="5"/>
      <c r="D322" s="5"/>
      <c r="E322" s="5"/>
      <c r="F322" s="5"/>
      <c r="G322" s="5"/>
      <c r="H322" s="5"/>
      <c r="I322" s="5"/>
    </row>
    <row r="323" spans="2:9" ht="12.75">
      <c r="B323" s="5"/>
      <c r="C323" s="5"/>
      <c r="D323" s="5"/>
      <c r="E323" s="5"/>
      <c r="F323" s="5"/>
      <c r="G323" s="5"/>
      <c r="H323" s="5"/>
      <c r="I323" s="5"/>
    </row>
    <row r="324" spans="2:9" ht="12.75">
      <c r="B324" s="5"/>
      <c r="C324" s="5"/>
      <c r="D324" s="5"/>
      <c r="E324" s="5"/>
      <c r="F324" s="5"/>
      <c r="G324" s="5"/>
      <c r="H324" s="5"/>
      <c r="I324" s="5"/>
    </row>
    <row r="325" spans="2:9" ht="12.75">
      <c r="B325" s="5"/>
      <c r="C325" s="5"/>
      <c r="D325" s="5"/>
      <c r="E325" s="5"/>
      <c r="F325" s="5"/>
      <c r="G325" s="5"/>
      <c r="H325" s="5"/>
      <c r="I325" s="5"/>
    </row>
    <row r="326" spans="2:9" ht="12.75">
      <c r="B326" s="5"/>
      <c r="C326" s="5"/>
      <c r="D326" s="5"/>
      <c r="E326" s="5"/>
      <c r="F326" s="5"/>
      <c r="G326" s="5"/>
      <c r="H326" s="5"/>
      <c r="I326" s="5"/>
    </row>
    <row r="327" spans="2:9" ht="12.75">
      <c r="B327" s="5"/>
      <c r="C327" s="5"/>
      <c r="D327" s="5"/>
      <c r="E327" s="5"/>
      <c r="F327" s="5"/>
      <c r="G327" s="5"/>
      <c r="H327" s="5"/>
      <c r="I327" s="5"/>
    </row>
    <row r="328" spans="2:9" ht="12.75">
      <c r="B328" s="5"/>
      <c r="C328" s="5"/>
      <c r="D328" s="5"/>
      <c r="E328" s="5"/>
      <c r="F328" s="5"/>
      <c r="G328" s="5"/>
      <c r="H328" s="5"/>
      <c r="I328" s="5"/>
    </row>
    <row r="329" spans="2:9" ht="12.75">
      <c r="B329" s="5"/>
      <c r="C329" s="5"/>
      <c r="D329" s="5"/>
      <c r="E329" s="5"/>
      <c r="F329" s="5"/>
      <c r="G329" s="5"/>
      <c r="H329" s="5"/>
      <c r="I329" s="5"/>
    </row>
    <row r="330" spans="2:9" ht="12.75">
      <c r="B330" s="5"/>
      <c r="C330" s="5"/>
      <c r="D330" s="5"/>
      <c r="E330" s="5"/>
      <c r="F330" s="5"/>
      <c r="G330" s="5"/>
      <c r="H330" s="5"/>
      <c r="I330" s="5"/>
    </row>
    <row r="331" spans="2:9" ht="12.75">
      <c r="B331" s="5"/>
      <c r="C331" s="5"/>
      <c r="D331" s="5"/>
      <c r="E331" s="5"/>
      <c r="F331" s="5"/>
      <c r="G331" s="5"/>
      <c r="H331" s="5"/>
      <c r="I331" s="5"/>
    </row>
    <row r="332" spans="2:9" ht="12.75">
      <c r="B332" s="5"/>
      <c r="C332" s="5"/>
      <c r="D332" s="5"/>
      <c r="E332" s="5"/>
      <c r="F332" s="5"/>
      <c r="G332" s="5"/>
      <c r="H332" s="5"/>
      <c r="I332" s="5"/>
    </row>
    <row r="333" spans="2:9" ht="12.75">
      <c r="B333" s="5"/>
      <c r="C333" s="5"/>
      <c r="D333" s="5"/>
      <c r="E333" s="5"/>
      <c r="F333" s="5"/>
      <c r="G333" s="5"/>
      <c r="H333" s="5"/>
      <c r="I333" s="5"/>
    </row>
    <row r="334" spans="2:9" ht="12.75">
      <c r="B334" s="5"/>
      <c r="C334" s="5"/>
      <c r="D334" s="5"/>
      <c r="E334" s="5"/>
      <c r="F334" s="5"/>
      <c r="G334" s="5"/>
      <c r="H334" s="5"/>
      <c r="I334" s="5"/>
    </row>
    <row r="335" spans="2:9" ht="12.75">
      <c r="B335" s="5"/>
      <c r="C335" s="5"/>
      <c r="D335" s="5"/>
      <c r="E335" s="5"/>
      <c r="F335" s="5"/>
      <c r="G335" s="5"/>
      <c r="H335" s="5"/>
      <c r="I335" s="5"/>
    </row>
    <row r="336" spans="2:9" ht="12.75">
      <c r="B336" s="5"/>
      <c r="C336" s="5"/>
      <c r="D336" s="5"/>
      <c r="E336" s="5"/>
      <c r="F336" s="5"/>
      <c r="G336" s="5"/>
      <c r="H336" s="5"/>
      <c r="I336" s="5"/>
    </row>
    <row r="337" spans="2:9" ht="12.75">
      <c r="B337" s="5"/>
      <c r="C337" s="5"/>
      <c r="D337" s="5"/>
      <c r="E337" s="5"/>
      <c r="F337" s="5"/>
      <c r="G337" s="5"/>
      <c r="H337" s="5"/>
      <c r="I337" s="5"/>
    </row>
    <row r="338" spans="2:9" ht="12.75">
      <c r="B338" s="5"/>
      <c r="C338" s="5"/>
      <c r="D338" s="5"/>
      <c r="E338" s="5"/>
      <c r="F338" s="5"/>
      <c r="G338" s="5"/>
      <c r="H338" s="5"/>
      <c r="I338" s="5"/>
    </row>
    <row r="339" spans="2:9" ht="12.75">
      <c r="B339" s="5"/>
      <c r="C339" s="5"/>
      <c r="D339" s="5"/>
      <c r="E339" s="5"/>
      <c r="F339" s="5"/>
      <c r="G339" s="5"/>
      <c r="H339" s="5"/>
      <c r="I339" s="5"/>
    </row>
    <row r="340" spans="2:9" ht="12.75">
      <c r="B340" s="5"/>
      <c r="C340" s="5"/>
      <c r="D340" s="5"/>
      <c r="E340" s="5"/>
      <c r="F340" s="5"/>
      <c r="G340" s="5"/>
      <c r="H340" s="5"/>
      <c r="I340" s="5"/>
    </row>
    <row r="341" spans="2:9" ht="12.75">
      <c r="B341" s="5"/>
      <c r="C341" s="5"/>
      <c r="D341" s="5"/>
      <c r="E341" s="5"/>
      <c r="F341" s="5"/>
      <c r="G341" s="5"/>
      <c r="H341" s="5"/>
      <c r="I341" s="5"/>
    </row>
    <row r="342" spans="2:9" ht="12.75">
      <c r="B342" s="5"/>
      <c r="C342" s="5"/>
      <c r="D342" s="5"/>
      <c r="E342" s="5"/>
      <c r="F342" s="5"/>
      <c r="G342" s="5"/>
      <c r="H342" s="5"/>
      <c r="I342" s="5"/>
    </row>
    <row r="343" spans="2:9" ht="12.75">
      <c r="B343" s="5"/>
      <c r="C343" s="5"/>
      <c r="D343" s="5"/>
      <c r="E343" s="5"/>
      <c r="F343" s="5"/>
      <c r="G343" s="5"/>
      <c r="H343" s="5"/>
      <c r="I343" s="5"/>
    </row>
    <row r="344" spans="2:9" ht="12.75">
      <c r="B344" s="5"/>
      <c r="C344" s="5"/>
      <c r="D344" s="5"/>
      <c r="E344" s="5"/>
      <c r="F344" s="5"/>
      <c r="G344" s="5"/>
      <c r="H344" s="5"/>
      <c r="I344" s="5"/>
    </row>
    <row r="345" spans="2:9" ht="12.75">
      <c r="B345" s="5"/>
      <c r="C345" s="5"/>
      <c r="D345" s="5"/>
      <c r="E345" s="5"/>
      <c r="F345" s="5"/>
      <c r="G345" s="5"/>
      <c r="H345" s="5"/>
      <c r="I345" s="5"/>
    </row>
    <row r="346" spans="2:9" ht="12.75">
      <c r="B346" s="5"/>
      <c r="C346" s="5"/>
      <c r="D346" s="5"/>
      <c r="E346" s="5"/>
      <c r="F346" s="5"/>
      <c r="G346" s="5"/>
      <c r="H346" s="5"/>
      <c r="I346" s="5"/>
    </row>
    <row r="347" spans="2:9" ht="12.75">
      <c r="B347" s="5"/>
      <c r="C347" s="5"/>
      <c r="D347" s="5"/>
      <c r="E347" s="5"/>
      <c r="F347" s="5"/>
      <c r="G347" s="5"/>
      <c r="H347" s="5"/>
      <c r="I347" s="5"/>
    </row>
    <row r="348" spans="2:9" ht="12.75">
      <c r="B348" s="5"/>
      <c r="C348" s="5"/>
      <c r="D348" s="5"/>
      <c r="E348" s="5"/>
      <c r="F348" s="5"/>
      <c r="G348" s="5"/>
      <c r="H348" s="5"/>
      <c r="I348" s="5"/>
    </row>
    <row r="349" spans="2:9" ht="12.75">
      <c r="B349" s="5"/>
      <c r="C349" s="5"/>
      <c r="D349" s="5"/>
      <c r="E349" s="5"/>
      <c r="F349" s="5"/>
      <c r="G349" s="5"/>
      <c r="H349" s="5"/>
      <c r="I349" s="5"/>
    </row>
    <row r="350" spans="2:9" ht="12.75">
      <c r="B350" s="5"/>
      <c r="C350" s="5"/>
      <c r="D350" s="5"/>
      <c r="E350" s="5"/>
      <c r="F350" s="5"/>
      <c r="G350" s="5"/>
      <c r="H350" s="5"/>
      <c r="I350" s="5"/>
    </row>
    <row r="351" spans="2:9" ht="12.75">
      <c r="B351" s="5"/>
      <c r="C351" s="5"/>
      <c r="D351" s="5"/>
      <c r="E351" s="5"/>
      <c r="F351" s="5"/>
      <c r="G351" s="5"/>
      <c r="H351" s="5"/>
      <c r="I351" s="5"/>
    </row>
    <row r="352" spans="2:9" ht="12.75">
      <c r="B352" s="5"/>
      <c r="C352" s="5"/>
      <c r="D352" s="5"/>
      <c r="E352" s="5"/>
      <c r="F352" s="5"/>
      <c r="G352" s="5"/>
      <c r="H352" s="5"/>
      <c r="I352" s="5"/>
    </row>
    <row r="353" spans="2:9" ht="12.75">
      <c r="B353" s="5"/>
      <c r="C353" s="5"/>
      <c r="D353" s="5"/>
      <c r="E353" s="5"/>
      <c r="F353" s="5"/>
      <c r="G353" s="5"/>
      <c r="H353" s="5"/>
      <c r="I353" s="5"/>
    </row>
    <row r="354" spans="2:9" ht="12.75">
      <c r="B354" s="5"/>
      <c r="C354" s="5"/>
      <c r="D354" s="5"/>
      <c r="E354" s="5"/>
      <c r="F354" s="5"/>
      <c r="G354" s="5"/>
      <c r="H354" s="5"/>
      <c r="I354" s="5"/>
    </row>
    <row r="355" spans="2:9" ht="12.75">
      <c r="B355" s="5"/>
      <c r="C355" s="5"/>
      <c r="D355" s="5"/>
      <c r="E355" s="5"/>
      <c r="F355" s="5"/>
      <c r="G355" s="5"/>
      <c r="H355" s="5"/>
      <c r="I355" s="5"/>
    </row>
    <row r="356" spans="2:9" ht="12.75">
      <c r="B356" s="5"/>
      <c r="C356" s="5"/>
      <c r="D356" s="5"/>
      <c r="E356" s="5"/>
      <c r="F356" s="5"/>
      <c r="G356" s="5"/>
      <c r="H356" s="5"/>
      <c r="I356" s="5"/>
    </row>
    <row r="357" spans="2:9" ht="12.75">
      <c r="B357" s="5"/>
      <c r="C357" s="5"/>
      <c r="D357" s="5"/>
      <c r="E357" s="5"/>
      <c r="F357" s="5"/>
      <c r="G357" s="5"/>
      <c r="H357" s="5"/>
      <c r="I357" s="5"/>
    </row>
    <row r="358" spans="2:9" ht="12.75">
      <c r="B358" s="5"/>
      <c r="C358" s="5"/>
      <c r="D358" s="5"/>
      <c r="E358" s="5"/>
      <c r="F358" s="5"/>
      <c r="G358" s="5"/>
      <c r="H358" s="5"/>
      <c r="I358" s="5"/>
    </row>
    <row r="359" spans="2:9" ht="12.75">
      <c r="B359" s="5"/>
      <c r="C359" s="5"/>
      <c r="D359" s="5"/>
      <c r="E359" s="5"/>
      <c r="G359" s="5"/>
      <c r="H359" s="5"/>
      <c r="I359" s="5"/>
    </row>
    <row r="360" spans="2:9" ht="12.75">
      <c r="B360" s="5"/>
      <c r="C360" s="5"/>
      <c r="D360" s="5"/>
      <c r="E360" s="5"/>
      <c r="G360" s="5"/>
      <c r="H360" s="5"/>
      <c r="I360" s="5"/>
    </row>
    <row r="361" spans="2:9" ht="12.75">
      <c r="B361" s="5"/>
      <c r="C361" s="5"/>
      <c r="D361" s="5"/>
      <c r="E361" s="5"/>
      <c r="G361" s="5"/>
      <c r="H361" s="5"/>
      <c r="I361" s="5"/>
    </row>
    <row r="362" spans="2:9" ht="12.75">
      <c r="B362" s="5"/>
      <c r="C362" s="5"/>
      <c r="D362" s="5"/>
      <c r="E362" s="5"/>
      <c r="G362" s="5"/>
      <c r="H362" s="5"/>
      <c r="I362" s="5"/>
    </row>
    <row r="363" spans="2:9" ht="12.75">
      <c r="B363" s="5"/>
      <c r="C363" s="5"/>
      <c r="D363" s="5"/>
      <c r="E363" s="5"/>
      <c r="G363" s="5"/>
      <c r="H363" s="5"/>
      <c r="I363" s="5"/>
    </row>
    <row r="364" spans="2:9" ht="12.75">
      <c r="B364" s="5"/>
      <c r="C364" s="5"/>
      <c r="D364" s="5"/>
      <c r="E364" s="5"/>
      <c r="G364" s="5"/>
      <c r="H364" s="5"/>
      <c r="I364" s="5"/>
    </row>
    <row r="365" spans="2:9" ht="12.75">
      <c r="B365" s="5"/>
      <c r="C365" s="5"/>
      <c r="D365" s="5"/>
      <c r="E365" s="5"/>
      <c r="G365" s="5"/>
      <c r="H365" s="5"/>
      <c r="I365" s="5"/>
    </row>
    <row r="366" spans="2:9" ht="12.75">
      <c r="B366" s="5"/>
      <c r="C366" s="5"/>
      <c r="D366" s="5"/>
      <c r="E366" s="5"/>
      <c r="G366" s="5"/>
      <c r="H366" s="5"/>
      <c r="I366" s="5"/>
    </row>
    <row r="367" spans="2:9" ht="12.75">
      <c r="B367" s="5"/>
      <c r="G367" s="5"/>
      <c r="H367" s="5"/>
      <c r="I367" s="5"/>
    </row>
    <row r="368" spans="2:9" ht="12.75">
      <c r="B368" s="5"/>
      <c r="G368" s="5"/>
      <c r="H368" s="5"/>
      <c r="I368" s="5"/>
    </row>
    <row r="369" spans="2:9" ht="12.75">
      <c r="B369" s="5"/>
      <c r="G369" s="5"/>
      <c r="H369" s="5"/>
      <c r="I369" s="5"/>
    </row>
    <row r="370" spans="2:9" ht="12.75">
      <c r="B370" s="5"/>
      <c r="G370" s="5"/>
      <c r="H370" s="5"/>
      <c r="I370" s="5"/>
    </row>
    <row r="371" spans="7:9" ht="12.75">
      <c r="G371" s="5"/>
      <c r="H371" s="5"/>
      <c r="I371" s="5"/>
    </row>
    <row r="372" spans="7:9" ht="12.75">
      <c r="G372" s="5"/>
      <c r="H372" s="5"/>
      <c r="I372" s="5"/>
    </row>
    <row r="373" spans="7:9" ht="12.75">
      <c r="G373" s="5"/>
      <c r="H373" s="5"/>
      <c r="I373" s="5"/>
    </row>
    <row r="374" spans="7:9" ht="12.75">
      <c r="G374" s="5"/>
      <c r="H374" s="5"/>
      <c r="I374" s="5"/>
    </row>
    <row r="375" spans="7:9" ht="12.75">
      <c r="G375" s="5"/>
      <c r="H375" s="5"/>
      <c r="I375" s="5"/>
    </row>
    <row r="376" spans="7:9" ht="12.75">
      <c r="G376" s="5"/>
      <c r="H376" s="5"/>
      <c r="I376" s="5"/>
    </row>
    <row r="377" spans="7:9" ht="12.75">
      <c r="G377" s="5"/>
      <c r="H377" s="5"/>
      <c r="I377" s="5"/>
    </row>
    <row r="378" spans="7:9" ht="12.75">
      <c r="G378" s="5"/>
      <c r="H378" s="5"/>
      <c r="I378" s="5"/>
    </row>
    <row r="379" spans="7:9" ht="12.75">
      <c r="G379" s="5"/>
      <c r="H379" s="5"/>
      <c r="I379" s="5"/>
    </row>
    <row r="380" spans="7:9" ht="12.75">
      <c r="G380" s="5"/>
      <c r="H380" s="5"/>
      <c r="I380" s="5"/>
    </row>
    <row r="381" spans="7:9" ht="12.75">
      <c r="G381" s="5"/>
      <c r="H381" s="5"/>
      <c r="I381" s="5"/>
    </row>
    <row r="382" spans="8:9" ht="12.75">
      <c r="H382" s="5"/>
      <c r="I382" s="5"/>
    </row>
    <row r="383" spans="8:9" ht="12.75">
      <c r="H383" s="5"/>
      <c r="I383" s="5"/>
    </row>
  </sheetData>
  <mergeCells count="20">
    <mergeCell ref="A4:B4"/>
    <mergeCell ref="C4:E4"/>
    <mergeCell ref="F4:H4"/>
    <mergeCell ref="I4:K4"/>
    <mergeCell ref="A67:D67"/>
    <mergeCell ref="A81:D81"/>
    <mergeCell ref="A95:D95"/>
    <mergeCell ref="A40:F40"/>
    <mergeCell ref="A55:D55"/>
    <mergeCell ref="M4:P4"/>
    <mergeCell ref="E55:H55"/>
    <mergeCell ref="I55:L55"/>
    <mergeCell ref="M55:P55"/>
    <mergeCell ref="L4:L5"/>
    <mergeCell ref="A170:D170"/>
    <mergeCell ref="A184:D184"/>
    <mergeCell ref="A114:D114"/>
    <mergeCell ref="A128:D128"/>
    <mergeCell ref="A142:D142"/>
    <mergeCell ref="A156:D156"/>
  </mergeCells>
  <printOptions gridLines="1"/>
  <pageMargins left="0.75" right="0.75" top="1" bottom="1" header="0.5" footer="0.5"/>
  <pageSetup horizontalDpi="300" verticalDpi="300" orientation="landscape" r:id="rId4"/>
  <headerFooter alignWithMargins="0">
    <oddHeader>&amp;C&amp;A</oddHead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5"/>
  <dimension ref="A1:CO72"/>
  <sheetViews>
    <sheetView zoomScale="75" zoomScaleNormal="75" workbookViewId="0" topLeftCell="L1">
      <selection activeCell="CO17" sqref="CO17"/>
    </sheetView>
  </sheetViews>
  <sheetFormatPr defaultColWidth="9.140625" defaultRowHeight="12.75"/>
  <cols>
    <col min="1" max="1" width="64.421875" style="0" customWidth="1"/>
    <col min="2" max="2" width="10.28125" style="0" bestFit="1" customWidth="1"/>
    <col min="3" max="3" width="10.57421875" style="0" customWidth="1"/>
    <col min="5" max="5" width="9.28125" style="0" bestFit="1" customWidth="1"/>
    <col min="6" max="7" width="10.28125" style="0" bestFit="1" customWidth="1"/>
    <col min="8" max="8" width="20.28125" style="0" customWidth="1"/>
    <col min="9" max="9" width="9.28125" style="0" bestFit="1" customWidth="1"/>
    <col min="10" max="11" width="10.421875" style="0" bestFit="1" customWidth="1"/>
    <col min="12" max="16" width="13.8515625" style="0" customWidth="1"/>
    <col min="18" max="18" width="23.28125" style="0" customWidth="1"/>
    <col min="19" max="19" width="17.421875" style="0" customWidth="1"/>
    <col min="20" max="20" width="15.00390625" style="0" customWidth="1"/>
    <col min="22" max="22" width="12.421875" style="0" customWidth="1"/>
    <col min="23" max="23" width="11.7109375" style="0" customWidth="1"/>
    <col min="71" max="71" width="18.28125" style="0" customWidth="1"/>
    <col min="72" max="74" width="11.421875" style="0" bestFit="1" customWidth="1"/>
    <col min="75" max="76" width="9.28125" style="0" customWidth="1"/>
    <col min="77" max="77" width="9.28125" style="0" bestFit="1" customWidth="1"/>
    <col min="78" max="80" width="6.7109375" style="0" customWidth="1"/>
    <col min="81" max="83" width="10.140625" style="0" bestFit="1" customWidth="1"/>
    <col min="84" max="86" width="10.57421875" style="0" bestFit="1" customWidth="1"/>
    <col min="88" max="88" width="8.28125" style="0" customWidth="1"/>
    <col min="89" max="89" width="11.421875" style="0" bestFit="1" customWidth="1"/>
    <col min="90" max="90" width="9.28125" style="0" bestFit="1" customWidth="1"/>
    <col min="91" max="91" width="6.7109375" style="0" customWidth="1"/>
    <col min="92" max="92" width="10.140625" style="0" bestFit="1" customWidth="1"/>
    <col min="93" max="93" width="10.57421875" style="0" bestFit="1" customWidth="1"/>
  </cols>
  <sheetData>
    <row r="1" spans="1:93" ht="23.25" customHeight="1" thickBot="1">
      <c r="A1" s="260" t="s">
        <v>460</v>
      </c>
      <c r="B1" s="788"/>
      <c r="C1" s="789"/>
      <c r="G1" s="109"/>
      <c r="H1" s="311"/>
      <c r="I1" s="312"/>
      <c r="J1" s="312"/>
      <c r="K1" s="312"/>
      <c r="L1" s="313" t="s">
        <v>218</v>
      </c>
      <c r="M1" s="691"/>
      <c r="N1" s="691"/>
      <c r="O1" s="691"/>
      <c r="P1" s="691"/>
      <c r="AU1" s="350" t="s">
        <v>186</v>
      </c>
      <c r="AV1" s="351"/>
      <c r="AW1" s="351"/>
      <c r="AX1" s="352"/>
      <c r="AY1" s="352"/>
      <c r="AZ1" s="353"/>
      <c r="BA1" s="109"/>
      <c r="BB1" s="109"/>
      <c r="BC1" s="350" t="s">
        <v>187</v>
      </c>
      <c r="BD1" s="351"/>
      <c r="BE1" s="351"/>
      <c r="BF1" s="352"/>
      <c r="BG1" s="352"/>
      <c r="BH1" s="353"/>
      <c r="BI1" s="109"/>
      <c r="BJ1" s="109"/>
      <c r="BK1" s="350" t="s">
        <v>188</v>
      </c>
      <c r="BL1" s="351"/>
      <c r="BM1" s="351"/>
      <c r="BN1" s="352"/>
      <c r="BO1" s="352"/>
      <c r="BP1" s="353"/>
      <c r="BS1" s="768" t="s">
        <v>596</v>
      </c>
      <c r="BT1" s="769"/>
      <c r="BU1" s="769"/>
      <c r="BV1" s="769"/>
      <c r="BW1" s="769"/>
      <c r="BX1" s="770"/>
      <c r="CK1" s="5" t="s">
        <v>597</v>
      </c>
      <c r="CL1" s="5" t="s">
        <v>598</v>
      </c>
      <c r="CM1" s="5"/>
      <c r="CN1" s="5"/>
      <c r="CO1" s="5"/>
    </row>
    <row r="2" spans="1:93" ht="27.75" customHeight="1" thickBot="1">
      <c r="A2" s="262" t="s">
        <v>210</v>
      </c>
      <c r="B2" s="263" t="s">
        <v>190</v>
      </c>
      <c r="C2" s="263" t="s">
        <v>191</v>
      </c>
      <c r="D2" s="263" t="s">
        <v>211</v>
      </c>
      <c r="E2" s="263" t="s">
        <v>193</v>
      </c>
      <c r="F2" s="264"/>
      <c r="G2" s="109"/>
      <c r="H2" s="314" t="s">
        <v>217</v>
      </c>
      <c r="I2" s="315">
        <v>850</v>
      </c>
      <c r="J2" s="315">
        <v>1350</v>
      </c>
      <c r="K2" s="315">
        <v>2184</v>
      </c>
      <c r="L2" s="316">
        <f>($I$3*I2)+($J$3*J2)+($K$3*K2)</f>
        <v>1600.28</v>
      </c>
      <c r="M2" s="676"/>
      <c r="N2" s="676"/>
      <c r="O2" s="676"/>
      <c r="P2" s="676"/>
      <c r="AU2" s="354">
        <f>'Cost-Effectiveness Level'!$B$3</f>
        <v>0.2</v>
      </c>
      <c r="AV2" s="355">
        <f>'Cost-Effectiveness Level'!$C$3</f>
        <v>0.5</v>
      </c>
      <c r="AW2" s="355">
        <f>'Cost-Effectiveness Level'!$D$3</f>
        <v>0.25</v>
      </c>
      <c r="AX2" s="355">
        <f>'Cost-Effectiveness Level'!$E$3</f>
        <v>0.05</v>
      </c>
      <c r="AY2" s="356"/>
      <c r="AZ2" s="357"/>
      <c r="BA2" s="109"/>
      <c r="BB2" s="109"/>
      <c r="BC2" s="354">
        <f>'Cost-Effectiveness Level'!$B$3</f>
        <v>0.2</v>
      </c>
      <c r="BD2" s="355">
        <f>'Cost-Effectiveness Level'!$C$3</f>
        <v>0.5</v>
      </c>
      <c r="BE2" s="355">
        <f>'Cost-Effectiveness Level'!$D$3</f>
        <v>0.25</v>
      </c>
      <c r="BF2" s="355">
        <f>'Cost-Effectiveness Level'!$E$3</f>
        <v>0.05</v>
      </c>
      <c r="BG2" s="356"/>
      <c r="BH2" s="357"/>
      <c r="BI2" s="109"/>
      <c r="BJ2" s="109"/>
      <c r="BK2" s="354">
        <f>'Cost-Effectiveness Level'!$B$3</f>
        <v>0.2</v>
      </c>
      <c r="BL2" s="355">
        <f>'Cost-Effectiveness Level'!$C$3</f>
        <v>0.5</v>
      </c>
      <c r="BM2" s="355">
        <f>'Cost-Effectiveness Level'!$D$3</f>
        <v>0.25</v>
      </c>
      <c r="BN2" s="355">
        <f>'Cost-Effectiveness Level'!$E$3</f>
        <v>0.05</v>
      </c>
      <c r="BO2" s="356"/>
      <c r="BP2" s="357"/>
      <c r="BS2" s="558" t="s">
        <v>591</v>
      </c>
      <c r="BT2" s="255" t="s">
        <v>586</v>
      </c>
      <c r="BU2" s="255" t="s">
        <v>586</v>
      </c>
      <c r="BV2" s="255" t="s">
        <v>586</v>
      </c>
      <c r="BW2" s="255" t="s">
        <v>587</v>
      </c>
      <c r="BX2" s="255" t="s">
        <v>587</v>
      </c>
      <c r="BY2" s="255" t="s">
        <v>587</v>
      </c>
      <c r="BZ2" s="255" t="s">
        <v>584</v>
      </c>
      <c r="CA2" s="255" t="s">
        <v>584</v>
      </c>
      <c r="CB2" s="255" t="s">
        <v>584</v>
      </c>
      <c r="CC2" s="255" t="s">
        <v>588</v>
      </c>
      <c r="CD2" s="255" t="s">
        <v>588</v>
      </c>
      <c r="CE2" s="255" t="s">
        <v>588</v>
      </c>
      <c r="CF2" s="255" t="s">
        <v>585</v>
      </c>
      <c r="CG2" s="255" t="s">
        <v>585</v>
      </c>
      <c r="CH2" s="255" t="s">
        <v>585</v>
      </c>
      <c r="CJ2" s="708" t="s">
        <v>123</v>
      </c>
      <c r="CK2" s="709" t="s">
        <v>586</v>
      </c>
      <c r="CL2" s="710" t="s">
        <v>587</v>
      </c>
      <c r="CM2" s="710" t="s">
        <v>584</v>
      </c>
      <c r="CN2" s="710" t="s">
        <v>588</v>
      </c>
      <c r="CO2" s="711" t="s">
        <v>585</v>
      </c>
    </row>
    <row r="3" spans="1:93" ht="15.75" thickBot="1">
      <c r="A3" s="265" t="s">
        <v>212</v>
      </c>
      <c r="B3" s="266">
        <f>INDEX($B5:$E14,$A14,B14)</f>
        <v>0.2</v>
      </c>
      <c r="C3" s="266">
        <f>INDEX($B5:$E14,$A14,C14)</f>
        <v>0.5</v>
      </c>
      <c r="D3" s="266">
        <f>INDEX($B5:$E14,$A14,D14)</f>
        <v>0.25</v>
      </c>
      <c r="E3" s="266">
        <f>INDEX($B5:$E14,$A14,E14)</f>
        <v>0.05</v>
      </c>
      <c r="F3" s="267">
        <f>SUM(B3:E3)</f>
        <v>1</v>
      </c>
      <c r="G3" s="109"/>
      <c r="H3" s="317" t="s">
        <v>219</v>
      </c>
      <c r="I3" s="318">
        <v>0.2</v>
      </c>
      <c r="J3" s="318">
        <v>0.38</v>
      </c>
      <c r="K3" s="318">
        <v>0.42</v>
      </c>
      <c r="L3" s="319">
        <f>SUM(I3:K3)</f>
        <v>1</v>
      </c>
      <c r="M3" s="677"/>
      <c r="N3" s="677"/>
      <c r="O3" s="677"/>
      <c r="P3" s="677"/>
      <c r="AU3" s="360" t="s">
        <v>190</v>
      </c>
      <c r="AV3" s="359" t="s">
        <v>191</v>
      </c>
      <c r="AW3" s="359" t="s">
        <v>192</v>
      </c>
      <c r="AX3" s="359" t="s">
        <v>193</v>
      </c>
      <c r="AY3" s="359" t="s">
        <v>194</v>
      </c>
      <c r="AZ3" s="361" t="s">
        <v>195</v>
      </c>
      <c r="BA3" s="109"/>
      <c r="BB3" s="109"/>
      <c r="BC3" s="360" t="s">
        <v>190</v>
      </c>
      <c r="BD3" s="359" t="s">
        <v>191</v>
      </c>
      <c r="BE3" s="359" t="s">
        <v>192</v>
      </c>
      <c r="BF3" s="359" t="s">
        <v>193</v>
      </c>
      <c r="BG3" s="359" t="s">
        <v>194</v>
      </c>
      <c r="BH3" s="361" t="s">
        <v>195</v>
      </c>
      <c r="BI3" s="109"/>
      <c r="BJ3" s="109"/>
      <c r="BK3" s="360" t="s">
        <v>190</v>
      </c>
      <c r="BL3" s="359" t="s">
        <v>191</v>
      </c>
      <c r="BM3" s="359" t="s">
        <v>192</v>
      </c>
      <c r="BN3" s="359" t="s">
        <v>193</v>
      </c>
      <c r="BO3" s="359" t="s">
        <v>194</v>
      </c>
      <c r="BP3" s="361" t="s">
        <v>195</v>
      </c>
      <c r="BS3" s="558" t="s">
        <v>589</v>
      </c>
      <c r="BT3" s="562">
        <v>850</v>
      </c>
      <c r="BU3" s="562">
        <v>1350</v>
      </c>
      <c r="BV3" s="562">
        <v>2184</v>
      </c>
      <c r="BW3" s="562">
        <v>850</v>
      </c>
      <c r="BX3" s="562">
        <v>1350</v>
      </c>
      <c r="BY3" s="562">
        <v>2184</v>
      </c>
      <c r="BZ3" s="562">
        <v>850</v>
      </c>
      <c r="CA3" s="562">
        <v>1350</v>
      </c>
      <c r="CB3" s="562">
        <v>2184</v>
      </c>
      <c r="CC3" s="562">
        <v>850</v>
      </c>
      <c r="CD3" s="562">
        <v>1350</v>
      </c>
      <c r="CE3" s="562">
        <v>2184</v>
      </c>
      <c r="CF3" s="562">
        <v>850</v>
      </c>
      <c r="CG3" s="562">
        <v>1350</v>
      </c>
      <c r="CH3" s="562">
        <v>2184</v>
      </c>
      <c r="CJ3" s="5"/>
      <c r="CK3" s="705">
        <f>SUMPRODUCT($I$3:$K$3,BT3:BV3)</f>
        <v>1600.28</v>
      </c>
      <c r="CL3" s="706">
        <f>SUMPRODUCT($I$3:$K$3,BW3:BY3)</f>
        <v>1600.28</v>
      </c>
      <c r="CM3" s="706">
        <f>SUMPRODUCT($I$3:$K$3,BZ3:CB3)</f>
        <v>1600.28</v>
      </c>
      <c r="CN3" s="706">
        <f>SUMPRODUCT($I$3:$K$3,CC3:CE3)</f>
        <v>1600.28</v>
      </c>
      <c r="CO3" s="707">
        <f>SUMPRODUCT($I$3:$K$3,CF3:CH3)</f>
        <v>1600.28</v>
      </c>
    </row>
    <row r="4" spans="1:93" ht="14.25">
      <c r="A4" s="268" t="s">
        <v>461</v>
      </c>
      <c r="B4" s="269"/>
      <c r="C4" s="269"/>
      <c r="D4" s="269"/>
      <c r="E4" s="269"/>
      <c r="F4" s="270"/>
      <c r="G4" s="109"/>
      <c r="AU4" s="362">
        <v>43977.32200410197</v>
      </c>
      <c r="AV4" s="115">
        <v>50202.10958101377</v>
      </c>
      <c r="AW4" s="115">
        <v>65026.01816583651</v>
      </c>
      <c r="AX4" s="115">
        <v>74636.03867565191</v>
      </c>
      <c r="AY4" s="358">
        <v>1500</v>
      </c>
      <c r="AZ4" s="363">
        <f>('Cost-Effectiveness Level'!$B$3*AU4)+('Cost-Effectiveness Level'!$C$3*AV4)+('Cost-Effectiveness Level'!$D$3*AW4)+('Cost-Effectiveness Level'!$E$3*AX4)</f>
        <v>53884.825666569006</v>
      </c>
      <c r="BA4" s="109"/>
      <c r="BB4" s="109"/>
      <c r="BC4" s="362">
        <v>42722.648696161734</v>
      </c>
      <c r="BD4" s="115">
        <v>48847.23117491943</v>
      </c>
      <c r="BE4" s="115">
        <v>63476.64811016701</v>
      </c>
      <c r="BF4" s="115">
        <v>73096.04453559918</v>
      </c>
      <c r="BG4" s="358">
        <v>1500</v>
      </c>
      <c r="BH4" s="363">
        <f>('Cost-Effectiveness Level'!$B$3*BC4)+('Cost-Effectiveness Level'!$C$3*BD4)+('Cost-Effectiveness Level'!$D$3*BE4)+('Cost-Effectiveness Level'!$E$3*BF4)</f>
        <v>52492.10958101377</v>
      </c>
      <c r="BI4" s="109"/>
      <c r="BJ4" s="109"/>
      <c r="BK4" s="362">
        <v>38694.66744799297</v>
      </c>
      <c r="BL4" s="115">
        <v>44448.08086727219</v>
      </c>
      <c r="BM4" s="115">
        <v>58612.745385291535</v>
      </c>
      <c r="BN4" s="115">
        <v>68061.5587459713</v>
      </c>
      <c r="BO4" s="358">
        <v>1500</v>
      </c>
      <c r="BP4" s="363">
        <f>('Cost-Effectiveness Level'!$B$3*BK4)+('Cost-Effectiveness Level'!$C$3*BL4)+('Cost-Effectiveness Level'!$D$3*BM4)+('Cost-Effectiveness Level'!$E$3*BN4)</f>
        <v>48019.238206856135</v>
      </c>
      <c r="BS4" s="558" t="s">
        <v>594</v>
      </c>
      <c r="BT4" s="562">
        <f>$B$23</f>
        <v>273.7795397878741</v>
      </c>
      <c r="BU4" s="563">
        <f>$C$23</f>
        <v>389.11878405767476</v>
      </c>
      <c r="BV4" s="562">
        <f>$D$23</f>
        <v>613.4090560882945</v>
      </c>
      <c r="BW4" s="562">
        <f>$B$23</f>
        <v>273.7795397878741</v>
      </c>
      <c r="BX4" s="563">
        <f>$C$23</f>
        <v>389.11878405767476</v>
      </c>
      <c r="BY4" s="562">
        <f>$D$23</f>
        <v>613.4090560882945</v>
      </c>
      <c r="BZ4" s="562">
        <f>$B$23</f>
        <v>273.7795397878741</v>
      </c>
      <c r="CA4" s="563">
        <f>$C$23</f>
        <v>389.11878405767476</v>
      </c>
      <c r="CB4" s="562">
        <f>$D$23</f>
        <v>613.4090560882945</v>
      </c>
      <c r="CC4" s="562">
        <f>$B$23</f>
        <v>273.7795397878741</v>
      </c>
      <c r="CD4" s="563">
        <f>$C$23</f>
        <v>389.11878405767476</v>
      </c>
      <c r="CE4" s="562">
        <f>$D$23</f>
        <v>613.4090560882945</v>
      </c>
      <c r="CF4" s="562">
        <f>$B$23</f>
        <v>273.7795397878741</v>
      </c>
      <c r="CG4" s="563">
        <f>$C$23</f>
        <v>389.11878405767476</v>
      </c>
      <c r="CH4" s="562">
        <f>$D$23</f>
        <v>613.4090560882945</v>
      </c>
      <c r="CJ4" s="5"/>
      <c r="CK4" s="696">
        <f>SUMPRODUCT($I$3:$K$3,BT4:BV4)</f>
        <v>460.25284945657495</v>
      </c>
      <c r="CL4" s="697">
        <f>SUMPRODUCT($I$3:$K$3,BW4:BY4)</f>
        <v>460.25284945657495</v>
      </c>
      <c r="CM4" s="697">
        <f>SUMPRODUCT($I$3:$K$3,BZ4:CB4)</f>
        <v>460.25284945657495</v>
      </c>
      <c r="CN4" s="697">
        <f>SUMPRODUCT($I$3:$K$3,CC4:CE4)</f>
        <v>460.25284945657495</v>
      </c>
      <c r="CO4" s="698">
        <f>SUMPRODUCT($I$3:$K$3,CF4:CH4)</f>
        <v>460.25284945657495</v>
      </c>
    </row>
    <row r="5" spans="1:93" ht="14.25">
      <c r="A5" s="271" t="s">
        <v>207</v>
      </c>
      <c r="B5" s="114">
        <v>0.4</v>
      </c>
      <c r="C5" s="114">
        <v>0.45</v>
      </c>
      <c r="D5" s="114">
        <v>0.15</v>
      </c>
      <c r="E5" s="114">
        <v>0</v>
      </c>
      <c r="F5" s="272">
        <f aca="true" t="shared" si="0" ref="F5:F13">SUM(B5:E5)</f>
        <v>1</v>
      </c>
      <c r="G5" s="109"/>
      <c r="AU5" s="362">
        <v>43308.29182537358</v>
      </c>
      <c r="AV5" s="115">
        <v>49442.513917374745</v>
      </c>
      <c r="AW5" s="115">
        <v>64069.967770290066</v>
      </c>
      <c r="AX5" s="115">
        <v>73547.67067096397</v>
      </c>
      <c r="AY5" s="358">
        <v>1480</v>
      </c>
      <c r="AZ5" s="363">
        <f>('Cost-Effectiveness Level'!$B$3*AU5)+('Cost-Effectiveness Level'!$C$3*AV5)+('Cost-Effectiveness Level'!$D$3*AW5)+('Cost-Effectiveness Level'!$E$3*AX5)</f>
        <v>53077.79079988281</v>
      </c>
      <c r="BA5" s="109"/>
      <c r="BB5" s="109"/>
      <c r="BC5" s="362">
        <v>42054.99560503956</v>
      </c>
      <c r="BD5" s="115">
        <v>48090.946381482565</v>
      </c>
      <c r="BE5" s="115">
        <v>62524.02578376795</v>
      </c>
      <c r="BF5" s="115">
        <v>72010.9874011134</v>
      </c>
      <c r="BG5" s="358">
        <v>1480</v>
      </c>
      <c r="BH5" s="363">
        <f>('Cost-Effectiveness Level'!$B$3*BC5)+('Cost-Effectiveness Level'!$C$3*BD5)+('Cost-Effectiveness Level'!$D$3*BE5)+('Cost-Effectiveness Level'!$E$3*BF5)</f>
        <v>51688.02812774685</v>
      </c>
      <c r="BI5" s="109"/>
      <c r="BJ5" s="109"/>
      <c r="BK5" s="362">
        <v>38040.580134778786</v>
      </c>
      <c r="BL5" s="115">
        <v>43697.83181951363</v>
      </c>
      <c r="BM5" s="115">
        <v>57672.985643129214</v>
      </c>
      <c r="BN5" s="115">
        <v>66982.97685320833</v>
      </c>
      <c r="BO5" s="358">
        <v>1480</v>
      </c>
      <c r="BP5" s="363">
        <f>('Cost-Effectiveness Level'!$B$3*BK5)+('Cost-Effectiveness Level'!$C$3*BL5)+('Cost-Effectiveness Level'!$D$3*BM5)+('Cost-Effectiveness Level'!$E$3*BN5)</f>
        <v>47224.4271901553</v>
      </c>
      <c r="BS5" s="558" t="s">
        <v>590</v>
      </c>
      <c r="BT5" s="692">
        <f aca="true" t="shared" si="1" ref="BT5:CH5">BT4/BT3</f>
        <v>0.32209357622102835</v>
      </c>
      <c r="BU5" s="692">
        <f t="shared" si="1"/>
        <v>0.28823613633901835</v>
      </c>
      <c r="BV5" s="692">
        <f t="shared" si="1"/>
        <v>0.28086495242138027</v>
      </c>
      <c r="BW5" s="692">
        <f t="shared" si="1"/>
        <v>0.32209357622102835</v>
      </c>
      <c r="BX5" s="692">
        <f t="shared" si="1"/>
        <v>0.28823613633901835</v>
      </c>
      <c r="BY5" s="692">
        <f t="shared" si="1"/>
        <v>0.28086495242138027</v>
      </c>
      <c r="BZ5" s="692">
        <f t="shared" si="1"/>
        <v>0.32209357622102835</v>
      </c>
      <c r="CA5" s="692">
        <f t="shared" si="1"/>
        <v>0.28823613633901835</v>
      </c>
      <c r="CB5" s="692">
        <f t="shared" si="1"/>
        <v>0.28086495242138027</v>
      </c>
      <c r="CC5" s="692">
        <f t="shared" si="1"/>
        <v>0.32209357622102835</v>
      </c>
      <c r="CD5" s="692">
        <f t="shared" si="1"/>
        <v>0.28823613633901835</v>
      </c>
      <c r="CE5" s="692">
        <f t="shared" si="1"/>
        <v>0.28086495242138027</v>
      </c>
      <c r="CF5" s="692">
        <f t="shared" si="1"/>
        <v>0.32209357622102835</v>
      </c>
      <c r="CG5" s="692">
        <f t="shared" si="1"/>
        <v>0.28823613633901835</v>
      </c>
      <c r="CH5" s="692">
        <f t="shared" si="1"/>
        <v>0.28086495242138027</v>
      </c>
      <c r="CJ5" s="5"/>
      <c r="CK5" s="699">
        <f>SUMPRODUCT($I$3:$K$3,BT5:BV5)</f>
        <v>0.29191172707001234</v>
      </c>
      <c r="CL5" s="701">
        <f>SUMPRODUCT($I$3:$K$3,BW5:BY5)</f>
        <v>0.29191172707001234</v>
      </c>
      <c r="CM5" s="701">
        <f>SUMPRODUCT($I$3:$K$3,BZ5:CB5)</f>
        <v>0.29191172707001234</v>
      </c>
      <c r="CN5" s="701">
        <f>SUMPRODUCT($I$3:$K$3,CC5:CE5)</f>
        <v>0.29191172707001234</v>
      </c>
      <c r="CO5" s="703">
        <f>SUMPRODUCT($I$3:$K$3,CF5:CH5)</f>
        <v>0.29191172707001234</v>
      </c>
    </row>
    <row r="6" spans="1:93" ht="14.25">
      <c r="A6" s="271" t="s">
        <v>208</v>
      </c>
      <c r="B6" s="114">
        <v>0</v>
      </c>
      <c r="C6" s="114">
        <v>0.07</v>
      </c>
      <c r="D6" s="114">
        <v>0.93</v>
      </c>
      <c r="E6" s="114">
        <v>0</v>
      </c>
      <c r="F6" s="272">
        <f t="shared" si="0"/>
        <v>1</v>
      </c>
      <c r="G6" s="109"/>
      <c r="AU6" s="362">
        <v>42639.320246117786</v>
      </c>
      <c r="AV6" s="115">
        <v>48683.03545268093</v>
      </c>
      <c r="AW6" s="115">
        <v>63113.85877527103</v>
      </c>
      <c r="AX6" s="115">
        <v>72460.00585994727</v>
      </c>
      <c r="AY6" s="358">
        <v>1460</v>
      </c>
      <c r="AZ6" s="363">
        <f>('Cost-Effectiveness Level'!$B$3*AU6)+('Cost-Effectiveness Level'!$C$3*AV6)+('Cost-Effectiveness Level'!$D$3*AW6)+('Cost-Effectiveness Level'!$E$3*AX6)</f>
        <v>52270.846762379144</v>
      </c>
      <c r="BA6" s="109"/>
      <c r="BB6" s="109"/>
      <c r="BC6" s="362">
        <v>41387.752710225606</v>
      </c>
      <c r="BD6" s="115">
        <v>47334.749487254616</v>
      </c>
      <c r="BE6" s="115">
        <v>61571.43275710518</v>
      </c>
      <c r="BF6" s="115">
        <v>70926.16466451803</v>
      </c>
      <c r="BG6" s="358">
        <v>1460</v>
      </c>
      <c r="BH6" s="363">
        <f>('Cost-Effectiveness Level'!$B$3*BC6)+('Cost-Effectiveness Level'!$C$3*BD6)+('Cost-Effectiveness Level'!$D$3*BE6)+('Cost-Effectiveness Level'!$E$3*BF6)</f>
        <v>50884.09170817462</v>
      </c>
      <c r="BI6" s="109"/>
      <c r="BJ6" s="109"/>
      <c r="BK6" s="362">
        <v>37386.96161734544</v>
      </c>
      <c r="BL6" s="115">
        <v>42948.49106358043</v>
      </c>
      <c r="BM6" s="115">
        <v>56734.016993847064</v>
      </c>
      <c r="BN6" s="115">
        <v>65904.48285965426</v>
      </c>
      <c r="BO6" s="358">
        <v>1460</v>
      </c>
      <c r="BP6" s="363">
        <f>('Cost-Effectiveness Level'!$B$3*BK6)+('Cost-Effectiveness Level'!$C$3*BL6)+('Cost-Effectiveness Level'!$D$3*BM6)+('Cost-Effectiveness Level'!$E$3*BN6)</f>
        <v>46430.36624670378</v>
      </c>
      <c r="BS6" s="558" t="s">
        <v>592</v>
      </c>
      <c r="BT6" s="693">
        <f>2.5573*BT5+0.2372</f>
        <v>1.0608899024700358</v>
      </c>
      <c r="BU6" s="693">
        <f>2.26083*BU5+0.03621</f>
        <v>0.6878629041193428</v>
      </c>
      <c r="BV6" s="693">
        <f>4.48273*BV5-0.69282</f>
        <v>0.566221748167894</v>
      </c>
      <c r="BW6" s="693">
        <f>1.4613*BW5+0.0684</f>
        <v>0.5390753429317887</v>
      </c>
      <c r="BX6" s="693">
        <f>1.1074*BX5+0.0095</f>
        <v>0.3286926973818289</v>
      </c>
      <c r="BY6" s="693">
        <f>2.35984*BY5-0.40191</f>
        <v>0.2608863493220701</v>
      </c>
      <c r="BZ6" s="693">
        <f>5.967*BZ5+0.6001</f>
        <v>2.522032369310876</v>
      </c>
      <c r="CA6" s="694">
        <f>5.88899*CA5+0.1508</f>
        <v>1.8482197245391156</v>
      </c>
      <c r="CB6" s="693">
        <f>9.94137*CB5-1.13637</f>
        <v>1.6558124120533366</v>
      </c>
      <c r="CC6" s="693">
        <f>3.7751*CC5+0.3325</f>
        <v>1.5484354595920042</v>
      </c>
      <c r="CD6" s="693">
        <f>3.52437*CD5+0.08693</f>
        <v>1.102780791829146</v>
      </c>
      <c r="CE6" s="693">
        <f>6.1494*CE5-0.75803</f>
        <v>0.9691209384200359</v>
      </c>
      <c r="CF6" s="693">
        <f>3.5315*CF5+0.3095</f>
        <v>1.4469734644245618</v>
      </c>
      <c r="CG6" s="693">
        <f>3.44043*CG5-0.00193</f>
        <v>0.989726250544849</v>
      </c>
      <c r="CH6" s="693">
        <f>6.44337*CH5-0.95536</f>
        <v>0.8543568084833488</v>
      </c>
      <c r="CJ6" s="5"/>
      <c r="CK6" s="700">
        <f>SUMPRODUCT($I$3:$K$3,BT6:BV6)</f>
        <v>0.7113790182898728</v>
      </c>
      <c r="CL6" s="702">
        <f>SUMPRODUCT($I$3:$K$3,BW6:BY6)</f>
        <v>0.34229056030672217</v>
      </c>
      <c r="CM6" s="702">
        <f>SUMPRODUCT($I$3:$K$3,BZ6:CB6)</f>
        <v>1.9021711822494405</v>
      </c>
      <c r="CN6" s="702">
        <f>SUMPRODUCT($I$3:$K$3,CC6:CE6)</f>
        <v>1.1357745869498914</v>
      </c>
      <c r="CO6" s="704">
        <f>SUMPRODUCT($I$3:$K$3,CF6:CH6)</f>
        <v>1.0243205276549614</v>
      </c>
    </row>
    <row r="7" spans="1:93" ht="26.25" thickBot="1">
      <c r="A7" s="271" t="s">
        <v>209</v>
      </c>
      <c r="B7" s="114">
        <v>0</v>
      </c>
      <c r="C7" s="114">
        <v>0</v>
      </c>
      <c r="D7" s="114">
        <v>0</v>
      </c>
      <c r="E7" s="114">
        <v>1</v>
      </c>
      <c r="F7" s="272">
        <f t="shared" si="0"/>
        <v>1</v>
      </c>
      <c r="G7" s="109"/>
      <c r="AU7" s="362">
        <v>41970.348666861995</v>
      </c>
      <c r="AV7" s="115">
        <v>47923.76208614122</v>
      </c>
      <c r="AW7" s="115">
        <v>62157.74978025198</v>
      </c>
      <c r="AX7" s="115">
        <v>71372.54614708468</v>
      </c>
      <c r="AY7" s="358">
        <v>1440</v>
      </c>
      <c r="AZ7" s="363">
        <f>('Cost-Effectiveness Level'!$B$3*AU7)+('Cost-Effectiveness Level'!$C$3*AV7)+('Cost-Effectiveness Level'!$D$3*AW7)+('Cost-Effectiveness Level'!$E$3*AX7)</f>
        <v>51464.01552886023</v>
      </c>
      <c r="BA7" s="109"/>
      <c r="BB7" s="109"/>
      <c r="BC7" s="362">
        <v>40720.832112510994</v>
      </c>
      <c r="BD7" s="115">
        <v>46578.406094345155</v>
      </c>
      <c r="BE7" s="115">
        <v>60618.89832991503</v>
      </c>
      <c r="BF7" s="115">
        <v>69841.8986229124</v>
      </c>
      <c r="BG7" s="358">
        <v>1440</v>
      </c>
      <c r="BH7" s="363">
        <f>('Cost-Effectiveness Level'!$B$3*BC7)+('Cost-Effectiveness Level'!$C$3*BD7)+('Cost-Effectiveness Level'!$D$3*BE7)+('Cost-Effectiveness Level'!$E$3*BF7)</f>
        <v>50080.18898329916</v>
      </c>
      <c r="BI7" s="109"/>
      <c r="BJ7" s="109"/>
      <c r="BK7" s="362">
        <v>36734.10489305596</v>
      </c>
      <c r="BL7" s="115">
        <v>42199.707002636984</v>
      </c>
      <c r="BM7" s="115">
        <v>55795.19484324641</v>
      </c>
      <c r="BN7" s="115">
        <v>64825.959566363905</v>
      </c>
      <c r="BO7" s="358">
        <v>1440</v>
      </c>
      <c r="BP7" s="363">
        <f>('Cost-Effectiveness Level'!$B$3*BK7)+('Cost-Effectiveness Level'!$C$3*BL7)+('Cost-Effectiveness Level'!$D$3*BM7)+('Cost-Effectiveness Level'!$E$3*BN7)</f>
        <v>45636.77116905949</v>
      </c>
      <c r="BS7" s="558" t="s">
        <v>593</v>
      </c>
      <c r="BT7" s="695">
        <f aca="true" t="shared" si="2" ref="BT7:CH7">BT3*BT6</f>
        <v>901.7564170995304</v>
      </c>
      <c r="BU7" s="695">
        <f t="shared" si="2"/>
        <v>928.6149205611127</v>
      </c>
      <c r="BV7" s="695">
        <f t="shared" si="2"/>
        <v>1236.6282979986804</v>
      </c>
      <c r="BW7" s="695">
        <f t="shared" si="2"/>
        <v>458.2140414920204</v>
      </c>
      <c r="BX7" s="695">
        <f t="shared" si="2"/>
        <v>443.735141465469</v>
      </c>
      <c r="BY7" s="695">
        <f t="shared" si="2"/>
        <v>569.7757869194011</v>
      </c>
      <c r="BZ7" s="695">
        <f t="shared" si="2"/>
        <v>2143.7275139142444</v>
      </c>
      <c r="CA7" s="695">
        <f t="shared" si="2"/>
        <v>2495.096628127806</v>
      </c>
      <c r="CB7" s="695">
        <f t="shared" si="2"/>
        <v>3616.2943079244874</v>
      </c>
      <c r="CC7" s="695">
        <f t="shared" si="2"/>
        <v>1316.1701406532036</v>
      </c>
      <c r="CD7" s="695">
        <f t="shared" si="2"/>
        <v>1488.754068969347</v>
      </c>
      <c r="CE7" s="695">
        <f t="shared" si="2"/>
        <v>2116.5601295093584</v>
      </c>
      <c r="CF7" s="695">
        <f t="shared" si="2"/>
        <v>1229.9274447608775</v>
      </c>
      <c r="CG7" s="695">
        <f t="shared" si="2"/>
        <v>1336.130438235546</v>
      </c>
      <c r="CH7" s="695">
        <f t="shared" si="2"/>
        <v>1865.9152697276338</v>
      </c>
      <c r="CJ7" s="5"/>
      <c r="CK7" s="712">
        <f>SUMPRODUCT($I$3:$K$3,BT7:BV7)</f>
        <v>1052.6088383925746</v>
      </c>
      <c r="CL7" s="713">
        <f>SUMPRODUCT($I$3:$K$3,BW7:BY7)</f>
        <v>499.56799256143074</v>
      </c>
      <c r="CM7" s="713">
        <f>SUMPRODUCT($I$3:$K$3,BZ7:CB7)</f>
        <v>2895.7258307997</v>
      </c>
      <c r="CN7" s="713">
        <f>SUMPRODUCT($I$3:$K$3,CC7:CE7)</f>
        <v>1717.9158287329228</v>
      </c>
      <c r="CO7" s="714">
        <f>SUMPRODUCT($I$3:$K$3,CF7:CH7)</f>
        <v>1537.3994687672894</v>
      </c>
    </row>
    <row r="8" spans="1:68" ht="14.25">
      <c r="A8" s="258" t="s">
        <v>242</v>
      </c>
      <c r="B8" s="114">
        <v>0.2</v>
      </c>
      <c r="C8" s="114">
        <v>0.5</v>
      </c>
      <c r="D8" s="114">
        <v>0.25</v>
      </c>
      <c r="E8" s="114">
        <v>0.05</v>
      </c>
      <c r="F8" s="272">
        <f t="shared" si="0"/>
        <v>1</v>
      </c>
      <c r="G8" s="109"/>
      <c r="AU8" s="362">
        <v>41301.69938470554</v>
      </c>
      <c r="AV8" s="115">
        <v>47164.78171696455</v>
      </c>
      <c r="AW8" s="115">
        <v>61201.81658365075</v>
      </c>
      <c r="AX8" s="115">
        <v>70285.1157339584</v>
      </c>
      <c r="AY8" s="358">
        <v>1420</v>
      </c>
      <c r="AZ8" s="363">
        <f>('Cost-Effectiveness Level'!$B$3*AU8)+('Cost-Effectiveness Level'!$C$3*AV8)+('Cost-Effectiveness Level'!$D$3*AW8)+('Cost-Effectiveness Level'!$E$3*AX8)</f>
        <v>50657.44066803399</v>
      </c>
      <c r="BA8" s="109"/>
      <c r="BB8" s="109"/>
      <c r="BC8" s="362">
        <v>40054.116612950485</v>
      </c>
      <c r="BD8" s="115">
        <v>45822.1799003809</v>
      </c>
      <c r="BE8" s="115">
        <v>59666.21740404336</v>
      </c>
      <c r="BF8" s="115">
        <v>68757.51538236155</v>
      </c>
      <c r="BG8" s="358">
        <v>1420</v>
      </c>
      <c r="BH8" s="363">
        <f>('Cost-Effectiveness Level'!$B$3*BC8)+('Cost-Effectiveness Level'!$C$3*BD8)+('Cost-Effectiveness Level'!$D$3*BE8)+('Cost-Effectiveness Level'!$E$3*BF8)</f>
        <v>49276.34339290947</v>
      </c>
      <c r="BI8" s="109"/>
      <c r="BJ8" s="109"/>
      <c r="BK8" s="362">
        <v>36082.127160855554</v>
      </c>
      <c r="BL8" s="115">
        <v>41451.42103721067</v>
      </c>
      <c r="BM8" s="115">
        <v>54856.87078816291</v>
      </c>
      <c r="BN8" s="115">
        <v>63748.1101670085</v>
      </c>
      <c r="BO8" s="358">
        <v>1420</v>
      </c>
      <c r="BP8" s="363">
        <f>('Cost-Effectiveness Level'!$B$3*BK8)+('Cost-Effectiveness Level'!$C$3*BL8)+('Cost-Effectiveness Level'!$D$3*BM8)+('Cost-Effectiveness Level'!$E$3*BN8)</f>
        <v>44843.7591561676</v>
      </c>
    </row>
    <row r="9" spans="1:68" ht="14.25">
      <c r="A9" s="258" t="s">
        <v>190</v>
      </c>
      <c r="B9" s="114">
        <v>1</v>
      </c>
      <c r="C9" s="114">
        <v>0</v>
      </c>
      <c r="D9" s="114">
        <v>0</v>
      </c>
      <c r="E9" s="114">
        <v>0</v>
      </c>
      <c r="F9" s="272">
        <f t="shared" si="0"/>
        <v>1</v>
      </c>
      <c r="G9" s="109"/>
      <c r="AU9" s="362">
        <v>40633.07940228539</v>
      </c>
      <c r="AV9" s="115">
        <v>46405.742748315264</v>
      </c>
      <c r="AW9" s="115">
        <v>60246.05918546733</v>
      </c>
      <c r="AX9" s="115">
        <v>69197.89041898624</v>
      </c>
      <c r="AY9" s="358">
        <v>1400</v>
      </c>
      <c r="AZ9" s="363">
        <f>('Cost-Effectiveness Level'!$B$3*AU9)+('Cost-Effectiveness Level'!$C$3*AV9)+('Cost-Effectiveness Level'!$D$3*AW9)+('Cost-Effectiveness Level'!$E$3*AX9)</f>
        <v>49850.896571930854</v>
      </c>
      <c r="BA9" s="109"/>
      <c r="BB9" s="109"/>
      <c r="BC9" s="362">
        <v>39387.72341048931</v>
      </c>
      <c r="BD9" s="115">
        <v>45066.100205098155</v>
      </c>
      <c r="BE9" s="115">
        <v>58713.38997949018</v>
      </c>
      <c r="BF9" s="115">
        <v>67673.57163785526</v>
      </c>
      <c r="BG9" s="358">
        <v>1400</v>
      </c>
      <c r="BH9" s="363">
        <f>('Cost-Effectiveness Level'!$B$3*BC9)+('Cost-Effectiveness Level'!$C$3*BD9)+('Cost-Effectiveness Level'!$D$3*BE9)+('Cost-Effectiveness Level'!$E$3*BF9)</f>
        <v>48472.620861412244</v>
      </c>
      <c r="BI9" s="109"/>
      <c r="BJ9" s="109"/>
      <c r="BK9" s="362">
        <v>35430.94052153531</v>
      </c>
      <c r="BL9" s="115">
        <v>40703.92616466452</v>
      </c>
      <c r="BM9" s="115">
        <v>53918.75183123352</v>
      </c>
      <c r="BN9" s="115">
        <v>62670.61236448872</v>
      </c>
      <c r="BO9" s="358">
        <v>1400</v>
      </c>
      <c r="BP9" s="363">
        <f>('Cost-Effectiveness Level'!$B$3*BK9)+('Cost-Effectiveness Level'!$C$3*BL9)+('Cost-Effectiveness Level'!$D$3*BM9)+('Cost-Effectiveness Level'!$E$3*BN9)</f>
        <v>44051.36976267214</v>
      </c>
    </row>
    <row r="10" spans="1:68" ht="14.25">
      <c r="A10" s="258" t="s">
        <v>191</v>
      </c>
      <c r="B10" s="114">
        <v>0</v>
      </c>
      <c r="C10" s="114">
        <v>1</v>
      </c>
      <c r="D10" s="114">
        <v>0</v>
      </c>
      <c r="E10" s="114">
        <v>0</v>
      </c>
      <c r="F10" s="272">
        <f t="shared" si="0"/>
        <v>1</v>
      </c>
      <c r="G10" s="109"/>
      <c r="AU10" s="362">
        <v>39964.40082039262</v>
      </c>
      <c r="AV10" s="115">
        <v>45646.8795780838</v>
      </c>
      <c r="AW10" s="115">
        <v>59290.41898622913</v>
      </c>
      <c r="AX10" s="115">
        <v>68110.89950190448</v>
      </c>
      <c r="AY10" s="358">
        <v>1380</v>
      </c>
      <c r="AZ10" s="363">
        <f>('Cost-Effectiveness Level'!$B$3*AU10)+('Cost-Effectiveness Level'!$C$3*AV10)+('Cost-Effectiveness Level'!$D$3*AW10)+('Cost-Effectiveness Level'!$E$3*AX10)</f>
        <v>49044.46967477293</v>
      </c>
      <c r="BA10" s="109"/>
      <c r="BB10" s="109"/>
      <c r="BC10" s="362">
        <v>38721.56460591855</v>
      </c>
      <c r="BD10" s="115">
        <v>44310.284207442135</v>
      </c>
      <c r="BE10" s="115">
        <v>57760.70905361852</v>
      </c>
      <c r="BF10" s="115">
        <v>66589.65719308527</v>
      </c>
      <c r="BG10" s="358">
        <v>1380</v>
      </c>
      <c r="BH10" s="363">
        <f>('Cost-Effectiveness Level'!$B$3*BC10)+('Cost-Effectiveness Level'!$C$3*BD10)+('Cost-Effectiveness Level'!$D$3*BE10)+('Cost-Effectiveness Level'!$E$3*BF10)</f>
        <v>47669.115147963676</v>
      </c>
      <c r="BI10" s="109"/>
      <c r="BJ10" s="109"/>
      <c r="BK10" s="362">
        <v>34779.51948432464</v>
      </c>
      <c r="BL10" s="115">
        <v>39956.25549370056</v>
      </c>
      <c r="BM10" s="115">
        <v>52980.95517140346</v>
      </c>
      <c r="BN10" s="115">
        <v>61594.84324641079</v>
      </c>
      <c r="BO10" s="358">
        <v>1380</v>
      </c>
      <c r="BP10" s="363">
        <f>('Cost-Effectiveness Level'!$B$3*BK10)+('Cost-Effectiveness Level'!$C$3*BL10)+('Cost-Effectiveness Level'!$D$3*BM10)+('Cost-Effectiveness Level'!$E$3*BN10)</f>
        <v>43259.01259888661</v>
      </c>
    </row>
    <row r="11" spans="1:68" ht="14.25">
      <c r="A11" s="258" t="s">
        <v>241</v>
      </c>
      <c r="B11" s="114">
        <v>0</v>
      </c>
      <c r="C11" s="114">
        <v>0.44</v>
      </c>
      <c r="D11" s="114">
        <v>0.56</v>
      </c>
      <c r="E11" s="114">
        <v>0</v>
      </c>
      <c r="F11" s="272">
        <f t="shared" si="0"/>
        <v>1</v>
      </c>
      <c r="G11" s="109"/>
      <c r="AU11" s="362">
        <v>39295.78083797246</v>
      </c>
      <c r="AV11" s="115">
        <v>44888.10430706124</v>
      </c>
      <c r="AW11" s="115">
        <v>58335.04248461764</v>
      </c>
      <c r="AX11" s="115">
        <v>67023.90858482274</v>
      </c>
      <c r="AY11" s="358">
        <v>1360</v>
      </c>
      <c r="AZ11" s="363">
        <f>('Cost-Effectiveness Level'!$B$3*AU11)+('Cost-Effectiveness Level'!$C$3*AV11)+('Cost-Effectiveness Level'!$D$3*AW11)+('Cost-Effectiveness Level'!$E$3*AX11)</f>
        <v>48238.16437152067</v>
      </c>
      <c r="BA11" s="109"/>
      <c r="BB11" s="109"/>
      <c r="BC11" s="362">
        <v>38055.25930266628</v>
      </c>
      <c r="BD11" s="115">
        <v>43554.93700556695</v>
      </c>
      <c r="BE11" s="115">
        <v>56809.024318781136</v>
      </c>
      <c r="BF11" s="115">
        <v>65505.77204805158</v>
      </c>
      <c r="BG11" s="358">
        <v>1360</v>
      </c>
      <c r="BH11" s="363">
        <f>('Cost-Effectiveness Level'!$B$3*BC11)+('Cost-Effectiveness Level'!$C$3*BD11)+('Cost-Effectiveness Level'!$D$3*BE11)+('Cost-Effectiveness Level'!$E$3*BF11)</f>
        <v>46866.065045414594</v>
      </c>
      <c r="BI11" s="109"/>
      <c r="BJ11" s="109"/>
      <c r="BK11" s="362">
        <v>34129.06533841196</v>
      </c>
      <c r="BL11" s="115">
        <v>39208.08672721946</v>
      </c>
      <c r="BM11" s="115">
        <v>52044.35980076179</v>
      </c>
      <c r="BN11" s="115">
        <v>60519.51362437739</v>
      </c>
      <c r="BO11" s="358">
        <v>1360</v>
      </c>
      <c r="BP11" s="363">
        <f>('Cost-Effectiveness Level'!$B$3*BK11)+('Cost-Effectiveness Level'!$C$3*BL11)+('Cost-Effectiveness Level'!$D$3*BM11)+('Cost-Effectiveness Level'!$E$3*BN11)</f>
        <v>42466.922062701444</v>
      </c>
    </row>
    <row r="12" spans="1:68" ht="15" thickBot="1">
      <c r="A12" s="258" t="s">
        <v>192</v>
      </c>
      <c r="B12" s="114">
        <v>0</v>
      </c>
      <c r="C12" s="114">
        <v>0</v>
      </c>
      <c r="D12" s="114">
        <v>1</v>
      </c>
      <c r="E12" s="114">
        <v>0</v>
      </c>
      <c r="F12" s="272">
        <f t="shared" si="0"/>
        <v>1</v>
      </c>
      <c r="G12" s="109"/>
      <c r="AU12" s="362">
        <v>38627.36595370642</v>
      </c>
      <c r="AV12" s="115">
        <v>44129.475534720186</v>
      </c>
      <c r="AW12" s="115">
        <v>57380.10547905069</v>
      </c>
      <c r="AX12" s="115">
        <v>65937.15206563141</v>
      </c>
      <c r="AY12" s="358">
        <v>1340</v>
      </c>
      <c r="AZ12" s="363">
        <f>('Cost-Effectiveness Level'!$B$3*AU12)+('Cost-Effectiveness Level'!$C$3*AV12)+('Cost-Effectiveness Level'!$D$3*AW12)+('Cost-Effectiveness Level'!$E$3*AX12)</f>
        <v>47432.09493114562</v>
      </c>
      <c r="BA12" s="109"/>
      <c r="BB12" s="109"/>
      <c r="BC12" s="362">
        <v>37389.27629651334</v>
      </c>
      <c r="BD12" s="115">
        <v>42799.58980369177</v>
      </c>
      <c r="BE12" s="115">
        <v>55857.72048051568</v>
      </c>
      <c r="BF12" s="115">
        <v>64422.00410196308</v>
      </c>
      <c r="BG12" s="358">
        <v>1340</v>
      </c>
      <c r="BH12" s="363">
        <f>('Cost-Effectiveness Level'!$B$3*BC12)+('Cost-Effectiveness Level'!$C$3*BD12)+('Cost-Effectiveness Level'!$D$3*BE12)+('Cost-Effectiveness Level'!$E$3*BF12)</f>
        <v>46063.18048637563</v>
      </c>
      <c r="BI12" s="109"/>
      <c r="BJ12" s="109"/>
      <c r="BK12" s="362">
        <v>33480.164078523296</v>
      </c>
      <c r="BL12" s="115">
        <v>38460.03515968357</v>
      </c>
      <c r="BM12" s="115">
        <v>51108.29182537358</v>
      </c>
      <c r="BN12" s="115">
        <v>59444.76999707003</v>
      </c>
      <c r="BO12" s="358">
        <v>1340</v>
      </c>
      <c r="BP12" s="363">
        <f>('Cost-Effectiveness Level'!$B$3*BK12)+('Cost-Effectiveness Level'!$C$3*BL12)+('Cost-Effectiveness Level'!$D$3*BM12)+('Cost-Effectiveness Level'!$E$3*BN12)</f>
        <v>41675.361851743335</v>
      </c>
    </row>
    <row r="13" spans="1:68" ht="21" customHeight="1" thickBot="1">
      <c r="A13" s="259" t="s">
        <v>193</v>
      </c>
      <c r="B13" s="273">
        <v>0</v>
      </c>
      <c r="C13" s="273">
        <v>0</v>
      </c>
      <c r="D13" s="273">
        <v>0</v>
      </c>
      <c r="E13" s="273">
        <v>1</v>
      </c>
      <c r="F13" s="274">
        <f t="shared" si="0"/>
        <v>1</v>
      </c>
      <c r="G13" s="109"/>
      <c r="R13" s="785" t="s">
        <v>578</v>
      </c>
      <c r="S13" s="786"/>
      <c r="T13" s="786"/>
      <c r="U13" s="786"/>
      <c r="V13" s="787"/>
      <c r="AU13" s="362">
        <v>37959.12686785819</v>
      </c>
      <c r="AV13" s="115">
        <v>43371.08116026956</v>
      </c>
      <c r="AW13" s="115">
        <v>56425.49077058307</v>
      </c>
      <c r="AX13" s="115">
        <v>64850.33694696749</v>
      </c>
      <c r="AY13" s="358">
        <v>1320</v>
      </c>
      <c r="AZ13" s="363">
        <f>('Cost-Effectiveness Level'!$B$3*AU13)+('Cost-Effectiveness Level'!$C$3*AV13)+('Cost-Effectiveness Level'!$D$3*AW13)+('Cost-Effectiveness Level'!$E$3*AX13)</f>
        <v>46626.255493700555</v>
      </c>
      <c r="BA13" s="109"/>
      <c r="BB13" s="109"/>
      <c r="BC13" s="362">
        <v>36724.05508350425</v>
      </c>
      <c r="BD13" s="115">
        <v>42044.12540287138</v>
      </c>
      <c r="BE13" s="115">
        <v>54906.29944330502</v>
      </c>
      <c r="BF13" s="115">
        <v>63338.03105772049</v>
      </c>
      <c r="BG13" s="358">
        <v>1320</v>
      </c>
      <c r="BH13" s="363">
        <f>('Cost-Effectiveness Level'!$B$3*BC13)+('Cost-Effectiveness Level'!$C$3*BD13)+('Cost-Effectiveness Level'!$D$3*BE13)+('Cost-Effectiveness Level'!$E$3*BF13)</f>
        <v>45260.35013184882</v>
      </c>
      <c r="BI13" s="109"/>
      <c r="BJ13" s="109"/>
      <c r="BK13" s="362">
        <v>32831.936712569586</v>
      </c>
      <c r="BL13" s="115">
        <v>37712.13009082918</v>
      </c>
      <c r="BM13" s="115">
        <v>50172.7805449751</v>
      </c>
      <c r="BN13" s="115">
        <v>58369.90917081747</v>
      </c>
      <c r="BO13" s="358">
        <v>1320</v>
      </c>
      <c r="BP13" s="363">
        <f>('Cost-Effectiveness Level'!$B$3*BK13)+('Cost-Effectiveness Level'!$C$3*BL13)+('Cost-Effectiveness Level'!$D$3*BM13)+('Cost-Effectiveness Level'!$E$3*BN13)</f>
        <v>40884.14298271315</v>
      </c>
    </row>
    <row r="14" spans="1:68" ht="15" thickBot="1">
      <c r="A14" s="275">
        <v>4</v>
      </c>
      <c r="B14" s="276">
        <v>1</v>
      </c>
      <c r="C14" s="276">
        <v>2</v>
      </c>
      <c r="D14" s="276">
        <v>3</v>
      </c>
      <c r="E14" s="276">
        <v>4</v>
      </c>
      <c r="F14" s="277"/>
      <c r="G14" s="109"/>
      <c r="AI14" t="s">
        <v>576</v>
      </c>
      <c r="AU14" s="362">
        <v>37291.18077937299</v>
      </c>
      <c r="AV14" s="115">
        <v>42612.68678581893</v>
      </c>
      <c r="AW14" s="115">
        <v>55471.13975974217</v>
      </c>
      <c r="AX14" s="115">
        <v>63763.66832698506</v>
      </c>
      <c r="AY14" s="358">
        <v>1300</v>
      </c>
      <c r="AZ14" s="363">
        <f>('Cost-Effectiveness Level'!$B$3*AU14)+('Cost-Effectiveness Level'!$C$3*AV14)+('Cost-Effectiveness Level'!$D$3*AW14)+('Cost-Effectiveness Level'!$E$3*AX14)</f>
        <v>45820.54790506886</v>
      </c>
      <c r="BA14" s="109"/>
      <c r="BB14" s="109"/>
      <c r="BC14" s="362">
        <v>36059.09756812189</v>
      </c>
      <c r="BD14" s="115">
        <v>41288.983299150306</v>
      </c>
      <c r="BE14" s="115">
        <v>53954.81980662174</v>
      </c>
      <c r="BF14" s="115">
        <v>62253.88221506007</v>
      </c>
      <c r="BG14" s="358">
        <v>1300</v>
      </c>
      <c r="BH14" s="363">
        <f>('Cost-Effectiveness Level'!$B$3*BC14)+('Cost-Effectiveness Level'!$C$3*BD14)+('Cost-Effectiveness Level'!$D$3*BE14)+('Cost-Effectiveness Level'!$E$3*BF14)</f>
        <v>44457.71022560797</v>
      </c>
      <c r="BI14" s="109"/>
      <c r="BJ14" s="109"/>
      <c r="BK14" s="362">
        <v>32185.584529739233</v>
      </c>
      <c r="BL14" s="115">
        <v>36965.719308526226</v>
      </c>
      <c r="BM14" s="115">
        <v>49237.562261939645</v>
      </c>
      <c r="BN14" s="115">
        <v>57295.19484324641</v>
      </c>
      <c r="BO14" s="358">
        <v>1300</v>
      </c>
      <c r="BP14" s="363">
        <f>('Cost-Effectiveness Level'!$B$3*BK14)+('Cost-Effectiveness Level'!$C$3*BL14)+('Cost-Effectiveness Level'!$D$3*BM14)+('Cost-Effectiveness Level'!$E$3*BN14)</f>
        <v>40094.1268678582</v>
      </c>
    </row>
    <row r="15" spans="1:68" ht="15" thickBot="1">
      <c r="A15" s="278"/>
      <c r="B15" s="279"/>
      <c r="C15" s="279"/>
      <c r="D15" s="279"/>
      <c r="E15" s="279"/>
      <c r="F15" s="280"/>
      <c r="G15" s="109"/>
      <c r="AI15" t="s">
        <v>577</v>
      </c>
      <c r="AU15" s="362">
        <v>36623.52768825081</v>
      </c>
      <c r="AV15" s="115">
        <v>41854.38031057721</v>
      </c>
      <c r="AW15" s="115">
        <v>54516.84734837387</v>
      </c>
      <c r="AX15" s="115">
        <v>62677.46850278348</v>
      </c>
      <c r="AY15" s="358">
        <v>1280</v>
      </c>
      <c r="AZ15" s="363">
        <f>('Cost-Effectiveness Level'!$B$3*AU15)+('Cost-Effectiveness Level'!$C$3*AV15)+('Cost-Effectiveness Level'!$D$3*AW15)+('Cost-Effectiveness Level'!$E$3*AX15)</f>
        <v>45014.980955171406</v>
      </c>
      <c r="BA15" s="109"/>
      <c r="BB15" s="109"/>
      <c r="BC15" s="362">
        <v>35394.462349838854</v>
      </c>
      <c r="BD15" s="115">
        <v>40534.046293583364</v>
      </c>
      <c r="BE15" s="115">
        <v>53004.04336360973</v>
      </c>
      <c r="BF15" s="115">
        <v>61170.46586580721</v>
      </c>
      <c r="BG15" s="358">
        <v>1280</v>
      </c>
      <c r="BH15" s="363">
        <f>('Cost-Effectiveness Level'!$B$3*BC15)+('Cost-Effectiveness Level'!$C$3*BD15)+('Cost-Effectiveness Level'!$D$3*BE15)+('Cost-Effectiveness Level'!$E$3*BF15)</f>
        <v>43655.44975095225</v>
      </c>
      <c r="BI15" s="109"/>
      <c r="BJ15" s="109"/>
      <c r="BK15" s="362">
        <v>31540.785232932903</v>
      </c>
      <c r="BL15" s="115">
        <v>36220.71491356578</v>
      </c>
      <c r="BM15" s="115">
        <v>48302.92997363024</v>
      </c>
      <c r="BN15" s="115">
        <v>56221.359507764435</v>
      </c>
      <c r="BO15" s="358">
        <v>1280</v>
      </c>
      <c r="BP15" s="363">
        <f>('Cost-Effectiveness Level'!$B$3*BK15)+('Cost-Effectiveness Level'!$C$3*BL15)+('Cost-Effectiveness Level'!$D$3*BM15)+('Cost-Effectiveness Level'!$E$3*BN15)</f>
        <v>39305.31497216525</v>
      </c>
    </row>
    <row r="16" spans="1:68" ht="15" thickBot="1">
      <c r="A16" s="790" t="s">
        <v>462</v>
      </c>
      <c r="B16" s="791"/>
      <c r="C16" s="791"/>
      <c r="D16" s="791"/>
      <c r="E16" s="791"/>
      <c r="F16" s="792"/>
      <c r="G16" s="109"/>
      <c r="AI16">
        <v>2</v>
      </c>
      <c r="AU16" s="362">
        <v>35956.16759449165</v>
      </c>
      <c r="AV16" s="115">
        <v>41096.2496337533</v>
      </c>
      <c r="AW16" s="115">
        <v>53562.84793436859</v>
      </c>
      <c r="AX16" s="115">
        <v>61591.67887489013</v>
      </c>
      <c r="AY16" s="358">
        <v>1260</v>
      </c>
      <c r="AZ16" s="363">
        <f>('Cost-Effectiveness Level'!$B$3*AU16)+('Cost-Effectiveness Level'!$C$3*AV16)+('Cost-Effectiveness Level'!$D$3*AW16)+('Cost-Effectiveness Level'!$E$3*AX16)</f>
        <v>44209.65426311163</v>
      </c>
      <c r="BA16" s="109"/>
      <c r="BB16" s="109"/>
      <c r="BC16" s="362">
        <v>34730.38382654556</v>
      </c>
      <c r="BD16" s="115">
        <v>39779.07998828011</v>
      </c>
      <c r="BE16" s="115">
        <v>52054.38031057721</v>
      </c>
      <c r="BF16" s="115">
        <v>60087.43041312628</v>
      </c>
      <c r="BG16" s="358">
        <v>1260</v>
      </c>
      <c r="BH16" s="363">
        <f>('Cost-Effectiveness Level'!$B$3*BC16)+('Cost-Effectiveness Level'!$C$3*BD16)+('Cost-Effectiveness Level'!$D$3*BE16)+('Cost-Effectiveness Level'!$E$3*BF16)</f>
        <v>42853.58335774978</v>
      </c>
      <c r="BI16" s="109"/>
      <c r="BJ16" s="109"/>
      <c r="BK16" s="362">
        <v>30898.505713448583</v>
      </c>
      <c r="BL16" s="115">
        <v>35476.20861412248</v>
      </c>
      <c r="BM16" s="115">
        <v>47370.524465279814</v>
      </c>
      <c r="BN16" s="115">
        <v>55147.34837386464</v>
      </c>
      <c r="BO16" s="358">
        <v>1260</v>
      </c>
      <c r="BP16" s="363">
        <f>('Cost-Effectiveness Level'!$B$3*BK16)+('Cost-Effectiveness Level'!$C$3*BL16)+('Cost-Effectiveness Level'!$D$3*BM16)+('Cost-Effectiveness Level'!$E$3*BN16)</f>
        <v>38517.80398476415</v>
      </c>
    </row>
    <row r="17" spans="7:68" ht="15" thickBot="1">
      <c r="G17" s="109"/>
      <c r="AU17" s="362">
        <v>35288.8953999414</v>
      </c>
      <c r="AV17" s="115">
        <v>40338.79285086434</v>
      </c>
      <c r="AW17" s="115">
        <v>52609.024318781136</v>
      </c>
      <c r="AX17" s="115">
        <v>60505.80134778787</v>
      </c>
      <c r="AY17" s="358">
        <v>1240</v>
      </c>
      <c r="AZ17" s="363">
        <f>('Cost-Effectiveness Level'!$B$3*AU17)+('Cost-Effectiveness Level'!$C$3*AV17)+('Cost-Effectiveness Level'!$D$3*AW17)+('Cost-Effectiveness Level'!$E$3*AX17)</f>
        <v>43404.721652505126</v>
      </c>
      <c r="BA17" s="109"/>
      <c r="BB17" s="109"/>
      <c r="BC17" s="362">
        <v>34066.451801933785</v>
      </c>
      <c r="BD17" s="115">
        <v>39024.31878113097</v>
      </c>
      <c r="BE17" s="115">
        <v>51104.68795780838</v>
      </c>
      <c r="BF17" s="115">
        <v>59004.424260181666</v>
      </c>
      <c r="BG17" s="358">
        <v>1240</v>
      </c>
      <c r="BH17" s="363">
        <f>('Cost-Effectiveness Level'!$B$3*BC17)+('Cost-Effectiveness Level'!$C$3*BD17)+('Cost-Effectiveness Level'!$D$3*BE17)+('Cost-Effectiveness Level'!$E$3*BF17)</f>
        <v>42051.84295341342</v>
      </c>
      <c r="BI17" s="109"/>
      <c r="BJ17" s="109"/>
      <c r="BK17" s="362">
        <v>30256.841488426606</v>
      </c>
      <c r="BL17" s="115">
        <v>34734.10489305596</v>
      </c>
      <c r="BM17" s="115">
        <v>46439.14444769997</v>
      </c>
      <c r="BN17" s="115">
        <v>54073.33723996484</v>
      </c>
      <c r="BO17" s="358">
        <v>1240</v>
      </c>
      <c r="BP17" s="363">
        <f>('Cost-Effectiveness Level'!$B$3*BK17)+('Cost-Effectiveness Level'!$C$3*BL17)+('Cost-Effectiveness Level'!$D$3*BM17)+('Cost-Effectiveness Level'!$E$3*BN17)</f>
        <v>37731.87371813654</v>
      </c>
    </row>
    <row r="18" spans="1:68" ht="15" thickBot="1">
      <c r="A18" s="781" t="s">
        <v>501</v>
      </c>
      <c r="B18" s="782"/>
      <c r="C18" s="782"/>
      <c r="D18" s="782"/>
      <c r="E18" s="782"/>
      <c r="F18" s="782"/>
      <c r="G18" s="782"/>
      <c r="H18" s="782"/>
      <c r="I18" s="782"/>
      <c r="J18" s="782"/>
      <c r="K18" s="782"/>
      <c r="L18" s="782"/>
      <c r="M18" s="782"/>
      <c r="N18" s="782"/>
      <c r="O18" s="782"/>
      <c r="P18" s="783"/>
      <c r="AU18" s="362">
        <v>34621.62320539115</v>
      </c>
      <c r="AV18" s="115">
        <v>39581.5411661295</v>
      </c>
      <c r="AW18" s="115">
        <v>51655.25930266628</v>
      </c>
      <c r="AX18" s="115">
        <v>59420.04101963083</v>
      </c>
      <c r="AY18" s="358">
        <v>1220</v>
      </c>
      <c r="AZ18" s="363">
        <f>('Cost-Effectiveness Level'!$B$3*AU18)+('Cost-Effectiveness Level'!$C$3*AV18)+('Cost-Effectiveness Level'!$D$3*AW18)+('Cost-Effectiveness Level'!$E$3*AX18)</f>
        <v>42599.912100791094</v>
      </c>
      <c r="BA18" s="109"/>
      <c r="BB18" s="109"/>
      <c r="BC18" s="362">
        <v>33402.98857310284</v>
      </c>
      <c r="BD18" s="115">
        <v>38269.99707002637</v>
      </c>
      <c r="BE18" s="115">
        <v>50155.28860240258</v>
      </c>
      <c r="BF18" s="115">
        <v>57921.97480222679</v>
      </c>
      <c r="BG18" s="358">
        <v>1220</v>
      </c>
      <c r="BH18" s="363">
        <f>('Cost-Effectiveness Level'!$B$3*BC18)+('Cost-Effectiveness Level'!$C$3*BD18)+('Cost-Effectiveness Level'!$D$3*BE18)+('Cost-Effectiveness Level'!$E$3*BF18)</f>
        <v>41250.517140345735</v>
      </c>
      <c r="BI18" s="109"/>
      <c r="BJ18" s="109"/>
      <c r="BK18" s="362">
        <v>29616.17345443891</v>
      </c>
      <c r="BL18" s="115">
        <v>33993.58335774978</v>
      </c>
      <c r="BM18" s="115">
        <v>45507.38353354821</v>
      </c>
      <c r="BN18" s="115">
        <v>53001.67008496924</v>
      </c>
      <c r="BO18" s="358">
        <v>1220</v>
      </c>
      <c r="BP18" s="363">
        <f>('Cost-Effectiveness Level'!$B$3*BK18)+('Cost-Effectiveness Level'!$C$3*BL18)+('Cost-Effectiveness Level'!$D$3*BM18)+('Cost-Effectiveness Level'!$E$3*BN18)</f>
        <v>36946.95575739819</v>
      </c>
    </row>
    <row r="19" spans="1:68" ht="15" thickBot="1">
      <c r="A19" s="281"/>
      <c r="B19" s="765" t="s">
        <v>463</v>
      </c>
      <c r="C19" s="766"/>
      <c r="D19" s="767"/>
      <c r="E19" s="764" t="s">
        <v>464</v>
      </c>
      <c r="F19" s="762"/>
      <c r="G19" s="762"/>
      <c r="H19" s="763"/>
      <c r="I19" s="761" t="s">
        <v>465</v>
      </c>
      <c r="J19" s="762"/>
      <c r="K19" s="762"/>
      <c r="L19" s="763"/>
      <c r="M19" s="784" t="s">
        <v>581</v>
      </c>
      <c r="N19" s="762"/>
      <c r="O19" s="762"/>
      <c r="P19" s="763"/>
      <c r="R19" s="747" t="s">
        <v>472</v>
      </c>
      <c r="S19" s="748"/>
      <c r="T19" s="748"/>
      <c r="U19" s="748"/>
      <c r="V19" s="749"/>
      <c r="AU19" s="362">
        <v>33954.52680925872</v>
      </c>
      <c r="AV19" s="115">
        <v>38824.14298271316</v>
      </c>
      <c r="AW19" s="115">
        <v>50701.55288602403</v>
      </c>
      <c r="AX19" s="115">
        <v>58334.573688836805</v>
      </c>
      <c r="AY19" s="358">
        <v>1200</v>
      </c>
      <c r="AZ19" s="363">
        <f>('Cost-Effectiveness Level'!$B$3*AU19)+('Cost-Effectiveness Level'!$C$3*AV19)+('Cost-Effectiveness Level'!$D$3*AW19)+('Cost-Effectiveness Level'!$E$3*AX19)</f>
        <v>41795.093759156174</v>
      </c>
      <c r="BA19" s="109"/>
      <c r="BB19" s="109"/>
      <c r="BC19" s="362">
        <v>32739.96484031644</v>
      </c>
      <c r="BD19" s="115">
        <v>37515.558159976565</v>
      </c>
      <c r="BE19" s="115">
        <v>49205.85994726048</v>
      </c>
      <c r="BF19" s="115">
        <v>56839.496044535605</v>
      </c>
      <c r="BG19" s="358">
        <v>1200</v>
      </c>
      <c r="BH19" s="363">
        <f>('Cost-Effectiveness Level'!$B$3*BC19)+('Cost-Effectiveness Level'!$C$3*BD19)+('Cost-Effectiveness Level'!$D$3*BE19)+('Cost-Effectiveness Level'!$E$3*BF19)</f>
        <v>40449.21183709347</v>
      </c>
      <c r="BI19" s="109"/>
      <c r="BJ19" s="109"/>
      <c r="BK19" s="362">
        <v>28976.062115440964</v>
      </c>
      <c r="BL19" s="115">
        <v>33253.618517433344</v>
      </c>
      <c r="BM19" s="115">
        <v>44576.91180779373</v>
      </c>
      <c r="BN19" s="115">
        <v>51931.14561968943</v>
      </c>
      <c r="BO19" s="358">
        <v>1200</v>
      </c>
      <c r="BP19" s="363">
        <f>('Cost-Effectiveness Level'!$B$3*BK19)+('Cost-Effectiveness Level'!$C$3*BL19)+('Cost-Effectiveness Level'!$D$3*BM19)+('Cost-Effectiveness Level'!$E$3*BN19)</f>
        <v>36162.80691473777</v>
      </c>
    </row>
    <row r="20" spans="1:93" ht="51.75" thickBot="1">
      <c r="A20" s="282" t="s">
        <v>466</v>
      </c>
      <c r="B20" s="542">
        <f>I2</f>
        <v>850</v>
      </c>
      <c r="C20" s="542">
        <f>J2</f>
        <v>1350</v>
      </c>
      <c r="D20" s="542">
        <f>K2</f>
        <v>2184</v>
      </c>
      <c r="E20" s="542">
        <f>I2</f>
        <v>850</v>
      </c>
      <c r="F20" s="542">
        <f>J2</f>
        <v>1350</v>
      </c>
      <c r="G20" s="542">
        <f>K2</f>
        <v>2184</v>
      </c>
      <c r="H20" s="283" t="s">
        <v>467</v>
      </c>
      <c r="I20" s="542">
        <f>I2</f>
        <v>850</v>
      </c>
      <c r="J20" s="542">
        <f>J2</f>
        <v>1350</v>
      </c>
      <c r="K20" s="542">
        <f>K2</f>
        <v>2184</v>
      </c>
      <c r="L20" s="546" t="s">
        <v>468</v>
      </c>
      <c r="M20" s="542">
        <f>I20</f>
        <v>850</v>
      </c>
      <c r="N20" s="542">
        <f>J20</f>
        <v>1350</v>
      </c>
      <c r="O20" s="542">
        <f>K20</f>
        <v>2184</v>
      </c>
      <c r="P20" s="542" t="s">
        <v>582</v>
      </c>
      <c r="R20" s="296" t="s">
        <v>123</v>
      </c>
      <c r="S20" s="296" t="s">
        <v>473</v>
      </c>
      <c r="T20" s="296" t="s">
        <v>474</v>
      </c>
      <c r="U20" s="296" t="s">
        <v>475</v>
      </c>
      <c r="V20" s="296" t="s">
        <v>471</v>
      </c>
      <c r="AU20" s="362">
        <v>33287.84060943451</v>
      </c>
      <c r="AV20" s="115">
        <v>38066.803398769414</v>
      </c>
      <c r="AW20" s="115">
        <v>49747.817169645474</v>
      </c>
      <c r="AX20" s="115">
        <v>57249.39935540581</v>
      </c>
      <c r="AY20" s="358">
        <v>1180</v>
      </c>
      <c r="AZ20" s="363">
        <f>('Cost-Effectiveness Level'!$B$3*AU20)+('Cost-Effectiveness Level'!$C$3*AV20)+('Cost-Effectiveness Level'!$D$3*AW20)+('Cost-Effectiveness Level'!$E$3*AX20)</f>
        <v>40990.39408145327</v>
      </c>
      <c r="BA20" s="109"/>
      <c r="BB20" s="109"/>
      <c r="BC20" s="362">
        <v>32077.468502783475</v>
      </c>
      <c r="BD20" s="115">
        <v>36761.002050981544</v>
      </c>
      <c r="BE20" s="115">
        <v>48256.548491063586</v>
      </c>
      <c r="BF20" s="115">
        <v>55757.01728684443</v>
      </c>
      <c r="BG20" s="358">
        <v>1180</v>
      </c>
      <c r="BH20" s="363">
        <f>('Cost-Effectiveness Level'!$B$3*BC20)+('Cost-Effectiveness Level'!$C$3*BD20)+('Cost-Effectiveness Level'!$D$3*BE20)+('Cost-Effectiveness Level'!$E$3*BF20)</f>
        <v>39647.98271315559</v>
      </c>
      <c r="BI20" s="109"/>
      <c r="BJ20" s="109"/>
      <c r="BK20" s="362">
        <v>28336.771169059477</v>
      </c>
      <c r="BL20" s="115">
        <v>32514.913565777908</v>
      </c>
      <c r="BM20" s="115">
        <v>43647.55347201876</v>
      </c>
      <c r="BN20" s="115">
        <v>50861.58804570759</v>
      </c>
      <c r="BO20" s="358">
        <v>1180</v>
      </c>
      <c r="BP20" s="363">
        <f>('Cost-Effectiveness Level'!$B$3*BK20)+('Cost-Effectiveness Level'!$C$3*BL20)+('Cost-Effectiveness Level'!$D$3*BM20)+('Cost-Effectiveness Level'!$E$3*BN20)</f>
        <v>35379.77878699092</v>
      </c>
      <c r="BS20" s="768" t="s">
        <v>595</v>
      </c>
      <c r="BT20" s="769"/>
      <c r="BU20" s="769"/>
      <c r="BV20" s="769"/>
      <c r="BW20" s="769"/>
      <c r="BX20" s="770"/>
      <c r="CK20" s="5" t="s">
        <v>597</v>
      </c>
      <c r="CL20" s="5" t="s">
        <v>598</v>
      </c>
      <c r="CM20" s="5"/>
      <c r="CN20" s="5"/>
      <c r="CO20" s="5"/>
    </row>
    <row r="21" spans="1:93" ht="13.5" customHeight="1" thickBot="1">
      <c r="A21" s="548" t="s">
        <v>0</v>
      </c>
      <c r="B21" s="550">
        <f>'UA Optimizer'!U44</f>
        <v>530.4635641082923</v>
      </c>
      <c r="C21" s="550">
        <f>'UA Optimizer'!AA44</f>
        <v>794.2652617599339</v>
      </c>
      <c r="D21" s="550">
        <f>'UA Optimizer'!AG44</f>
        <v>1221.9496922011876</v>
      </c>
      <c r="E21" s="551">
        <f ca="1">IF(ISNA(INDEX($AY$4:$AZ$72,MATCH(B21,$AY$4:$AY$72,0),1)),TREND(OFFSET(INDEX($AY$4:$AZ$72,MATCH(B21,$AY$4:$AY$72,-1),2),0,0,2,1),OFFSET(INDEX($AY$4:$AZ$72,MATCH(B21,$AY$4:$AY$72,-1),1),0,0,2,1),B21),INDEX($AY$4:$AZ$72,MATCH(B21,$AY$4:$AY$72,0),2))</f>
        <v>15070.122043760688</v>
      </c>
      <c r="F21" s="551">
        <f ca="1">IF(ISNA(INDEX($BG$4:$BH$72,MATCH(C21,$BG$4:$BG$72,0),1)),TREND(OFFSET(INDEX($BG$4:$BH$72,MATCH(C21,$BG$4:$BG$72,-1),2),0,0,2,1),OFFSET(INDEX($BG$4:$BH$72,MATCH(C21,$BG$4:$BG$72,-1),1),0,0,2,1),C21),INDEX($BG$4:$BH$72,MATCH(C21,$BG$4:$BG$72,0),2))</f>
        <v>24266.96822698453</v>
      </c>
      <c r="G21" s="551">
        <f ca="1">IF(ISNA(INDEX($BO$4:$BP$72,MATCH(D21,$BO$4:$BO$72,0),1)),TREND(OFFSET(INDEX($BO$4:$BP$72,MATCH(D21,$BO$4:$BO$72,-1),2),0,0,2,1),OFFSET(INDEX($BO$4:$BP$72,MATCH(D21,$BO$4:$BO$72,-1),1),0,0,2,1),D21),INDEX($BO$4:$BP$72,MATCH(D21,$BO$4:$BO$72,0),2))</f>
        <v>37023.47317872868</v>
      </c>
      <c r="H21" s="549">
        <f>SUMPRODUCT(E21:G21,$I$3:$K$3)</f>
        <v>27785.331070072305</v>
      </c>
      <c r="I21" s="293"/>
      <c r="J21" s="294"/>
      <c r="K21" s="295"/>
      <c r="L21" s="547"/>
      <c r="M21" s="293"/>
      <c r="N21" s="294"/>
      <c r="O21" s="295"/>
      <c r="P21" s="547"/>
      <c r="R21" s="297" t="s">
        <v>207</v>
      </c>
      <c r="S21" s="298">
        <v>9228.326862539321</v>
      </c>
      <c r="T21" s="299">
        <v>7579.385349715202</v>
      </c>
      <c r="U21" s="299">
        <v>1648.9415128241205</v>
      </c>
      <c r="V21" s="645">
        <v>1550.7262716482146</v>
      </c>
      <c r="AU21" s="362">
        <v>32621.388807500734</v>
      </c>
      <c r="AV21" s="115">
        <v>37309.8447113976</v>
      </c>
      <c r="AW21" s="115">
        <v>48794.257251684736</v>
      </c>
      <c r="AX21" s="115">
        <v>56164.342220920014</v>
      </c>
      <c r="AY21" s="358">
        <v>1160</v>
      </c>
      <c r="AZ21" s="363">
        <f>('Cost-Effectiveness Level'!$B$3*AU21)+('Cost-Effectiveness Level'!$C$3*AV21)+('Cost-Effectiveness Level'!$D$3*AW21)+('Cost-Effectiveness Level'!$E$3*AX21)</f>
        <v>40185.98154116613</v>
      </c>
      <c r="BA21" s="109"/>
      <c r="BB21" s="109"/>
      <c r="BC21" s="362">
        <v>31415.29446234984</v>
      </c>
      <c r="BD21" s="115">
        <v>36006.44594198652</v>
      </c>
      <c r="BE21" s="115">
        <v>47307.20773513039</v>
      </c>
      <c r="BF21" s="115">
        <v>54674.65572809845</v>
      </c>
      <c r="BG21" s="358">
        <v>1160</v>
      </c>
      <c r="BH21" s="363">
        <f>('Cost-Effectiveness Level'!$B$3*BC21)+('Cost-Effectiveness Level'!$C$3*BD21)+('Cost-Effectiveness Level'!$D$3*BE21)+('Cost-Effectiveness Level'!$E$3*BF21)</f>
        <v>38846.81658365075</v>
      </c>
      <c r="BI21" s="109"/>
      <c r="BJ21" s="109"/>
      <c r="BK21" s="362">
        <v>27698.7694110753</v>
      </c>
      <c r="BL21" s="115">
        <v>31777.38060357457</v>
      </c>
      <c r="BM21" s="115">
        <v>42719.220627014365</v>
      </c>
      <c r="BN21" s="115">
        <v>49791.88397304425</v>
      </c>
      <c r="BO21" s="358">
        <v>1160</v>
      </c>
      <c r="BP21" s="363">
        <f>('Cost-Effectiveness Level'!$B$3*BK21)+('Cost-Effectiveness Level'!$C$3*BL21)+('Cost-Effectiveness Level'!$D$3*BM21)+('Cost-Effectiveness Level'!$E$3*BN21)</f>
        <v>34597.843539408146</v>
      </c>
      <c r="BS21" s="558" t="s">
        <v>591</v>
      </c>
      <c r="BT21" s="255" t="s">
        <v>586</v>
      </c>
      <c r="BU21" s="255" t="s">
        <v>586</v>
      </c>
      <c r="BV21" s="255" t="s">
        <v>586</v>
      </c>
      <c r="BW21" s="255" t="s">
        <v>587</v>
      </c>
      <c r="BX21" s="255" t="s">
        <v>587</v>
      </c>
      <c r="BY21" s="255" t="s">
        <v>587</v>
      </c>
      <c r="BZ21" s="255" t="s">
        <v>584</v>
      </c>
      <c r="CA21" s="255" t="s">
        <v>584</v>
      </c>
      <c r="CB21" s="255" t="s">
        <v>584</v>
      </c>
      <c r="CC21" s="255" t="s">
        <v>588</v>
      </c>
      <c r="CD21" s="255" t="s">
        <v>588</v>
      </c>
      <c r="CE21" s="255" t="s">
        <v>588</v>
      </c>
      <c r="CF21" s="255" t="s">
        <v>585</v>
      </c>
      <c r="CG21" s="255" t="s">
        <v>585</v>
      </c>
      <c r="CH21" s="255" t="s">
        <v>585</v>
      </c>
      <c r="CJ21" s="708" t="s">
        <v>123</v>
      </c>
      <c r="CK21" s="709" t="s">
        <v>586</v>
      </c>
      <c r="CL21" s="710" t="s">
        <v>587</v>
      </c>
      <c r="CM21" s="710" t="s">
        <v>584</v>
      </c>
      <c r="CN21" s="710" t="s">
        <v>588</v>
      </c>
      <c r="CO21" s="711" t="s">
        <v>585</v>
      </c>
    </row>
    <row r="22" spans="1:93" ht="15" thickBot="1">
      <c r="A22" s="679" t="s">
        <v>579</v>
      </c>
      <c r="B22" s="543">
        <f>'UA Optimizer'!B91</f>
        <v>338.7897080291971</v>
      </c>
      <c r="C22" s="543">
        <f>'UA Optimizer'!C91</f>
        <v>495.94268613138684</v>
      </c>
      <c r="D22" s="543">
        <f>'UA Optimizer'!D91</f>
        <v>815.8197109489049</v>
      </c>
      <c r="E22" s="544">
        <f ca="1">IF(ISNA(INDEX($AY$4:$AZ$72,MATCH(B22,$AY$4:$AY$72,0),1)),TREND(OFFSET(INDEX($AY$4:$AZ$72,MATCH(B22,$AY$4:$AY$72,-1),2),0,0,2,1),OFFSET(INDEX($AY$4:$AZ$72,MATCH(B22,$AY$4:$AY$72,-1),1),0,0,2,1),B22),INDEX($AY$4:$AZ$72,MATCH(B22,$AY$4:$AY$72,0),2))</f>
        <v>7735.810539275577</v>
      </c>
      <c r="F22" s="544">
        <f ca="1">IF(ISNA(INDEX($BG$4:$BH$72,MATCH(C22,$BG$4:$BG$72,0),1)),TREND(OFFSET(INDEX($BG$4:$BH$72,MATCH(C22,$BG$4:$BG$72,-1),2),0,0,2,1),OFFSET(INDEX($BG$4:$BH$72,MATCH(C22,$BG$4:$BG$72,-1),1),0,0,2,1),C22),INDEX($BG$4:$BH$72,MATCH(C22,$BG$4:$BG$72,0),2))</f>
        <v>12668.521952820971</v>
      </c>
      <c r="G22" s="545">
        <f ca="1">IF(ISNA(INDEX($BO$4:$BP$72,MATCH(D22,$BO$4:$BO$72,0),1)),TREND(OFFSET(INDEX($BO$4:$BP$72,MATCH(D22,$BO$4:$BO$72,-1),2),0,0,2,1),OFFSET(INDEX($BO$4:$BP$72,MATCH(D22,$BO$4:$BO$72,-1),1),0,0,2,1),D22),INDEX($BO$4:$BP$72,MATCH(D22,$BO$4:$BO$72,0),2))</f>
        <v>21339.210202243463</v>
      </c>
      <c r="H22" s="681">
        <f>SUMPRODUCT(E22:G22,$I$3:$K$3)</f>
        <v>15323.668734869338</v>
      </c>
      <c r="I22" s="682">
        <f aca="true" t="shared" si="3" ref="I22:K23">E21-E22</f>
        <v>7334.311504485111</v>
      </c>
      <c r="J22" s="682">
        <f t="shared" si="3"/>
        <v>11598.446274163558</v>
      </c>
      <c r="K22" s="682">
        <f t="shared" si="3"/>
        <v>15684.262976485217</v>
      </c>
      <c r="L22" s="681">
        <f>SUMPRODUCT(I22:K22,$I$3:$K$3)</f>
        <v>12461.662335202966</v>
      </c>
      <c r="M22" s="683">
        <f>(-0.000173*('Cost-Effectiveness Level'!$B22^3)+0.23079*('Cost-Effectiveness Level'!$B22^2)-111.685715*'Cost-Effectiveness Level'!$B22+20077.668275)</f>
        <v>2002.18271688218</v>
      </c>
      <c r="N22" s="683">
        <f>-0.0000831*('Cost-Effectiveness Level'!$C22^3)+0.1631576*('Cost-Effectiveness Level'!$C22^2)-115.2334046*'Cost-Effectiveness Level'!$C22+30121.2586611</f>
        <v>2965.5243998767</v>
      </c>
      <c r="O22" s="683">
        <f>(-0.00003*('Cost-Effectiveness Level'!$D22^3)+0.101522*('Cost-Effectiveness Level'!$D22^2)-120.534604*'Cost-Effectiveness Level'!$D22+49652.734713)</f>
        <v>2598.0409786790333</v>
      </c>
      <c r="P22" s="683">
        <f>SUMPRODUCT(M22:O22,$I$3:$K$3)</f>
        <v>2618.513026374776</v>
      </c>
      <c r="R22" s="300" t="s">
        <v>208</v>
      </c>
      <c r="S22" s="301">
        <v>13019.477144430643</v>
      </c>
      <c r="T22" s="302">
        <v>10872.551418754543</v>
      </c>
      <c r="U22" s="302">
        <v>2146.925725676101</v>
      </c>
      <c r="V22" s="303">
        <v>1550.7262716482146</v>
      </c>
      <c r="AU22" s="362">
        <v>31954.995605039556</v>
      </c>
      <c r="AV22" s="115">
        <v>36553.061822443604</v>
      </c>
      <c r="AW22" s="115">
        <v>47840.580134778786</v>
      </c>
      <c r="AX22" s="115">
        <v>55079.57808379725</v>
      </c>
      <c r="AY22" s="358">
        <v>1140</v>
      </c>
      <c r="AZ22" s="363">
        <f>('Cost-Effectiveness Level'!$B$3*AU22)+('Cost-Effectiveness Level'!$C$3*AV22)+('Cost-Effectiveness Level'!$D$3*AW22)+('Cost-Effectiveness Level'!$E$3*AX22)</f>
        <v>39381.65397011427</v>
      </c>
      <c r="BA22" s="109"/>
      <c r="BB22" s="109"/>
      <c r="BC22" s="362">
        <v>30753.735716378553</v>
      </c>
      <c r="BD22" s="115">
        <v>35252.41722824495</v>
      </c>
      <c r="BE22" s="115">
        <v>46357.72048051568</v>
      </c>
      <c r="BF22" s="115">
        <v>53592.645766188114</v>
      </c>
      <c r="BG22" s="358">
        <v>1140</v>
      </c>
      <c r="BH22" s="363">
        <f>('Cost-Effectiveness Level'!$B$3*BC22)+('Cost-Effectiveness Level'!$C$3*BD22)+('Cost-Effectiveness Level'!$D$3*BE22)+('Cost-Effectiveness Level'!$E$3*BF22)</f>
        <v>38046.01816583651</v>
      </c>
      <c r="BI22" s="109"/>
      <c r="BJ22" s="109"/>
      <c r="BK22" s="362">
        <v>27061.7052446528</v>
      </c>
      <c r="BL22" s="115">
        <v>31041.136829768533</v>
      </c>
      <c r="BM22" s="115">
        <v>41791.00498095518</v>
      </c>
      <c r="BN22" s="115">
        <v>48722.12130090829</v>
      </c>
      <c r="BO22" s="358">
        <v>1140</v>
      </c>
      <c r="BP22" s="363">
        <f>('Cost-Effectiveness Level'!$B$3*BK22)+('Cost-Effectiveness Level'!$C$3*BL22)+('Cost-Effectiveness Level'!$D$3*BM22)+('Cost-Effectiveness Level'!$E$3*BN22)</f>
        <v>33816.76677409904</v>
      </c>
      <c r="BS22" s="558" t="s">
        <v>589</v>
      </c>
      <c r="BT22" s="562">
        <v>850</v>
      </c>
      <c r="BU22" s="562">
        <v>1350</v>
      </c>
      <c r="BV22" s="562">
        <v>2184</v>
      </c>
      <c r="BW22" s="562">
        <v>850</v>
      </c>
      <c r="BX22" s="562">
        <v>1350</v>
      </c>
      <c r="BY22" s="562">
        <v>2184</v>
      </c>
      <c r="BZ22" s="562">
        <v>850</v>
      </c>
      <c r="CA22" s="562">
        <v>1350</v>
      </c>
      <c r="CB22" s="562">
        <v>2184</v>
      </c>
      <c r="CC22" s="562">
        <v>850</v>
      </c>
      <c r="CD22" s="562">
        <v>1350</v>
      </c>
      <c r="CE22" s="562">
        <v>2184</v>
      </c>
      <c r="CF22" s="562">
        <v>850</v>
      </c>
      <c r="CG22" s="562">
        <v>1350</v>
      </c>
      <c r="CH22" s="562">
        <v>2184</v>
      </c>
      <c r="CJ22" s="5"/>
      <c r="CK22" s="705">
        <f>SUMPRODUCT($I$3:$K$3,BT22:BV22)</f>
        <v>1600.28</v>
      </c>
      <c r="CL22" s="706">
        <f>SUMPRODUCT($I$3:$K$3,BW22:BY22)</f>
        <v>1600.28</v>
      </c>
      <c r="CM22" s="706">
        <f>SUMPRODUCT($I$3:$K$3,BZ22:CB22)</f>
        <v>1600.28</v>
      </c>
      <c r="CN22" s="706">
        <f>SUMPRODUCT($I$3:$K$3,CC22:CE22)</f>
        <v>1600.28</v>
      </c>
      <c r="CO22" s="707">
        <f>SUMPRODUCT($I$3:$K$3,CF22:CH22)</f>
        <v>1600.28</v>
      </c>
    </row>
    <row r="23" spans="1:93" ht="15" thickBot="1">
      <c r="A23" s="680" t="s">
        <v>580</v>
      </c>
      <c r="B23" s="678">
        <f>'UA Optimizer'!B112</f>
        <v>273.7795397878741</v>
      </c>
      <c r="C23" s="678">
        <f>'UA Optimizer'!C112</f>
        <v>389.11878405767476</v>
      </c>
      <c r="D23" s="678">
        <f>'UA Optimizer'!D112</f>
        <v>613.4090560882945</v>
      </c>
      <c r="E23" s="544">
        <f ca="1">IF(ISNA(INDEX($AY$4:$AZ$72,MATCH(B23,$AY$4:$AY$72,0),1)),TREND(OFFSET(INDEX($AY$4:$AZ$72,MATCH(B23,$AY$4:$AY$72,-1),2),0,0,2,1),OFFSET(INDEX($AY$4:$AZ$72,MATCH(B23,$AY$4:$AY$72,-1),1),0,0,2,1),B23),INDEX($AY$4:$AZ$72,MATCH(B23,$AY$4:$AY$72,0),2))</f>
        <v>5390.262921511137</v>
      </c>
      <c r="F23" s="544">
        <f ca="1">IF(ISNA(INDEX($BG$4:$BH$72,MATCH(C23,$BG$4:$BG$72,0),1)),TREND(OFFSET(INDEX($BG$4:$BH$72,MATCH(C23,$BG$4:$BG$72,-1),2),0,0,2,1),OFFSET(INDEX($BG$4:$BH$72,MATCH(C23,$BG$4:$BG$72,-1),1),0,0,2,1),C23),INDEX($BG$4:$BH$72,MATCH(C23,$BG$4:$BG$72,0),2))</f>
        <v>8702.821218254569</v>
      </c>
      <c r="G23" s="545">
        <f ca="1">IF(ISNA(INDEX($BO$4:$BP$72,MATCH(D23,$BO$4:$BO$72,0),1)),TREND(OFFSET(INDEX($BO$4:$BP$72,MATCH(D23,$BO$4:$BO$72,-1),2),0,0,2,1),OFFSET(INDEX($BO$4:$BP$72,MATCH(D23,$BO$4:$BO$72,-1),1),0,0,2,1),D23),INDEX($BO$4:$BP$72,MATCH(D23,$BO$4:$BO$72,0),2))</f>
        <v>13887.035967875874</v>
      </c>
      <c r="H23" s="684">
        <f>SUMPRODUCT(E23:G23,$I$3:$K$3)</f>
        <v>10217.67975374683</v>
      </c>
      <c r="I23" s="685">
        <f t="shared" si="3"/>
        <v>2345.5476177644396</v>
      </c>
      <c r="J23" s="685">
        <f t="shared" si="3"/>
        <v>3965.7007345664024</v>
      </c>
      <c r="K23" s="685">
        <f>G22-G23</f>
        <v>7452.174234367589</v>
      </c>
      <c r="L23" s="686">
        <f>SUMPRODUCT(I23:K23,$I$3:$K$3)</f>
        <v>5105.9889811225075</v>
      </c>
      <c r="M23" s="687">
        <f>(-0.000173*('Cost-Effectiveness Level'!$B23^3)+0.23079*('Cost-Effectiveness Level'!$B23^2)-111.685715*'Cost-Effectiveness Level'!$B23+20077.668275)</f>
        <v>3249.1542795142777</v>
      </c>
      <c r="N23" s="688">
        <f>-0.0000831*('Cost-Effectiveness Level'!$C23^3)+0.1631576*('Cost-Effectiveness Level'!$C23^2)-115.2334046*'Cost-Effectiveness Level'!$C23+30121.2586611</f>
        <v>5089.957987161739</v>
      </c>
      <c r="O23" s="688">
        <f>(-0.00003*('Cost-Effectiveness Level'!$D23^3)+0.101522*('Cost-Effectiveness Level'!$D23^2)-120.534604*'Cost-Effectiveness Level'!$D23+49652.734713)</f>
        <v>6991.232919146234</v>
      </c>
      <c r="P23" s="688">
        <f>SUMPRODUCT(M23:O23,$I$3:$K$3)</f>
        <v>5520.332717065734</v>
      </c>
      <c r="R23" s="300" t="s">
        <v>209</v>
      </c>
      <c r="S23" s="301">
        <v>15221.028161974651</v>
      </c>
      <c r="T23" s="302">
        <v>12714.3828501494</v>
      </c>
      <c r="U23" s="302">
        <v>2506.6453118252502</v>
      </c>
      <c r="V23" s="303">
        <v>1616.1599719876394</v>
      </c>
      <c r="AU23" s="362">
        <v>31288.690301787286</v>
      </c>
      <c r="AV23" s="115">
        <v>35796.220334016994</v>
      </c>
      <c r="AW23" s="115">
        <v>46886.90301787284</v>
      </c>
      <c r="AX23" s="115">
        <v>53995.0190448286</v>
      </c>
      <c r="AY23" s="358">
        <v>1120</v>
      </c>
      <c r="AZ23" s="363">
        <f>('Cost-Effectiveness Level'!$B$3*AU23)+('Cost-Effectiveness Level'!$C$3*AV23)+('Cost-Effectiveness Level'!$D$3*AW23)+('Cost-Effectiveness Level'!$E$3*AX23)</f>
        <v>38577.3249340756</v>
      </c>
      <c r="BA23" s="109"/>
      <c r="BB23" s="109"/>
      <c r="BC23" s="362">
        <v>30092.616466451804</v>
      </c>
      <c r="BD23" s="115">
        <v>34498.828010547906</v>
      </c>
      <c r="BE23" s="115">
        <v>45408.20392616467</v>
      </c>
      <c r="BF23" s="115">
        <v>52511.63199531205</v>
      </c>
      <c r="BG23" s="358">
        <v>1120</v>
      </c>
      <c r="BH23" s="363">
        <f>('Cost-Effectiveness Level'!$B$3*BC23)+('Cost-Effectiveness Level'!$C$3*BD23)+('Cost-Effectiveness Level'!$D$3*BE23)+('Cost-Effectiveness Level'!$E$3*BF23)</f>
        <v>37245.56987987108</v>
      </c>
      <c r="BI23" s="109"/>
      <c r="BJ23" s="109"/>
      <c r="BK23" s="362">
        <v>26424.875476120716</v>
      </c>
      <c r="BL23" s="115">
        <v>30306.68033987694</v>
      </c>
      <c r="BM23" s="115">
        <v>40862.61353647817</v>
      </c>
      <c r="BN23" s="115">
        <v>47653.17902138881</v>
      </c>
      <c r="BO23" s="358">
        <v>1120</v>
      </c>
      <c r="BP23" s="363">
        <f>('Cost-Effectiveness Level'!$B$3*BK23)+('Cost-Effectiveness Level'!$C$3*BL23)+('Cost-Effectiveness Level'!$D$3*BM23)+('Cost-Effectiveness Level'!$E$3*BN23)</f>
        <v>33036.627600351596</v>
      </c>
      <c r="BS23" s="558" t="s">
        <v>594</v>
      </c>
      <c r="BT23" s="562">
        <f>B$24</f>
        <v>239.77999999999997</v>
      </c>
      <c r="BU23" s="563">
        <f>C$24</f>
        <v>340.1289999999999</v>
      </c>
      <c r="BV23" s="562">
        <f>D$24</f>
        <v>554.0052</v>
      </c>
      <c r="BW23" s="562">
        <f>B$24</f>
        <v>239.77999999999997</v>
      </c>
      <c r="BX23" s="563">
        <f>C$24</f>
        <v>340.1289999999999</v>
      </c>
      <c r="BY23" s="562">
        <f>D$24</f>
        <v>554.0052</v>
      </c>
      <c r="BZ23" s="562">
        <f>B$24</f>
        <v>239.77999999999997</v>
      </c>
      <c r="CA23" s="563">
        <f>C$24</f>
        <v>340.1289999999999</v>
      </c>
      <c r="CB23" s="562">
        <f>D$24</f>
        <v>554.0052</v>
      </c>
      <c r="CC23" s="562">
        <f>B$24</f>
        <v>239.77999999999997</v>
      </c>
      <c r="CD23" s="563">
        <f>C$24</f>
        <v>340.1289999999999</v>
      </c>
      <c r="CE23" s="562">
        <f>D$24</f>
        <v>554.0052</v>
      </c>
      <c r="CF23" s="562">
        <f>B$24</f>
        <v>239.77999999999997</v>
      </c>
      <c r="CG23" s="563">
        <f>C$24</f>
        <v>340.1289999999999</v>
      </c>
      <c r="CH23" s="562">
        <f>D$24</f>
        <v>554.0052</v>
      </c>
      <c r="CJ23" s="5"/>
      <c r="CK23" s="696">
        <f>SUMPRODUCT($I$3:$K$3,BT23:BV23)</f>
        <v>409.88720399999994</v>
      </c>
      <c r="CL23" s="697">
        <f>SUMPRODUCT($I$3:$K$3,BW23:BY23)</f>
        <v>409.88720399999994</v>
      </c>
      <c r="CM23" s="697">
        <f>SUMPRODUCT($I$3:$K$3,BZ23:CB23)</f>
        <v>409.88720399999994</v>
      </c>
      <c r="CN23" s="697">
        <f>SUMPRODUCT($I$3:$K$3,CC23:CE23)</f>
        <v>409.88720399999994</v>
      </c>
      <c r="CO23" s="698">
        <f>SUMPRODUCT($I$3:$K$3,CF23:CH23)</f>
        <v>409.88720399999994</v>
      </c>
    </row>
    <row r="24" spans="1:93" ht="15" thickBot="1">
      <c r="A24" s="284" t="s">
        <v>469</v>
      </c>
      <c r="B24" s="285">
        <f>INDEX(B27:B37,MATCH(TRUE,C27:C41,0))</f>
        <v>239.77999999999997</v>
      </c>
      <c r="C24" s="286">
        <f>INDEX(D27:D44,MATCH(TRUE,E27:E43,0))</f>
        <v>340.1289999999999</v>
      </c>
      <c r="D24" s="286">
        <f>INDEX(F27:F44,MATCH(TRUE,G27:G43,0))</f>
        <v>554.0052</v>
      </c>
      <c r="E24" s="522">
        <f ca="1">IF(ISNA(INDEX($AY$4:$AZ$72,MATCH(B24,$AY$4:$AY$72,0),1)),TREND(OFFSET(INDEX($AY$4:$AZ$72,MATCH(B24,$AY$4:$AY$72,-1),2),0,0,2,1),OFFSET(INDEX($AY$4:$AZ$72,MATCH(B24,$AY$4:$AY$72,-1),1),0,0,2,1),B24),INDEX($AY$4:$AZ$72,MATCH(B24,$AY$4:$AY$72,0),2))</f>
        <v>4209.98841488426</v>
      </c>
      <c r="F24" s="523">
        <f ca="1">IF(ISNA(INDEX($BG$4:$BH$72,MATCH(C24,$BG$4:$BG$72,0),1)),TREND(OFFSET(INDEX($BG$4:$BH$72,MATCH(C24,$BG$4:$BG$72,-1),2),0,0,2,1),OFFSET(INDEX($BG$4:$BH$72,MATCH(C24,$BG$4:$BG$72,-1),1),0,0,2,1),C24),INDEX($BG$4:$BH$72,MATCH(C24,$BG$4:$BG$72,0),2))</f>
        <v>6946.747809844722</v>
      </c>
      <c r="G24" s="523">
        <f ca="1">IF(ISNA(INDEX($BO$4:$BP$72,MATCH(D24,$BO$4:$BO$72,0),1)),TREND(OFFSET(INDEX($BO$4:$BP$72,MATCH(D24,$BO$4:$BO$72,-1),2),0,0,2,1),OFFSET(INDEX($BO$4:$BP$72,MATCH(D24,$BO$4:$BO$72,-1),1),0,0,2,1),D24),INDEX($BO$4:$BP$72,MATCH(D24,$BO$4:$BO$72,0),2))</f>
        <v>11787.77763776742</v>
      </c>
      <c r="H24" s="287">
        <f>SUMPRODUCT(E24:G24,$I$3:$K$3)</f>
        <v>8432.628458580162</v>
      </c>
      <c r="I24" s="288">
        <f>E23-E24</f>
        <v>1180.2745066268772</v>
      </c>
      <c r="J24" s="289">
        <f>F23-F24</f>
        <v>1756.0734084098467</v>
      </c>
      <c r="K24" s="289">
        <f>G23-G24</f>
        <v>2099.258330108454</v>
      </c>
      <c r="L24" s="287">
        <f>SUMPRODUCT(I24:K24,$I$3:$K$3)</f>
        <v>1785.0512951666678</v>
      </c>
      <c r="M24" s="687">
        <f>(-0.000173*('Cost-Effectiveness Level'!$B24^3)+0.23079*('Cost-Effectiveness Level'!$B24^2)-111.685715*'Cost-Effectiveness Level'!$B24+20077.668275)</f>
        <v>4181.830019674104</v>
      </c>
      <c r="N24" s="688">
        <f>-0.0000831*('Cost-Effectiveness Level'!$C24^3)+0.1631576*('Cost-Effectiveness Level'!$C24^2)-115.2334046*'Cost-Effectiveness Level'!$C24+30121.2586611</f>
        <v>6532.487975661392</v>
      </c>
      <c r="O24" s="688">
        <f>(-0.00003*('Cost-Effectiveness Level'!$D24^3)+0.101522*('Cost-Effectiveness Level'!$D24^2)-120.534604*'Cost-Effectiveness Level'!$D24+49652.734713)</f>
        <v>8934.160842923331</v>
      </c>
      <c r="P24" s="688">
        <f>SUMPRODUCT(M24:O24,$I$3:$K$3)</f>
        <v>7071.058988713949</v>
      </c>
      <c r="R24" s="304" t="s">
        <v>242</v>
      </c>
      <c r="S24" s="301">
        <v>10217.67975374683</v>
      </c>
      <c r="T24" s="302">
        <v>8432.628458580162</v>
      </c>
      <c r="U24" s="302">
        <v>1785.0512951666678</v>
      </c>
      <c r="V24" s="303">
        <v>1550.7262716482146</v>
      </c>
      <c r="AU24" s="362">
        <v>30622.502197480226</v>
      </c>
      <c r="AV24" s="115">
        <v>35039.496044535605</v>
      </c>
      <c r="AW24" s="115">
        <v>45933.46029885731</v>
      </c>
      <c r="AX24" s="115">
        <v>52910.84090243188</v>
      </c>
      <c r="AY24" s="358">
        <v>1100</v>
      </c>
      <c r="AZ24" s="363">
        <f>('Cost-Effectiveness Level'!$B$3*AU24)+('Cost-Effectiveness Level'!$C$3*AV24)+('Cost-Effectiveness Level'!$D$3*AW24)+('Cost-Effectiveness Level'!$E$3*AX24)</f>
        <v>37773.15558159977</v>
      </c>
      <c r="BA24" s="109"/>
      <c r="BB24" s="109"/>
      <c r="BC24" s="362">
        <v>29431.966012305893</v>
      </c>
      <c r="BD24" s="115">
        <v>33745.76618810431</v>
      </c>
      <c r="BE24" s="115">
        <v>44458.540873132144</v>
      </c>
      <c r="BF24" s="115">
        <v>51431.93671256959</v>
      </c>
      <c r="BG24" s="358">
        <v>1100</v>
      </c>
      <c r="BH24" s="363">
        <f>('Cost-Effectiveness Level'!$B$3*BC24)+('Cost-Effectiveness Level'!$C$3*BD24)+('Cost-Effectiveness Level'!$D$3*BE24)+('Cost-Effectiveness Level'!$E$3*BF24)</f>
        <v>36445.50835042485</v>
      </c>
      <c r="BI24" s="109"/>
      <c r="BJ24" s="109"/>
      <c r="BK24" s="362">
        <v>25788.162906533842</v>
      </c>
      <c r="BL24" s="115">
        <v>29572.370348666864</v>
      </c>
      <c r="BM24" s="115">
        <v>39935.01318488134</v>
      </c>
      <c r="BN24" s="115">
        <v>46585.848227365954</v>
      </c>
      <c r="BO24" s="358">
        <v>1100</v>
      </c>
      <c r="BP24" s="363">
        <f>('Cost-Effectiveness Level'!$B$3*BK24)+('Cost-Effectiveness Level'!$C$3*BL24)+('Cost-Effectiveness Level'!$D$3*BM24)+('Cost-Effectiveness Level'!$E$3*BN24)</f>
        <v>32256.86346322883</v>
      </c>
      <c r="BS24" s="558" t="s">
        <v>590</v>
      </c>
      <c r="BT24" s="692">
        <f aca="true" t="shared" si="4" ref="BT24:CH24">BT23/BT22</f>
        <v>0.2820941176470588</v>
      </c>
      <c r="BU24" s="692">
        <f t="shared" si="4"/>
        <v>0.25194740740740734</v>
      </c>
      <c r="BV24" s="692">
        <f t="shared" si="4"/>
        <v>0.25366538461538457</v>
      </c>
      <c r="BW24" s="692">
        <f t="shared" si="4"/>
        <v>0.2820941176470588</v>
      </c>
      <c r="BX24" s="692">
        <f t="shared" si="4"/>
        <v>0.25194740740740734</v>
      </c>
      <c r="BY24" s="692">
        <f t="shared" si="4"/>
        <v>0.25366538461538457</v>
      </c>
      <c r="BZ24" s="692">
        <f t="shared" si="4"/>
        <v>0.2820941176470588</v>
      </c>
      <c r="CA24" s="692">
        <f t="shared" si="4"/>
        <v>0.25194740740740734</v>
      </c>
      <c r="CB24" s="692">
        <f t="shared" si="4"/>
        <v>0.25366538461538457</v>
      </c>
      <c r="CC24" s="692">
        <f t="shared" si="4"/>
        <v>0.2820941176470588</v>
      </c>
      <c r="CD24" s="692">
        <f t="shared" si="4"/>
        <v>0.25194740740740734</v>
      </c>
      <c r="CE24" s="692">
        <f t="shared" si="4"/>
        <v>0.25366538461538457</v>
      </c>
      <c r="CF24" s="692">
        <f t="shared" si="4"/>
        <v>0.2820941176470588</v>
      </c>
      <c r="CG24" s="692">
        <f t="shared" si="4"/>
        <v>0.25194740740740734</v>
      </c>
      <c r="CH24" s="692">
        <f t="shared" si="4"/>
        <v>0.25366538461538457</v>
      </c>
      <c r="CJ24" s="5"/>
      <c r="CK24" s="699">
        <f>SUMPRODUCT($I$3:$K$3,BT24:BV24)</f>
        <v>0.25869829988268805</v>
      </c>
      <c r="CL24" s="701">
        <f>SUMPRODUCT($I$3:$K$3,BW24:BY24)</f>
        <v>0.25869829988268805</v>
      </c>
      <c r="CM24" s="701">
        <f>SUMPRODUCT($I$3:$K$3,BZ24:CB24)</f>
        <v>0.25869829988268805</v>
      </c>
      <c r="CN24" s="701">
        <f>SUMPRODUCT($I$3:$K$3,CC24:CE24)</f>
        <v>0.25869829988268805</v>
      </c>
      <c r="CO24" s="703">
        <f>SUMPRODUCT($I$3:$K$3,CF24:CH24)</f>
        <v>0.25869829988268805</v>
      </c>
    </row>
    <row r="25" spans="1:93" ht="15" thickBot="1">
      <c r="A25" s="5"/>
      <c r="B25" s="757">
        <f>B20</f>
        <v>850</v>
      </c>
      <c r="C25" s="758"/>
      <c r="D25" s="759">
        <f>C20</f>
        <v>1350</v>
      </c>
      <c r="E25" s="760"/>
      <c r="F25" s="780">
        <f>D20</f>
        <v>2184</v>
      </c>
      <c r="G25" s="760"/>
      <c r="H25" s="116"/>
      <c r="I25" s="771" t="s">
        <v>583</v>
      </c>
      <c r="J25" s="772"/>
      <c r="K25" s="772"/>
      <c r="L25" s="773"/>
      <c r="M25" s="689">
        <f>M24-M23</f>
        <v>932.6757401598261</v>
      </c>
      <c r="N25" s="689">
        <f>N24-N23</f>
        <v>1442.529988499653</v>
      </c>
      <c r="O25" s="689">
        <f>O24-O23</f>
        <v>1942.927923777097</v>
      </c>
      <c r="P25" s="689">
        <f>P24-P23</f>
        <v>1550.7262716482146</v>
      </c>
      <c r="R25" s="304" t="s">
        <v>190</v>
      </c>
      <c r="S25" s="301">
        <v>8133.509570707403</v>
      </c>
      <c r="T25" s="302">
        <v>6676.048753208302</v>
      </c>
      <c r="U25" s="302">
        <v>1457.460817499101</v>
      </c>
      <c r="V25" s="303">
        <v>1505.582531536571</v>
      </c>
      <c r="AU25" s="362">
        <v>29956.782888954</v>
      </c>
      <c r="AV25" s="115">
        <v>34283.006152944625</v>
      </c>
      <c r="AW25" s="115">
        <v>44980.42777615002</v>
      </c>
      <c r="AX25" s="115">
        <v>51826.838558452975</v>
      </c>
      <c r="AY25" s="358">
        <v>1080</v>
      </c>
      <c r="AZ25" s="363">
        <f>('Cost-Effectiveness Level'!$B$3*AU25)+('Cost-Effectiveness Level'!$C$3*AV25)+('Cost-Effectiveness Level'!$D$3*AW25)+('Cost-Effectiveness Level'!$E$3*AX25)</f>
        <v>36969.30852622327</v>
      </c>
      <c r="BA25" s="109"/>
      <c r="BB25" s="109"/>
      <c r="BC25" s="362">
        <v>28772.135950776446</v>
      </c>
      <c r="BD25" s="115">
        <v>32992.90946381483</v>
      </c>
      <c r="BE25" s="115">
        <v>43508.70202168181</v>
      </c>
      <c r="BF25" s="115">
        <v>50352.036331673015</v>
      </c>
      <c r="BG25" s="358">
        <v>1080</v>
      </c>
      <c r="BH25" s="363">
        <f>('Cost-Effectiveness Level'!$B$3*BC25)+('Cost-Effectiveness Level'!$C$3*BD25)+('Cost-Effectiveness Level'!$D$3*BE25)+('Cost-Effectiveness Level'!$E$3*BF25)</f>
        <v>35645.65924406681</v>
      </c>
      <c r="BI25" s="109"/>
      <c r="BJ25" s="109"/>
      <c r="BK25" s="362">
        <v>25151.626135364782</v>
      </c>
      <c r="BL25" s="115">
        <v>28839.818341634927</v>
      </c>
      <c r="BM25" s="115">
        <v>39008.37972458248</v>
      </c>
      <c r="BN25" s="115">
        <v>45518.75183123352</v>
      </c>
      <c r="BO25" s="358">
        <v>1080</v>
      </c>
      <c r="BP25" s="363">
        <f>('Cost-Effectiveness Level'!$B$3*BK25)+('Cost-Effectiveness Level'!$C$3*BL25)+('Cost-Effectiveness Level'!$D$3*BM25)+('Cost-Effectiveness Level'!$E$3*BN25)</f>
        <v>31478.266920597718</v>
      </c>
      <c r="BS25" s="558" t="s">
        <v>592</v>
      </c>
      <c r="BT25" s="693">
        <f>2.5573*BT24+0.2372</f>
        <v>0.9585992870588234</v>
      </c>
      <c r="BU25" s="693">
        <f>2.26083*BU24+0.03621</f>
        <v>0.6058202570888886</v>
      </c>
      <c r="BV25" s="693">
        <f>4.48273*BV24-0.69282</f>
        <v>0.44429342957692297</v>
      </c>
      <c r="BW25" s="693">
        <f>1.4613*BW24+0.0684</f>
        <v>0.48062413411764704</v>
      </c>
      <c r="BX25" s="693">
        <f>1.1074*BX24+0.0095</f>
        <v>0.2885065589629629</v>
      </c>
      <c r="BY25" s="693">
        <f>2.35984*BY24-0.40191</f>
        <v>0.19669972123076918</v>
      </c>
      <c r="BZ25" s="693">
        <f>5.967*BZ24+0.6001</f>
        <v>2.2833555999999997</v>
      </c>
      <c r="CA25" s="694">
        <f>5.88899*CA24+0.1508</f>
        <v>1.6345157627481477</v>
      </c>
      <c r="CB25" s="693">
        <f>9.94137*CB24-1.13637</f>
        <v>1.3854114446538455</v>
      </c>
      <c r="CC25" s="693">
        <f>3.7751*CC24+0.3325</f>
        <v>1.3974335035294116</v>
      </c>
      <c r="CD25" s="693">
        <f>3.52437*CD24+0.08693</f>
        <v>0.9748858842444441</v>
      </c>
      <c r="CE25" s="693">
        <f>6.1494*CE24-0.75803</f>
        <v>0.801859916153846</v>
      </c>
      <c r="CF25" s="693">
        <f>3.5315*CF24+0.3095</f>
        <v>1.305715376470588</v>
      </c>
      <c r="CG25" s="693">
        <f>3.44043*CG24-0.00193</f>
        <v>0.8648774188666665</v>
      </c>
      <c r="CH25" s="693">
        <f>6.44337*CH24-0.95536</f>
        <v>0.6790999292692304</v>
      </c>
      <c r="CJ25" s="5"/>
      <c r="CK25" s="700">
        <f>SUMPRODUCT($I$3:$K$3,BT25:BV25)</f>
        <v>0.60853479552785</v>
      </c>
      <c r="CL25" s="702">
        <f>SUMPRODUCT($I$3:$K$3,BW25:BY25)</f>
        <v>0.28837120214637835</v>
      </c>
      <c r="CM25" s="702">
        <f>SUMPRODUCT($I$3:$K$3,BZ25:CB25)</f>
        <v>1.6596599165989112</v>
      </c>
      <c r="CN25" s="702">
        <f>SUMPRODUCT($I$3:$K$3,CC25:CE25)</f>
        <v>0.9867245015033863</v>
      </c>
      <c r="CO25" s="704">
        <f>SUMPRODUCT($I$3:$K$3,CF25:CH25)</f>
        <v>0.8750184647565276</v>
      </c>
    </row>
    <row r="26" spans="1:93" ht="26.25" thickBot="1">
      <c r="A26" s="5"/>
      <c r="B26" s="526" t="s">
        <v>194</v>
      </c>
      <c r="C26" s="529" t="s">
        <v>470</v>
      </c>
      <c r="D26" s="526" t="s">
        <v>194</v>
      </c>
      <c r="E26" s="527" t="s">
        <v>470</v>
      </c>
      <c r="F26" s="531" t="s">
        <v>194</v>
      </c>
      <c r="G26" s="527" t="s">
        <v>470</v>
      </c>
      <c r="H26" s="116"/>
      <c r="I26" s="116"/>
      <c r="R26" s="304" t="s">
        <v>191</v>
      </c>
      <c r="S26" s="301">
        <v>9044.007699188996</v>
      </c>
      <c r="T26" s="302">
        <v>7399.634044799308</v>
      </c>
      <c r="U26" s="302">
        <v>1644.3736543896885</v>
      </c>
      <c r="V26" s="303">
        <v>1550.7262716482146</v>
      </c>
      <c r="AU26" s="362">
        <v>29291.297978318195</v>
      </c>
      <c r="AV26" s="115">
        <v>33526.72135950776</v>
      </c>
      <c r="AW26" s="115">
        <v>44028.27424553179</v>
      </c>
      <c r="AX26" s="115">
        <v>50743.12921183709</v>
      </c>
      <c r="AY26" s="358">
        <v>1060</v>
      </c>
      <c r="AZ26" s="363">
        <f>('Cost-Effectiveness Level'!$B$3*AU26)+('Cost-Effectiveness Level'!$C$3*AV26)+('Cost-Effectiveness Level'!$D$3*AW26)+('Cost-Effectiveness Level'!$E$3*AX26)</f>
        <v>36165.84529739233</v>
      </c>
      <c r="BA26" s="109"/>
      <c r="BB26" s="109"/>
      <c r="BC26" s="362">
        <v>28112.657486082626</v>
      </c>
      <c r="BD26" s="115">
        <v>32240.19923820686</v>
      </c>
      <c r="BE26" s="115">
        <v>42559.33196601231</v>
      </c>
      <c r="BF26" s="115">
        <v>49271.872253149726</v>
      </c>
      <c r="BG26" s="358">
        <v>1060</v>
      </c>
      <c r="BH26" s="363">
        <f>('Cost-Effectiveness Level'!$B$3*BC26)+('Cost-Effectiveness Level'!$C$3*BD26)+('Cost-Effectiveness Level'!$D$3*BE26)+('Cost-Effectiveness Level'!$E$3*BF26)</f>
        <v>34846.05772048052</v>
      </c>
      <c r="BI26" s="109"/>
      <c r="BJ26" s="109"/>
      <c r="BK26" s="362">
        <v>24517.198945209493</v>
      </c>
      <c r="BL26" s="115">
        <v>28108.76062115441</v>
      </c>
      <c r="BM26" s="115">
        <v>38084.47113975974</v>
      </c>
      <c r="BN26" s="115">
        <v>44451.56753589218</v>
      </c>
      <c r="BO26" s="358">
        <v>1060</v>
      </c>
      <c r="BP26" s="363">
        <f>('Cost-Effectiveness Level'!$B$3*BK26)+('Cost-Effectiveness Level'!$C$3*BL26)+('Cost-Effectiveness Level'!$D$3*BM26)+('Cost-Effectiveness Level'!$E$3*BN26)</f>
        <v>30701.51626135365</v>
      </c>
      <c r="BS26" s="558" t="s">
        <v>593</v>
      </c>
      <c r="BT26" s="695">
        <f aca="true" t="shared" si="5" ref="BT26:CH26">BT22*BT25</f>
        <v>814.8093939999999</v>
      </c>
      <c r="BU26" s="695">
        <f t="shared" si="5"/>
        <v>817.8573470699997</v>
      </c>
      <c r="BV26" s="695">
        <f t="shared" si="5"/>
        <v>970.3368501959998</v>
      </c>
      <c r="BW26" s="695">
        <f t="shared" si="5"/>
        <v>408.530514</v>
      </c>
      <c r="BX26" s="695">
        <f t="shared" si="5"/>
        <v>389.4838545999999</v>
      </c>
      <c r="BY26" s="695">
        <f t="shared" si="5"/>
        <v>429.5921911679999</v>
      </c>
      <c r="BZ26" s="695">
        <f t="shared" si="5"/>
        <v>1940.8522599999997</v>
      </c>
      <c r="CA26" s="695">
        <f t="shared" si="5"/>
        <v>2206.596279709999</v>
      </c>
      <c r="CB26" s="695">
        <f t="shared" si="5"/>
        <v>3025.7385951239985</v>
      </c>
      <c r="CC26" s="695">
        <f t="shared" si="5"/>
        <v>1187.818478</v>
      </c>
      <c r="CD26" s="695">
        <f t="shared" si="5"/>
        <v>1316.0959437299996</v>
      </c>
      <c r="CE26" s="695">
        <f t="shared" si="5"/>
        <v>1751.2620568799996</v>
      </c>
      <c r="CF26" s="695">
        <f t="shared" si="5"/>
        <v>1109.8580699999998</v>
      </c>
      <c r="CG26" s="695">
        <f t="shared" si="5"/>
        <v>1167.5845154699998</v>
      </c>
      <c r="CH26" s="695">
        <f t="shared" si="5"/>
        <v>1483.1542455239992</v>
      </c>
      <c r="CJ26" s="5"/>
      <c r="CK26" s="712">
        <f>SUMPRODUCT($I$3:$K$3,BT26:BV26)</f>
        <v>881.2891477689197</v>
      </c>
      <c r="CL26" s="713">
        <f>SUMPRODUCT($I$3:$K$3,BW26:BY26)</f>
        <v>410.1386878385599</v>
      </c>
      <c r="CM26" s="713">
        <f>SUMPRODUCT($I$3:$K$3,BZ26:CB26)</f>
        <v>2497.4872482418787</v>
      </c>
      <c r="CN26" s="713">
        <f>SUMPRODUCT($I$3:$K$3,CC26:CE26)</f>
        <v>1473.2102181069995</v>
      </c>
      <c r="CO26" s="714">
        <f>SUMPRODUCT($I$3:$K$3,CF26:CH26)</f>
        <v>1288.5785129986793</v>
      </c>
    </row>
    <row r="27" spans="1:68" ht="14.25">
      <c r="A27" s="5"/>
      <c r="B27" s="290">
        <f>IF('850SF'!$AD39&gt;=1,'UA Optimizer'!$U45,'UA Optimizer'!$U44)</f>
        <v>442.9135641082923</v>
      </c>
      <c r="C27" s="524" t="b">
        <f>AND(B27=B28,B28&gt;B29)</f>
        <v>0</v>
      </c>
      <c r="D27" s="290">
        <f>IF('1350SF'!$AD45&gt;=1,'UA Optimizer'!$AA45,'UA Optimizer'!$AA44)</f>
        <v>742.0202617599339</v>
      </c>
      <c r="E27" s="292" t="b">
        <f>AND(D27=D28,D28&gt;D29)</f>
        <v>0</v>
      </c>
      <c r="F27" s="532">
        <f>IF('2184SF'!$AD43&gt;=1,'UA Optimizer'!$AG45,'UA Optimizer'!$AG44)</f>
        <v>1048.7176922011877</v>
      </c>
      <c r="G27" s="292" t="b">
        <f>AND(F27=F28,F28&gt;F29)</f>
        <v>0</v>
      </c>
      <c r="H27" s="116"/>
      <c r="I27" s="116"/>
      <c r="R27" s="304" t="s">
        <v>241</v>
      </c>
      <c r="S27" s="301">
        <v>11437.838762990421</v>
      </c>
      <c r="T27" s="302">
        <v>9490.853108686319</v>
      </c>
      <c r="U27" s="302">
        <v>1946.9856543041037</v>
      </c>
      <c r="V27" s="303">
        <v>1550.7262716482146</v>
      </c>
      <c r="AU27" s="362">
        <v>28625.871667155</v>
      </c>
      <c r="AV27" s="115">
        <v>32770.81746264284</v>
      </c>
      <c r="AW27" s="115">
        <v>43076.26721359508</v>
      </c>
      <c r="AX27" s="115">
        <v>49659.390565484915</v>
      </c>
      <c r="AY27" s="358">
        <v>1040</v>
      </c>
      <c r="AZ27" s="363">
        <f>('Cost-Effectiveness Level'!$B$3*AU27)+('Cost-Effectiveness Level'!$C$3*AV27)+('Cost-Effectiveness Level'!$D$3*AW27)+('Cost-Effectiveness Level'!$E$3*AX27)</f>
        <v>35362.619396425434</v>
      </c>
      <c r="BA27" s="109"/>
      <c r="BB27" s="109"/>
      <c r="BC27" s="362">
        <v>27453.23762086141</v>
      </c>
      <c r="BD27" s="115">
        <v>31487.40111338998</v>
      </c>
      <c r="BE27" s="115">
        <v>41610.51860533256</v>
      </c>
      <c r="BF27" s="115">
        <v>48191.53237620862</v>
      </c>
      <c r="BG27" s="358">
        <v>1040</v>
      </c>
      <c r="BH27" s="363">
        <f>('Cost-Effectiveness Level'!$B$3*BC27)+('Cost-Effectiveness Level'!$C$3*BD27)+('Cost-Effectiveness Level'!$D$3*BE27)+('Cost-Effectiveness Level'!$E$3*BF27)</f>
        <v>34046.55435101084</v>
      </c>
      <c r="BI27" s="109"/>
      <c r="BJ27" s="109"/>
      <c r="BK27" s="362">
        <v>23883.09405215353</v>
      </c>
      <c r="BL27" s="115">
        <v>27377.585701728683</v>
      </c>
      <c r="BM27" s="115">
        <v>37161.29504834457</v>
      </c>
      <c r="BN27" s="115">
        <v>43385.64312921184</v>
      </c>
      <c r="BO27" s="358">
        <v>1040</v>
      </c>
      <c r="BP27" s="363">
        <f>('Cost-Effectiveness Level'!$B$3*BK27)+('Cost-Effectiveness Level'!$C$3*BL27)+('Cost-Effectiveness Level'!$D$3*BM27)+('Cost-Effectiveness Level'!$E$3*BN27)</f>
        <v>29925.017579841784</v>
      </c>
    </row>
    <row r="28" spans="2:68" ht="14.25">
      <c r="B28" s="290">
        <f>IF('850SF'!$AD40&gt;=1,'UA Optimizer'!$U46,'UA Optimizer'!$U45)</f>
        <v>399.5907257624276</v>
      </c>
      <c r="C28" s="524" t="b">
        <f aca="true" t="shared" si="6" ref="C28:C39">AND(B28=B29,B29&gt;B30)</f>
        <v>0</v>
      </c>
      <c r="D28" s="290">
        <f>IF('1350SF'!$AD46&gt;=1,'UA Optimizer'!$AA46,'UA Optimizer'!$AA45)</f>
        <v>644.6852617599338</v>
      </c>
      <c r="E28" s="292" t="b">
        <f aca="true" t="shared" si="7" ref="E28:E42">AND(D28=D29,D29&gt;D30)</f>
        <v>0</v>
      </c>
      <c r="F28" s="532">
        <f>IF('2184SF'!$AD44&gt;=1,'UA Optimizer'!$AG46,'UA Optimizer'!$AG45)</f>
        <v>973.7336922011876</v>
      </c>
      <c r="G28" s="292" t="b">
        <f aca="true" t="shared" si="8" ref="G28:G41">AND(F28=F29,F29&gt;F30)</f>
        <v>0</v>
      </c>
      <c r="R28" s="304" t="s">
        <v>192</v>
      </c>
      <c r="S28" s="301">
        <v>13318.706027405835</v>
      </c>
      <c r="T28" s="302">
        <v>11133.953801740427</v>
      </c>
      <c r="U28" s="302">
        <v>2184.7522256654074</v>
      </c>
      <c r="V28" s="303">
        <v>1550.7262716482146</v>
      </c>
      <c r="AU28" s="362">
        <v>27960.474655728103</v>
      </c>
      <c r="AV28" s="115">
        <v>32015.29446234984</v>
      </c>
      <c r="AW28" s="115">
        <v>42124.11368297686</v>
      </c>
      <c r="AX28" s="115">
        <v>48576.003515968354</v>
      </c>
      <c r="AY28" s="358">
        <v>1020</v>
      </c>
      <c r="AZ28" s="363">
        <f>('Cost-Effectiveness Level'!$B$3*AU28)+('Cost-Effectiveness Level'!$C$3*AV28)+('Cost-Effectiveness Level'!$D$3*AW28)+('Cost-Effectiveness Level'!$E$3*AX28)</f>
        <v>34559.57075886317</v>
      </c>
      <c r="BA28" s="109"/>
      <c r="BB28" s="109"/>
      <c r="BC28" s="362">
        <v>26794.286551421035</v>
      </c>
      <c r="BD28" s="115">
        <v>30734.720187518316</v>
      </c>
      <c r="BE28" s="115">
        <v>40662.203340169945</v>
      </c>
      <c r="BF28" s="115">
        <v>47110.98740111339</v>
      </c>
      <c r="BG28" s="358">
        <v>1020</v>
      </c>
      <c r="BH28" s="363">
        <f>('Cost-Effectiveness Level'!$B$3*BC28)+('Cost-Effectiveness Level'!$C$3*BD28)+('Cost-Effectiveness Level'!$D$3*BE28)+('Cost-Effectiveness Level'!$E$3*BF28)</f>
        <v>33247.31760914152</v>
      </c>
      <c r="BI28" s="109"/>
      <c r="BJ28" s="109"/>
      <c r="BK28" s="362">
        <v>23250.6006445942</v>
      </c>
      <c r="BL28" s="115">
        <v>26646.79167887489</v>
      </c>
      <c r="BM28" s="115">
        <v>36239.173747436274</v>
      </c>
      <c r="BN28" s="115">
        <v>42320.8907119836</v>
      </c>
      <c r="BO28" s="358">
        <v>1020</v>
      </c>
      <c r="BP28" s="363">
        <f>('Cost-Effectiveness Level'!$B$3*BK28)+('Cost-Effectiveness Level'!$C$3*BL28)+('Cost-Effectiveness Level'!$D$3*BM28)+('Cost-Effectiveness Level'!$E$3*BN28)</f>
        <v>29149.353940814533</v>
      </c>
    </row>
    <row r="29" spans="2:68" ht="15" thickBot="1">
      <c r="B29" s="290">
        <f>IF('850SF'!$AD41&gt;=1,'UA Optimizer'!$U47,'UA Optimizer'!$U46)</f>
        <v>350.68970802919705</v>
      </c>
      <c r="C29" s="524" t="b">
        <f t="shared" si="6"/>
        <v>0</v>
      </c>
      <c r="D29" s="290">
        <f>IF('1350SF'!$AD47&gt;=1,'UA Optimizer'!$AA47,'UA Optimizer'!$AA46)</f>
        <v>575.8784008576782</v>
      </c>
      <c r="E29" s="292" t="b">
        <f t="shared" si="7"/>
        <v>0</v>
      </c>
      <c r="F29" s="532">
        <f>IF('2184SF'!$AD45&gt;=1,'UA Optimizer'!$AG47,'UA Optimizer'!$AG46)</f>
        <v>936.6289553590824</v>
      </c>
      <c r="G29" s="292" t="b">
        <f t="shared" si="8"/>
        <v>0</v>
      </c>
      <c r="R29" s="305" t="s">
        <v>193</v>
      </c>
      <c r="S29" s="301">
        <v>15221.028161974651</v>
      </c>
      <c r="T29" s="302">
        <v>12714.3828501494</v>
      </c>
      <c r="U29" s="302">
        <v>2506.6453118252502</v>
      </c>
      <c r="V29" s="303">
        <v>1616.1599719876394</v>
      </c>
      <c r="AU29" s="362">
        <v>27295.253442719015</v>
      </c>
      <c r="AV29" s="115">
        <v>31259.947260474655</v>
      </c>
      <c r="AW29" s="115">
        <v>41172.22384998535</v>
      </c>
      <c r="AX29" s="115">
        <v>47492.675065924406</v>
      </c>
      <c r="AY29" s="358">
        <v>1000</v>
      </c>
      <c r="AZ29" s="363">
        <f>('Cost-Effectiveness Level'!$B$3*AU29)+('Cost-Effectiveness Level'!$C$3*AV29)+('Cost-Effectiveness Level'!$D$3*AW29)+('Cost-Effectiveness Level'!$E$3*AX29)</f>
        <v>33756.71403457369</v>
      </c>
      <c r="BA29" s="109"/>
      <c r="BB29" s="109"/>
      <c r="BC29" s="362">
        <v>26135.511280398478</v>
      </c>
      <c r="BD29" s="115">
        <v>29982.420158218578</v>
      </c>
      <c r="BE29" s="115">
        <v>39714.62056841489</v>
      </c>
      <c r="BF29" s="115">
        <v>46030.44242601817</v>
      </c>
      <c r="BG29" s="358">
        <v>1000</v>
      </c>
      <c r="BH29" s="363">
        <f>('Cost-Effectiveness Level'!$B$3*BC29)+('Cost-Effectiveness Level'!$C$3*BD29)+('Cost-Effectiveness Level'!$D$3*BE29)+('Cost-Effectiveness Level'!$E$3*BF29)</f>
        <v>32448.489598593616</v>
      </c>
      <c r="BI29" s="109"/>
      <c r="BJ29" s="109"/>
      <c r="BK29" s="362">
        <v>22620.33401699385</v>
      </c>
      <c r="BL29" s="115">
        <v>25917.550542045126</v>
      </c>
      <c r="BM29" s="115">
        <v>35318.4881336068</v>
      </c>
      <c r="BN29" s="115">
        <v>41258.365074714326</v>
      </c>
      <c r="BO29" s="358">
        <v>1000</v>
      </c>
      <c r="BP29" s="363">
        <f>('Cost-Effectiveness Level'!$B$3*BK29)+('Cost-Effectiveness Level'!$C$3*BL29)+('Cost-Effectiveness Level'!$D$3*BM29)+('Cost-Effectiveness Level'!$E$3*BN29)</f>
        <v>28375.38236155875</v>
      </c>
    </row>
    <row r="30" spans="2:68" ht="15" thickBot="1">
      <c r="B30" s="290">
        <f>IF('850SF'!$AD42&gt;=1,'UA Optimizer'!$U48,'UA Optimizer'!$U47)</f>
        <v>338.7897080291971</v>
      </c>
      <c r="C30" s="524" t="b">
        <f t="shared" si="6"/>
        <v>0</v>
      </c>
      <c r="D30" s="290">
        <f>IF('1350SF'!$AD48&gt;=1,'UA Optimizer'!$AA48,'UA Optimizer'!$AA47)</f>
        <v>514.8426861313868</v>
      </c>
      <c r="E30" s="292" t="b">
        <f t="shared" si="7"/>
        <v>0</v>
      </c>
      <c r="F30" s="532">
        <f>IF('2184SF'!$AD46&gt;=1,'UA Optimizer'!$AG48,'UA Optimizer'!$AG47)</f>
        <v>844.8037109489051</v>
      </c>
      <c r="G30" s="292" t="b">
        <f t="shared" si="8"/>
        <v>0</v>
      </c>
      <c r="R30" s="690" t="str">
        <f>"CASE =&gt; "&amp;(INDEX($A$5:$A$13,$A$14,1))</f>
        <v>CASE =&gt; PNW Region</v>
      </c>
      <c r="S30" s="307">
        <f>H$23</f>
        <v>10217.67975374683</v>
      </c>
      <c r="T30" s="308">
        <f>H$24</f>
        <v>8432.628458580162</v>
      </c>
      <c r="U30" s="308">
        <f>L$24</f>
        <v>1785.0512951666678</v>
      </c>
      <c r="V30" s="309">
        <f>P$25</f>
        <v>1550.7262716482146</v>
      </c>
      <c r="AU30" s="362">
        <v>26630.530325227075</v>
      </c>
      <c r="AV30" s="115">
        <v>30505.27395253443</v>
      </c>
      <c r="AW30" s="115">
        <v>40220.480515675365</v>
      </c>
      <c r="AX30" s="115">
        <v>46409.258716671546</v>
      </c>
      <c r="AY30" s="358">
        <v>980</v>
      </c>
      <c r="AZ30" s="363">
        <f>('Cost-Effectiveness Level'!$B$3*AU30)+('Cost-Effectiveness Level'!$C$3*AV30)+('Cost-Effectiveness Level'!$D$3*AW30)+('Cost-Effectiveness Level'!$E$3*AX30)</f>
        <v>32954.326106065055</v>
      </c>
      <c r="BA30" s="109"/>
      <c r="BB30" s="109"/>
      <c r="BC30" s="362">
        <v>25476.82390858482</v>
      </c>
      <c r="BD30" s="115">
        <v>29230.35452680926</v>
      </c>
      <c r="BE30" s="115">
        <v>38767.21359507764</v>
      </c>
      <c r="BF30" s="115">
        <v>44950.33694696748</v>
      </c>
      <c r="BG30" s="358">
        <v>980</v>
      </c>
      <c r="BH30" s="363">
        <f>('Cost-Effectiveness Level'!$B$3*BC30)+('Cost-Effectiveness Level'!$C$3*BD30)+('Cost-Effectiveness Level'!$D$3*BE30)+('Cost-Effectiveness Level'!$E$3*BF30)</f>
        <v>31649.86229123938</v>
      </c>
      <c r="BI30" s="109"/>
      <c r="BJ30" s="109"/>
      <c r="BK30" s="362">
        <v>21989.97949018459</v>
      </c>
      <c r="BL30" s="115">
        <v>25190.301787283915</v>
      </c>
      <c r="BM30" s="115">
        <v>34399.58980369177</v>
      </c>
      <c r="BN30" s="115">
        <v>40196.07383533549</v>
      </c>
      <c r="BO30" s="358">
        <v>980</v>
      </c>
      <c r="BP30" s="363">
        <f>('Cost-Effectiveness Level'!$B$3*BK30)+('Cost-Effectiveness Level'!$C$3*BL30)+('Cost-Effectiveness Level'!$D$3*BM30)+('Cost-Effectiveness Level'!$E$3*BN30)</f>
        <v>27602.847934368594</v>
      </c>
    </row>
    <row r="31" spans="2:68" ht="15" thickBot="1">
      <c r="B31" s="290">
        <f>IF('850SF'!$AD43&gt;=1,'UA Optimizer'!$U49,'UA Optimizer'!$U48)</f>
        <v>320.93970802919705</v>
      </c>
      <c r="C31" s="524" t="b">
        <f t="shared" si="6"/>
        <v>0</v>
      </c>
      <c r="D31" s="290">
        <f>IF('1350SF'!$AD49&gt;=1,'UA Optimizer'!$AA49,'UA Optimizer'!$AA48)</f>
        <v>495.94268613138684</v>
      </c>
      <c r="E31" s="292" t="b">
        <f t="shared" si="7"/>
        <v>0</v>
      </c>
      <c r="F31" s="532">
        <f>IF('2184SF'!$AD47&gt;=1,'UA Optimizer'!$AG49,'UA Optimizer'!$AG48)</f>
        <v>834.611710948905</v>
      </c>
      <c r="G31" s="292" t="b">
        <f t="shared" si="8"/>
        <v>0</v>
      </c>
      <c r="AU31" s="362">
        <v>25965.983006152943</v>
      </c>
      <c r="AV31" s="115">
        <v>29751.303838265456</v>
      </c>
      <c r="AW31" s="115">
        <v>39268.91297978318</v>
      </c>
      <c r="AX31" s="115">
        <v>45326.04746557281</v>
      </c>
      <c r="AY31" s="358">
        <v>960</v>
      </c>
      <c r="AZ31" s="363">
        <f>('Cost-Effectiveness Level'!$B$3*AU31)+('Cost-Effectiveness Level'!$C$3*AV31)+('Cost-Effectiveness Level'!$D$3*AW31)+('Cost-Effectiveness Level'!$E$3*AX31)</f>
        <v>32152.37913858775</v>
      </c>
      <c r="BA31" s="109"/>
      <c r="BB31" s="109"/>
      <c r="BC31" s="362">
        <v>24819.162027541755</v>
      </c>
      <c r="BD31" s="115">
        <v>28478.75769118078</v>
      </c>
      <c r="BE31" s="115">
        <v>37820.89071198359</v>
      </c>
      <c r="BF31" s="115">
        <v>43870.319367125696</v>
      </c>
      <c r="BG31" s="358">
        <v>960</v>
      </c>
      <c r="BH31" s="363">
        <f>('Cost-Effectiveness Level'!$B$3*BC31)+('Cost-Effectiveness Level'!$C$3*BD31)+('Cost-Effectiveness Level'!$D$3*BE31)+('Cost-Effectiveness Level'!$E$3*BF31)</f>
        <v>30851.949897450926</v>
      </c>
      <c r="BI31" s="109"/>
      <c r="BJ31" s="109"/>
      <c r="BK31" s="362">
        <v>21360.914151772635</v>
      </c>
      <c r="BL31" s="115">
        <v>24464.78171696455</v>
      </c>
      <c r="BM31" s="115">
        <v>33482.03926164665</v>
      </c>
      <c r="BN31" s="115">
        <v>39134.5736888368</v>
      </c>
      <c r="BO31" s="358">
        <v>960</v>
      </c>
      <c r="BP31" s="363">
        <f>('Cost-Effectiveness Level'!$B$3*BK31)+('Cost-Effectiveness Level'!$C$3*BL31)+('Cost-Effectiveness Level'!$D$3*BM31)+('Cost-Effectiveness Level'!$E$3*BN31)</f>
        <v>26831.812188690303</v>
      </c>
    </row>
    <row r="32" spans="2:68" ht="14.25">
      <c r="B32" s="290">
        <f>IF('850SF'!$AD44&gt;=1,'UA Optimizer'!$U50,'UA Optimizer'!$U49)</f>
        <v>310.73970802919706</v>
      </c>
      <c r="C32" s="524" t="b">
        <f t="shared" si="6"/>
        <v>0</v>
      </c>
      <c r="D32" s="290">
        <f>IF('1350SF'!$AD50&gt;=1,'UA Optimizer'!$AA50,'UA Optimizer'!$AA49)</f>
        <v>476.0976861313868</v>
      </c>
      <c r="E32" s="292" t="b">
        <f t="shared" si="7"/>
        <v>0</v>
      </c>
      <c r="F32" s="532">
        <f>IF('2184SF'!$AD48&gt;=1,'UA Optimizer'!$AG50,'UA Optimizer'!$AG49)</f>
        <v>819.323710948905</v>
      </c>
      <c r="G32" s="292" t="b">
        <f t="shared" si="8"/>
        <v>0</v>
      </c>
      <c r="R32" s="774" t="s">
        <v>575</v>
      </c>
      <c r="S32" s="775"/>
      <c r="T32" s="775"/>
      <c r="U32" s="775"/>
      <c r="V32" s="776"/>
      <c r="AU32" s="362">
        <v>25301.640785232936</v>
      </c>
      <c r="AV32" s="115">
        <v>28997.42162320539</v>
      </c>
      <c r="AW32" s="115">
        <v>38318.01933782596</v>
      </c>
      <c r="AX32" s="115">
        <v>44242.95341341929</v>
      </c>
      <c r="AY32" s="358">
        <v>940</v>
      </c>
      <c r="AZ32" s="363">
        <f>('Cost-Effectiveness Level'!$B$3*AU32)+('Cost-Effectiveness Level'!$C$3*AV32)+('Cost-Effectiveness Level'!$D$3*AW32)+('Cost-Effectiveness Level'!$E$3*AX32)</f>
        <v>31350.69147377674</v>
      </c>
      <c r="BA32" s="109"/>
      <c r="BB32" s="109"/>
      <c r="BC32" s="362">
        <v>24162.379138587752</v>
      </c>
      <c r="BD32" s="115">
        <v>27727.453852915325</v>
      </c>
      <c r="BE32" s="115">
        <v>36875.35892176971</v>
      </c>
      <c r="BF32" s="115">
        <v>42789.77439203047</v>
      </c>
      <c r="BG32" s="358">
        <v>940</v>
      </c>
      <c r="BH32" s="363">
        <f>('Cost-Effectiveness Level'!$B$3*BC32)+('Cost-Effectiveness Level'!$C$3*BD32)+('Cost-Effectiveness Level'!$D$3*BE32)+('Cost-Effectiveness Level'!$E$3*BF32)</f>
        <v>30054.53120421916</v>
      </c>
      <c r="BI32" s="109"/>
      <c r="BJ32" s="109"/>
      <c r="BK32" s="362">
        <v>20733.95839437445</v>
      </c>
      <c r="BL32" s="115">
        <v>23742.68971579256</v>
      </c>
      <c r="BM32" s="115">
        <v>32565.572809844714</v>
      </c>
      <c r="BN32" s="115">
        <v>38073.45443891005</v>
      </c>
      <c r="BO32" s="358">
        <v>940</v>
      </c>
      <c r="BP32" s="363">
        <f>('Cost-Effectiveness Level'!$B$3*BK32)+('Cost-Effectiveness Level'!$C$3*BL32)+('Cost-Effectiveness Level'!$D$3*BM32)+('Cost-Effectiveness Level'!$E$3*BN32)</f>
        <v>26063.20246117785</v>
      </c>
    </row>
    <row r="33" spans="2:68" ht="15" thickBot="1">
      <c r="B33" s="290">
        <f>IF('850SF'!$AD45&gt;=1,'UA Optimizer'!$U51,'UA Optimizer'!$U50)</f>
        <v>239.77999999999997</v>
      </c>
      <c r="C33" s="524" t="b">
        <f t="shared" si="6"/>
        <v>1</v>
      </c>
      <c r="D33" s="290">
        <f>IF('1350SF'!$AD51&gt;=1,'UA Optimizer'!$AA51,'UA Optimizer'!$AA50)</f>
        <v>468.8076861313868</v>
      </c>
      <c r="E33" s="292" t="b">
        <f t="shared" si="7"/>
        <v>0</v>
      </c>
      <c r="F33" s="532">
        <f>IF('2184SF'!$AD49&gt;=1,'UA Optimizer'!$AG51,'UA Optimizer'!$AG50)</f>
        <v>810.587710948905</v>
      </c>
      <c r="G33" s="292" t="b">
        <f t="shared" si="8"/>
        <v>0</v>
      </c>
      <c r="R33" s="777"/>
      <c r="S33" s="778"/>
      <c r="T33" s="778"/>
      <c r="U33" s="778"/>
      <c r="V33" s="779"/>
      <c r="AU33" s="362">
        <v>24637.85525930267</v>
      </c>
      <c r="AV33" s="115">
        <v>28243.92030471726</v>
      </c>
      <c r="AW33" s="115">
        <v>37368.180486375626</v>
      </c>
      <c r="AX33" s="115">
        <v>43160.12305889247</v>
      </c>
      <c r="AY33" s="358">
        <v>920</v>
      </c>
      <c r="AZ33" s="363">
        <f>('Cost-Effectiveness Level'!$B$3*AU33)+('Cost-Effectiveness Level'!$C$3*AV33)+('Cost-Effectiveness Level'!$D$3*AW33)+('Cost-Effectiveness Level'!$E$3*AX33)</f>
        <v>30549.582478757697</v>
      </c>
      <c r="BA33" s="109"/>
      <c r="BB33" s="109"/>
      <c r="BC33" s="362">
        <v>23506.24084383241</v>
      </c>
      <c r="BD33" s="115">
        <v>26977.439203047175</v>
      </c>
      <c r="BE33" s="115">
        <v>35930.911221799004</v>
      </c>
      <c r="BF33" s="115">
        <v>41710.22560796953</v>
      </c>
      <c r="BG33" s="358">
        <v>920</v>
      </c>
      <c r="BH33" s="363">
        <f>('Cost-Effectiveness Level'!$B$3*BC33)+('Cost-Effectiveness Level'!$C$3*BD33)+('Cost-Effectiveness Level'!$D$3*BE33)+('Cost-Effectiveness Level'!$E$3*BF33)</f>
        <v>29258.2068561383</v>
      </c>
      <c r="BI33" s="109"/>
      <c r="BJ33" s="109"/>
      <c r="BK33" s="362">
        <v>20108.057427483156</v>
      </c>
      <c r="BL33" s="115">
        <v>23022.47289774392</v>
      </c>
      <c r="BM33" s="115">
        <v>31649.83885145034</v>
      </c>
      <c r="BN33" s="115">
        <v>37014.825666569006</v>
      </c>
      <c r="BO33" s="358">
        <v>920</v>
      </c>
      <c r="BP33" s="363">
        <f>('Cost-Effectiveness Level'!$B$3*BK33)+('Cost-Effectiveness Level'!$C$3*BL33)+('Cost-Effectiveness Level'!$D$3*BM33)+('Cost-Effectiveness Level'!$E$3*BN33)</f>
        <v>25296.048930559624</v>
      </c>
    </row>
    <row r="34" spans="2:68" ht="39" thickBot="1">
      <c r="B34" s="290">
        <f>IF('850SF'!$AD46&gt;=1,'UA Optimizer'!$U52,'UA Optimizer'!$U51)</f>
        <v>239.77999999999997</v>
      </c>
      <c r="C34" s="524" t="b">
        <f t="shared" si="6"/>
        <v>0</v>
      </c>
      <c r="D34" s="290">
        <f>IF('1350SF'!$AD52&gt;=1,'UA Optimizer'!$AA52,'UA Optimizer'!$AA51)</f>
        <v>452.6076861313868</v>
      </c>
      <c r="E34" s="292" t="b">
        <f t="shared" si="7"/>
        <v>0</v>
      </c>
      <c r="F34" s="532">
        <f>IF('2184SF'!$AD50&gt;=1,'UA Optimizer'!$AG52,'UA Optimizer'!$AG51)</f>
        <v>572.7972</v>
      </c>
      <c r="G34" s="292" t="b">
        <f t="shared" si="8"/>
        <v>0</v>
      </c>
      <c r="R34" s="296" t="s">
        <v>123</v>
      </c>
      <c r="S34" s="296" t="s">
        <v>473</v>
      </c>
      <c r="T34" s="296" t="s">
        <v>474</v>
      </c>
      <c r="U34" s="296" t="s">
        <v>475</v>
      </c>
      <c r="V34" s="296" t="s">
        <v>471</v>
      </c>
      <c r="AU34" s="362">
        <v>23975.241722824496</v>
      </c>
      <c r="AV34" s="115">
        <v>27490.858482273663</v>
      </c>
      <c r="AW34" s="115">
        <v>36419.16202754176</v>
      </c>
      <c r="AX34" s="115">
        <v>42077.58570172868</v>
      </c>
      <c r="AY34" s="358">
        <v>900</v>
      </c>
      <c r="AZ34" s="363">
        <f>('Cost-Effectiveness Level'!$B$3*AU34)+('Cost-Effectiveness Level'!$C$3*AV34)+('Cost-Effectiveness Level'!$D$3*AW34)+('Cost-Effectiveness Level'!$E$3*AX34)</f>
        <v>29749.147377673602</v>
      </c>
      <c r="BA34" s="109"/>
      <c r="BB34" s="109"/>
      <c r="BC34" s="362">
        <v>22851.040140638735</v>
      </c>
      <c r="BD34" s="115">
        <v>26227.600351596837</v>
      </c>
      <c r="BE34" s="115">
        <v>34987.225314972166</v>
      </c>
      <c r="BF34" s="115">
        <v>40631.29211837094</v>
      </c>
      <c r="BG34" s="358">
        <v>900</v>
      </c>
      <c r="BH34" s="363">
        <f>('Cost-Effectiveness Level'!$B$3*BC34)+('Cost-Effectiveness Level'!$C$3*BD34)+('Cost-Effectiveness Level'!$D$3*BE34)+('Cost-Effectiveness Level'!$E$3*BF34)</f>
        <v>28462.379138587752</v>
      </c>
      <c r="BI34" s="109"/>
      <c r="BJ34" s="109"/>
      <c r="BK34" s="362">
        <v>19486.697919718725</v>
      </c>
      <c r="BL34" s="115">
        <v>22305.039554644012</v>
      </c>
      <c r="BM34" s="115">
        <v>30737.12276589511</v>
      </c>
      <c r="BN34" s="115">
        <v>35958.39437445063</v>
      </c>
      <c r="BO34" s="358">
        <v>900</v>
      </c>
      <c r="BP34" s="363">
        <f>('Cost-Effectiveness Level'!$B$3*BK34)+('Cost-Effectiveness Level'!$C$3*BL34)+('Cost-Effectiveness Level'!$D$3*BM34)+('Cost-Effectiveness Level'!$E$3*BN34)</f>
        <v>24532.059771462064</v>
      </c>
    </row>
    <row r="35" spans="2:68" ht="14.25">
      <c r="B35" s="290">
        <f>IF('850SF'!$AD47&gt;=1,'UA Optimizer'!$U53,'UA Optimizer'!$U52)</f>
        <v>236.37999999999997</v>
      </c>
      <c r="C35" s="524" t="b">
        <f t="shared" si="6"/>
        <v>0</v>
      </c>
      <c r="D35" s="290">
        <f>IF('1350SF'!$AD53&gt;=1,'UA Optimizer'!$AA53,'UA Optimizer'!$AA52)</f>
        <v>340.1289999999999</v>
      </c>
      <c r="E35" s="292" t="b">
        <f t="shared" si="7"/>
        <v>1</v>
      </c>
      <c r="F35" s="532">
        <f>IF('2184SF'!$AD51&gt;=1,'UA Optimizer'!$AG53,'UA Optimizer'!$AG52)</f>
        <v>554.0052</v>
      </c>
      <c r="G35" s="292" t="b">
        <f t="shared" si="8"/>
        <v>1</v>
      </c>
      <c r="R35" s="297" t="s">
        <v>207</v>
      </c>
      <c r="S35" s="298">
        <f>T35+U35</f>
        <v>10299.957007376004</v>
      </c>
      <c r="T35" s="299">
        <v>7579.385349715202</v>
      </c>
      <c r="U35" s="299">
        <f>'UA Optimizer'!E140</f>
        <v>2720.5716576608024</v>
      </c>
      <c r="V35" s="645">
        <f>'UA Optimizer'!E$126</f>
        <v>1230.0254590235586</v>
      </c>
      <c r="AU35" s="362">
        <v>23313.68297685321</v>
      </c>
      <c r="AV35" s="115">
        <v>26737.738060357457</v>
      </c>
      <c r="AW35" s="115">
        <v>35470.72956343393</v>
      </c>
      <c r="AX35" s="115">
        <v>40996.07383533548</v>
      </c>
      <c r="AY35" s="358">
        <v>880</v>
      </c>
      <c r="AZ35" s="363">
        <f>('Cost-Effectiveness Level'!$B$3*AU35)+('Cost-Effectiveness Level'!$C$3*AV35)+('Cost-Effectiveness Level'!$D$3*AW35)+('Cost-Effectiveness Level'!$E$3*AX35)</f>
        <v>28949.091708174627</v>
      </c>
      <c r="BA35" s="109"/>
      <c r="BB35" s="109"/>
      <c r="BC35" s="362">
        <v>22196.39613243481</v>
      </c>
      <c r="BD35" s="115">
        <v>25478.552593026667</v>
      </c>
      <c r="BE35" s="115">
        <v>34044.00820392617</v>
      </c>
      <c r="BF35" s="115">
        <v>39552.24142982713</v>
      </c>
      <c r="BG35" s="358">
        <v>880</v>
      </c>
      <c r="BH35" s="363">
        <f>('Cost-Effectiveness Level'!$B$3*BC35)+('Cost-Effectiveness Level'!$C$3*BD35)+('Cost-Effectiveness Level'!$D$3*BE35)+('Cost-Effectiveness Level'!$E$3*BF35)</f>
        <v>27667.169645473194</v>
      </c>
      <c r="BI35" s="109"/>
      <c r="BJ35" s="109"/>
      <c r="BK35" s="362">
        <v>18867.740990331087</v>
      </c>
      <c r="BL35" s="115">
        <v>21589.51069440375</v>
      </c>
      <c r="BM35" s="115">
        <v>29825.63726926458</v>
      </c>
      <c r="BN35" s="115">
        <v>34905.332552007036</v>
      </c>
      <c r="BO35" s="358">
        <v>880</v>
      </c>
      <c r="BP35" s="363">
        <f>('Cost-Effectiveness Level'!$B$3*BK35)+('Cost-Effectiveness Level'!$C$3*BL35)+('Cost-Effectiveness Level'!$D$3*BM35)+('Cost-Effectiveness Level'!$E$3*BN35)</f>
        <v>23769.97949018459</v>
      </c>
    </row>
    <row r="36" spans="2:68" ht="14.25">
      <c r="B36" s="290">
        <f>IF('850SF'!$AD48&gt;=1,'UA Optimizer'!$U54,'UA Optimizer'!$U53)</f>
        <v>224.13999999999996</v>
      </c>
      <c r="C36" s="524" t="b">
        <f t="shared" si="6"/>
        <v>0</v>
      </c>
      <c r="D36" s="290">
        <f>IF('1350SF'!$AD54&gt;=1,'UA Optimizer'!$AA54,'UA Optimizer'!$AA53)</f>
        <v>340.1289999999999</v>
      </c>
      <c r="E36" s="292" t="b">
        <f t="shared" si="7"/>
        <v>0</v>
      </c>
      <c r="F36" s="532">
        <f>IF('2184SF'!$AD52&gt;=1,'UA Optimizer'!$AG54,'UA Optimizer'!$AG53)</f>
        <v>554.0052</v>
      </c>
      <c r="G36" s="292" t="b">
        <f t="shared" si="8"/>
        <v>0</v>
      </c>
      <c r="R36" s="300" t="s">
        <v>208</v>
      </c>
      <c r="S36" s="298">
        <f>T36+U36</f>
        <v>14345.404926385576</v>
      </c>
      <c r="T36" s="302">
        <v>10872.551418754543</v>
      </c>
      <c r="U36" s="302">
        <f>'UA Optimizer'!E154</f>
        <v>3472.853507631033</v>
      </c>
      <c r="V36" s="645">
        <f>'UA Optimizer'!E$126</f>
        <v>1230.0254590235586</v>
      </c>
      <c r="AU36" s="362">
        <v>22652.827424553183</v>
      </c>
      <c r="AV36" s="115">
        <v>25985.232932903607</v>
      </c>
      <c r="AW36" s="115">
        <v>34522.29709932611</v>
      </c>
      <c r="AX36" s="115">
        <v>39914.532669205975</v>
      </c>
      <c r="AY36" s="358">
        <v>860</v>
      </c>
      <c r="AZ36" s="363">
        <f>('Cost-Effectiveness Level'!$B$3*AU36)+('Cost-Effectiveness Level'!$C$3*AV36)+('Cost-Effectiveness Level'!$D$3*AW36)+('Cost-Effectiveness Level'!$E$3*AX36)</f>
        <v>28149.482859654265</v>
      </c>
      <c r="BA36" s="109"/>
      <c r="BB36" s="109"/>
      <c r="BC36" s="362">
        <v>21542.68971579256</v>
      </c>
      <c r="BD36" s="115">
        <v>24730.032229709937</v>
      </c>
      <c r="BE36" s="115">
        <v>33101.464986815125</v>
      </c>
      <c r="BF36" s="115">
        <v>38473.89393495458</v>
      </c>
      <c r="BG36" s="358">
        <v>860</v>
      </c>
      <c r="BH36" s="363">
        <f>('Cost-Effectiveness Level'!$B$3*BC36)+('Cost-Effectiveness Level'!$C$3*BD36)+('Cost-Effectiveness Level'!$D$3*BE36)+('Cost-Effectiveness Level'!$E$3*BF36)</f>
        <v>26872.615001464994</v>
      </c>
      <c r="BI36" s="109"/>
      <c r="BJ36" s="109"/>
      <c r="BK36" s="362">
        <v>18250.161148549665</v>
      </c>
      <c r="BL36" s="115">
        <v>20875.710518605334</v>
      </c>
      <c r="BM36" s="115">
        <v>28914.737767360097</v>
      </c>
      <c r="BN36" s="115">
        <v>33851.36243773806</v>
      </c>
      <c r="BO36" s="358">
        <v>860</v>
      </c>
      <c r="BP36" s="363">
        <f>('Cost-Effectiveness Level'!$B$3*BK36)+('Cost-Effectiveness Level'!$C$3*BL36)+('Cost-Effectiveness Level'!$D$3*BM36)+('Cost-Effectiveness Level'!$E$3*BN36)</f>
        <v>23009.140052739527</v>
      </c>
    </row>
    <row r="37" spans="2:68" ht="14.25">
      <c r="B37" s="290">
        <f>IF('850SF'!$AD49&gt;=1,'UA Optimizer'!$U55,'UA Optimizer'!$U54)</f>
        <v>219.88999999999996</v>
      </c>
      <c r="C37" s="524" t="b">
        <f t="shared" si="6"/>
        <v>0</v>
      </c>
      <c r="D37" s="290">
        <f>IF('1350SF'!$AD55&gt;=1,'UA Optimizer'!$AA55,'UA Optimizer'!$AA54)</f>
        <v>334.7289999999999</v>
      </c>
      <c r="E37" s="292" t="b">
        <f t="shared" si="7"/>
        <v>0</v>
      </c>
      <c r="F37" s="532">
        <f>IF('2184SF'!$AD53&gt;=1,'UA Optimizer'!$AG55,'UA Optimizer'!$AG54)</f>
        <v>551.0931999999999</v>
      </c>
      <c r="G37" s="292" t="b">
        <f t="shared" si="8"/>
        <v>0</v>
      </c>
      <c r="R37" s="300" t="s">
        <v>209</v>
      </c>
      <c r="S37" s="298">
        <f>T37+U37</f>
        <v>16636.425320512128</v>
      </c>
      <c r="T37" s="302">
        <v>12714.3828501494</v>
      </c>
      <c r="U37" s="302">
        <f>'UA Optimizer'!D168</f>
        <v>3922.0424703627264</v>
      </c>
      <c r="V37" s="645">
        <f>'UA Optimizer'!E$126</f>
        <v>1230.0254590235586</v>
      </c>
      <c r="AU37" s="362">
        <v>21992.5578669792</v>
      </c>
      <c r="AV37" s="115">
        <v>25232.786404922357</v>
      </c>
      <c r="AW37" s="115">
        <v>33574.18693231761</v>
      </c>
      <c r="AX37" s="115">
        <v>38833.69469674773</v>
      </c>
      <c r="AY37" s="358">
        <v>840</v>
      </c>
      <c r="AZ37" s="363">
        <f>('Cost-Effectiveness Level'!$B$3*AU37)+('Cost-Effectiveness Level'!$C$3*AV37)+('Cost-Effectiveness Level'!$D$3*AW37)+('Cost-Effectiveness Level'!$E$3*AX37)</f>
        <v>27350.136243773806</v>
      </c>
      <c r="BA37" s="109"/>
      <c r="BB37" s="109"/>
      <c r="BC37" s="362">
        <v>20888.63170231468</v>
      </c>
      <c r="BD37" s="115">
        <v>23981.83416349253</v>
      </c>
      <c r="BE37" s="115">
        <v>32159.419865221218</v>
      </c>
      <c r="BF37" s="115">
        <v>37396.396132434806</v>
      </c>
      <c r="BG37" s="358">
        <v>840</v>
      </c>
      <c r="BH37" s="363">
        <f>('Cost-Effectiveness Level'!$B$3*BC37)+('Cost-Effectiveness Level'!$C$3*BD37)+('Cost-Effectiveness Level'!$D$3*BE37)+('Cost-Effectiveness Level'!$E$3*BF37)</f>
        <v>26078.31819513625</v>
      </c>
      <c r="BI37" s="109"/>
      <c r="BJ37" s="109"/>
      <c r="BK37" s="362">
        <v>17634.866686199824</v>
      </c>
      <c r="BL37" s="115">
        <v>20165.104014063876</v>
      </c>
      <c r="BM37" s="115">
        <v>28005.42045121594</v>
      </c>
      <c r="BN37" s="115">
        <v>32797.978318195135</v>
      </c>
      <c r="BO37" s="358">
        <v>840</v>
      </c>
      <c r="BP37" s="363">
        <f>('Cost-Effectiveness Level'!$B$3*BK37)+('Cost-Effectiveness Level'!$C$3*BL37)+('Cost-Effectiveness Level'!$D$3*BM37)+('Cost-Effectiveness Level'!$E$3*BN37)</f>
        <v>22250.779372985646</v>
      </c>
    </row>
    <row r="38" spans="2:68" ht="15" thickBot="1">
      <c r="B38" s="290">
        <f>IF('850SF'!$AD50&gt;=1,'UA Optimizer'!$U56,'UA Optimizer'!$U55)</f>
        <v>210.95999999999995</v>
      </c>
      <c r="C38" s="524" t="b">
        <f t="shared" si="6"/>
        <v>0</v>
      </c>
      <c r="D38" s="290">
        <f>IF('1350SF'!$AD56&gt;=1,'UA Optimizer'!$AA56,'UA Optimizer'!$AA55)</f>
        <v>330.0039999999999</v>
      </c>
      <c r="E38" s="292" t="b">
        <f t="shared" si="7"/>
        <v>0</v>
      </c>
      <c r="F38" s="532">
        <f>IF('2184SF'!$AD54&gt;=1,'UA Optimizer'!$AG56,'UA Optimizer'!$AG55)</f>
        <v>547.4531999999999</v>
      </c>
      <c r="G38" s="292" t="b">
        <f t="shared" si="8"/>
        <v>0</v>
      </c>
      <c r="R38" s="304" t="s">
        <v>242</v>
      </c>
      <c r="S38" s="298">
        <f>T38+U38</f>
        <v>11367.804683212342</v>
      </c>
      <c r="T38" s="302">
        <v>8432.628458580162</v>
      </c>
      <c r="U38" s="302">
        <f>'UA Optimizer'!E182</f>
        <v>2935.176224632179</v>
      </c>
      <c r="V38" s="645">
        <f>'UA Optimizer'!E$126</f>
        <v>1230.0254590235586</v>
      </c>
      <c r="AU38" s="362">
        <v>21333.07940228538</v>
      </c>
      <c r="AV38" s="115">
        <v>24480.60357456783</v>
      </c>
      <c r="AW38" s="115">
        <v>32626.193964254322</v>
      </c>
      <c r="AX38" s="115">
        <v>37753.50131848813</v>
      </c>
      <c r="AY38" s="358">
        <v>820</v>
      </c>
      <c r="AZ38" s="363">
        <f>('Cost-Effectiveness Level'!$B$3*AU38)+('Cost-Effectiveness Level'!$C$3*AV38)+('Cost-Effectiveness Level'!$D$3*AW38)+('Cost-Effectiveness Level'!$E$3*AX38)</f>
        <v>26551.141224728977</v>
      </c>
      <c r="BA38" s="109"/>
      <c r="BB38" s="109"/>
      <c r="BC38" s="362">
        <v>20235.628479343686</v>
      </c>
      <c r="BD38" s="115">
        <v>23235.628479343686</v>
      </c>
      <c r="BE38" s="115">
        <v>31218.517433343102</v>
      </c>
      <c r="BF38" s="115">
        <v>36319.748022267806</v>
      </c>
      <c r="BG38" s="358">
        <v>820</v>
      </c>
      <c r="BH38" s="363">
        <f>('Cost-Effectiveness Level'!$B$3*BC38)+('Cost-Effectiveness Level'!$C$3*BD38)+('Cost-Effectiveness Level'!$D$3*BE38)+('Cost-Effectiveness Level'!$E$3*BF38)</f>
        <v>25285.556694989747</v>
      </c>
      <c r="BI38" s="109"/>
      <c r="BJ38" s="109"/>
      <c r="BK38" s="362">
        <v>17022.502197480226</v>
      </c>
      <c r="BL38" s="115">
        <v>19458.833870495168</v>
      </c>
      <c r="BM38" s="115">
        <v>27099.648403164374</v>
      </c>
      <c r="BN38" s="115">
        <v>31746.205684148845</v>
      </c>
      <c r="BO38" s="358">
        <v>820</v>
      </c>
      <c r="BP38" s="363">
        <f>('Cost-Effectiveness Level'!$B$3*BK38)+('Cost-Effectiveness Level'!$C$3*BL38)+('Cost-Effectiveness Level'!$D$3*BM38)+('Cost-Effectiveness Level'!$E$3*BN38)</f>
        <v>21496.139759742167</v>
      </c>
    </row>
    <row r="39" spans="2:68" ht="15" thickBot="1">
      <c r="B39" s="290">
        <f>IF('850SF'!$AD51&gt;=1,'UA Optimizer'!$U57,'UA Optimizer'!$U56)</f>
        <v>199.75999999999996</v>
      </c>
      <c r="C39" s="524" t="b">
        <f t="shared" si="6"/>
        <v>0</v>
      </c>
      <c r="D39" s="290">
        <f>IF('1350SF'!$AD57&gt;=1,'UA Optimizer'!$AA57,'UA Optimizer'!$AA56)</f>
        <v>315.84899999999993</v>
      </c>
      <c r="E39" s="292" t="b">
        <f t="shared" si="7"/>
        <v>0</v>
      </c>
      <c r="F39" s="532">
        <f>IF('2184SF'!$AD55&gt;=1,'UA Optimizer'!$AG57,'UA Optimizer'!$AG56)</f>
        <v>517.5282</v>
      </c>
      <c r="G39" s="292" t="b">
        <f t="shared" si="8"/>
        <v>0</v>
      </c>
      <c r="R39" s="306" t="str">
        <f>R30</f>
        <v>CASE =&gt; PNW Region</v>
      </c>
      <c r="S39" s="307">
        <f>T39+U39</f>
        <v>11367.804683212342</v>
      </c>
      <c r="T39" s="308">
        <v>8432.628458580162</v>
      </c>
      <c r="U39" s="308">
        <f>'UA Optimizer'!E196</f>
        <v>2935.176224632179</v>
      </c>
      <c r="V39" s="309">
        <f>'UA Optimizer'!E$126</f>
        <v>1230.0254590235586</v>
      </c>
      <c r="AU39" s="362">
        <v>20674.18693231761</v>
      </c>
      <c r="AV39" s="115">
        <v>23728.537943158513</v>
      </c>
      <c r="AW39" s="115">
        <v>31678.25959566364</v>
      </c>
      <c r="AX39" s="115">
        <v>36673.54233811896</v>
      </c>
      <c r="AY39" s="358">
        <v>800</v>
      </c>
      <c r="AZ39" s="363">
        <f>('Cost-Effectiveness Level'!$B$3*AU39)+('Cost-Effectiveness Level'!$C$3*AV39)+('Cost-Effectiveness Level'!$D$3*AW39)+('Cost-Effectiveness Level'!$E$3*AX39)</f>
        <v>25752.348373864636</v>
      </c>
      <c r="BA39" s="109"/>
      <c r="BB39" s="109"/>
      <c r="BC39" s="362">
        <v>19583.9437445063</v>
      </c>
      <c r="BD39" s="115">
        <v>22490.624084383242</v>
      </c>
      <c r="BE39" s="115">
        <v>30278.02519777322</v>
      </c>
      <c r="BF39" s="115">
        <v>35242.63111631996</v>
      </c>
      <c r="BG39" s="358">
        <v>800</v>
      </c>
      <c r="BH39" s="363">
        <f>('Cost-Effectiveness Level'!$B$3*BC39)+('Cost-Effectiveness Level'!$C$3*BD39)+('Cost-Effectiveness Level'!$D$3*BE39)+('Cost-Effectiveness Level'!$E$3*BF39)</f>
        <v>24493.738646352183</v>
      </c>
      <c r="BI39" s="109"/>
      <c r="BJ39" s="109"/>
      <c r="BK39" s="362">
        <v>16411.749194257252</v>
      </c>
      <c r="BL39" s="115">
        <v>18758.482273659538</v>
      </c>
      <c r="BM39" s="115">
        <v>26195.57573981834</v>
      </c>
      <c r="BN39" s="115">
        <v>30696.952827424553</v>
      </c>
      <c r="BO39" s="358">
        <v>800</v>
      </c>
      <c r="BP39" s="363">
        <f>('Cost-Effectiveness Level'!$B$3*BK39)+('Cost-Effectiveness Level'!$C$3*BL39)+('Cost-Effectiveness Level'!$D$3*BM39)+('Cost-Effectiveness Level'!$E$3*BN39)</f>
        <v>20745.332552007032</v>
      </c>
    </row>
    <row r="40" spans="2:68" ht="14.25">
      <c r="B40" s="290"/>
      <c r="C40" s="524"/>
      <c r="D40" s="290">
        <f>IF('1350SF'!$AD58&gt;=1,'UA Optimizer'!$AA58,'UA Optimizer'!$AA57)</f>
        <v>304.64899999999994</v>
      </c>
      <c r="E40" s="292" t="b">
        <f t="shared" si="7"/>
        <v>0</v>
      </c>
      <c r="F40" s="532">
        <f>IF('2184SF'!$AD56&gt;=1,'UA Optimizer'!$AG58,'UA Optimizer'!$AG57)</f>
        <v>506.3282</v>
      </c>
      <c r="G40" s="292" t="b">
        <f t="shared" si="8"/>
        <v>0</v>
      </c>
      <c r="AU40" s="362">
        <v>20016.67154995605</v>
      </c>
      <c r="AV40" s="115">
        <v>22977.52710225608</v>
      </c>
      <c r="AW40" s="115">
        <v>30730.32522707296</v>
      </c>
      <c r="AX40" s="115">
        <v>35594.31585115734</v>
      </c>
      <c r="AY40" s="358">
        <v>780</v>
      </c>
      <c r="AZ40" s="363">
        <f>('Cost-Effectiveness Level'!$B$3*AU40)+('Cost-Effectiveness Level'!$C$3*AV40)+('Cost-Effectiveness Level'!$D$3*AW40)+('Cost-Effectiveness Level'!$E$3*AX40)</f>
        <v>24954.39496044536</v>
      </c>
      <c r="BA40" s="109"/>
      <c r="BB40" s="109"/>
      <c r="BC40" s="362">
        <v>18933.81189569294</v>
      </c>
      <c r="BD40" s="115">
        <v>21746.938177556403</v>
      </c>
      <c r="BE40" s="115">
        <v>29337.415763258134</v>
      </c>
      <c r="BF40" s="115">
        <v>34165.748608262526</v>
      </c>
      <c r="BG40" s="358">
        <v>780</v>
      </c>
      <c r="BH40" s="363">
        <f>('Cost-Effectiveness Level'!$B$3*BC40)+('Cost-Effectiveness Level'!$C$3*BD40)+('Cost-Effectiveness Level'!$D$3*BE40)+('Cost-Effectiveness Level'!$E$3*BF40)</f>
        <v>23702.87283914445</v>
      </c>
      <c r="BI40" s="109"/>
      <c r="BJ40" s="109"/>
      <c r="BK40" s="362">
        <v>15802.168180486377</v>
      </c>
      <c r="BL40" s="115">
        <v>18063.05303252271</v>
      </c>
      <c r="BM40" s="115">
        <v>25296.308233225904</v>
      </c>
      <c r="BN40" s="115">
        <v>29648.49106358043</v>
      </c>
      <c r="BO40" s="358">
        <v>780</v>
      </c>
      <c r="BP40" s="363">
        <f>('Cost-Effectiveness Level'!$B$3*BK40)+('Cost-Effectiveness Level'!$C$3*BL40)+('Cost-Effectiveness Level'!$D$3*BM40)+('Cost-Effectiveness Level'!$E$3*BN40)</f>
        <v>19998.461763844127</v>
      </c>
    </row>
    <row r="41" spans="2:68" ht="14.25">
      <c r="B41" s="290"/>
      <c r="C41" s="524"/>
      <c r="D41" s="290">
        <f>IF('1350SF'!$AD59&gt;=1,'UA Optimizer'!$AA59,'UA Optimizer'!$AA58)</f>
        <v>292.40899999999993</v>
      </c>
      <c r="E41" s="292" t="b">
        <f t="shared" si="7"/>
        <v>0</v>
      </c>
      <c r="F41" s="532">
        <f>IF('2184SF'!$AD57&gt;=1,'UA Optimizer'!$AG59,'UA Optimizer'!$AG58)</f>
        <v>494.0882</v>
      </c>
      <c r="G41" s="292" t="b">
        <f t="shared" si="8"/>
        <v>0</v>
      </c>
      <c r="AU41" s="362">
        <v>19359.419865221214</v>
      </c>
      <c r="AV41" s="115">
        <v>22226.721359507766</v>
      </c>
      <c r="AW41" s="115">
        <v>29782.537357163787</v>
      </c>
      <c r="AX41" s="115">
        <v>34515.49956050396</v>
      </c>
      <c r="AY41" s="358">
        <v>760</v>
      </c>
      <c r="AZ41" s="363">
        <f>('Cost-Effectiveness Level'!$B$3*AU41)+('Cost-Effectiveness Level'!$C$3*AV41)+('Cost-Effectiveness Level'!$D$3*AW41)+('Cost-Effectiveness Level'!$E$3*AX41)</f>
        <v>24156.653970114272</v>
      </c>
      <c r="BA41" s="109"/>
      <c r="BB41" s="109"/>
      <c r="BC41" s="362">
        <v>18284.705537650163</v>
      </c>
      <c r="BD41" s="115">
        <v>21004.629358335776</v>
      </c>
      <c r="BE41" s="115">
        <v>28397.773220041025</v>
      </c>
      <c r="BF41" s="115">
        <v>33089.36419572224</v>
      </c>
      <c r="BG41" s="358">
        <v>760</v>
      </c>
      <c r="BH41" s="363">
        <f>('Cost-Effectiveness Level'!$B$3*BC41)+('Cost-Effectiveness Level'!$C$3*BD41)+('Cost-Effectiveness Level'!$D$3*BE41)+('Cost-Effectiveness Level'!$E$3*BF41)</f>
        <v>22913.16730149429</v>
      </c>
      <c r="BI41" s="109"/>
      <c r="BJ41" s="109"/>
      <c r="BK41" s="362">
        <v>15192.880164078524</v>
      </c>
      <c r="BL41" s="115">
        <v>17371.960152358628</v>
      </c>
      <c r="BM41" s="115">
        <v>24400.23439789042</v>
      </c>
      <c r="BN41" s="115">
        <v>28606.533841195433</v>
      </c>
      <c r="BO41" s="358">
        <v>760</v>
      </c>
      <c r="BP41" s="363">
        <f>('Cost-Effectiveness Level'!$B$3*BK41)+('Cost-Effectiveness Level'!$C$3*BL41)+('Cost-Effectiveness Level'!$D$3*BM41)+('Cost-Effectiveness Level'!$E$3*BN41)</f>
        <v>19254.941400527394</v>
      </c>
    </row>
    <row r="42" spans="2:68" ht="15" thickBot="1">
      <c r="B42" s="528"/>
      <c r="C42" s="530"/>
      <c r="D42" s="426">
        <f>IF('1350SF'!$AD60&gt;=1,'UA Optimizer'!$AA60,'UA Optimizer'!$AA59)</f>
        <v>291.19399999999996</v>
      </c>
      <c r="E42" s="525" t="b">
        <f t="shared" si="7"/>
        <v>0</v>
      </c>
      <c r="F42" s="629"/>
      <c r="G42" s="525"/>
      <c r="AU42" s="362">
        <v>18703.34016993847</v>
      </c>
      <c r="AV42" s="115">
        <v>21475.76911807794</v>
      </c>
      <c r="AW42" s="115">
        <v>28834.808086727222</v>
      </c>
      <c r="AX42" s="115">
        <v>33436.302373278646</v>
      </c>
      <c r="AY42" s="358">
        <v>740</v>
      </c>
      <c r="AZ42" s="363">
        <f>('Cost-Effectiveness Level'!$B$3*AU42)+('Cost-Effectiveness Level'!$C$3*AV42)+('Cost-Effectiveness Level'!$D$3*AW42)+('Cost-Effectiveness Level'!$E$3*AX42)</f>
        <v>23359.069733372406</v>
      </c>
      <c r="BA42" s="109"/>
      <c r="BB42" s="109"/>
      <c r="BC42" s="362">
        <v>17636.77116905948</v>
      </c>
      <c r="BD42" s="115">
        <v>20262.46703779666</v>
      </c>
      <c r="BE42" s="115">
        <v>27459.419865221214</v>
      </c>
      <c r="BF42" s="115">
        <v>32013.97597421623</v>
      </c>
      <c r="BG42" s="358">
        <v>740</v>
      </c>
      <c r="BH42" s="363">
        <f>('Cost-Effectiveness Level'!$B$3*BC42)+('Cost-Effectiveness Level'!$C$3*BD42)+('Cost-Effectiveness Level'!$D$3*BE42)+('Cost-Effectiveness Level'!$E$3*BF42)</f>
        <v>22124.141517726344</v>
      </c>
      <c r="BI42" s="109"/>
      <c r="BJ42" s="109"/>
      <c r="BK42" s="362">
        <v>14586.961617345445</v>
      </c>
      <c r="BL42" s="115">
        <v>16683.59214767067</v>
      </c>
      <c r="BM42" s="115">
        <v>23505.215353061823</v>
      </c>
      <c r="BN42" s="115">
        <v>27570.905361851746</v>
      </c>
      <c r="BO42" s="358">
        <v>740</v>
      </c>
      <c r="BP42" s="363">
        <f>('Cost-Effectiveness Level'!$B$3*BK42)+('Cost-Effectiveness Level'!$C$3*BL42)+('Cost-Effectiveness Level'!$D$3*BM42)+('Cost-Effectiveness Level'!$E$3*BN42)</f>
        <v>18514.03750366247</v>
      </c>
    </row>
    <row r="43" spans="47:68" ht="14.25">
      <c r="AU43" s="362">
        <v>18047.670670963962</v>
      </c>
      <c r="AV43" s="115">
        <v>20725.520070319366</v>
      </c>
      <c r="AW43" s="115">
        <v>27888.45590389687</v>
      </c>
      <c r="AX43" s="115">
        <v>32357.310284207444</v>
      </c>
      <c r="AY43" s="358">
        <v>720</v>
      </c>
      <c r="AZ43" s="363">
        <f>('Cost-Effectiveness Level'!$B$3*AU43)+('Cost-Effectiveness Level'!$C$3*AV43)+('Cost-Effectiveness Level'!$D$3*AW43)+('Cost-Effectiveness Level'!$E$3*AX43)</f>
        <v>22562.273659537062</v>
      </c>
      <c r="BA43" s="109"/>
      <c r="BB43" s="109"/>
      <c r="BC43" s="362">
        <v>16993.143861705244</v>
      </c>
      <c r="BD43" s="115">
        <v>19520.216818048637</v>
      </c>
      <c r="BE43" s="115">
        <v>26522.06270143569</v>
      </c>
      <c r="BF43" s="115">
        <v>30940.287137415766</v>
      </c>
      <c r="BG43" s="358">
        <v>720</v>
      </c>
      <c r="BH43" s="363">
        <f>('Cost-Effectiveness Level'!$B$3*BC43)+('Cost-Effectiveness Level'!$C$3*BD43)+('Cost-Effectiveness Level'!$D$3*BE43)+('Cost-Effectiveness Level'!$E$3*BF43)</f>
        <v>21336.26721359508</v>
      </c>
      <c r="BI43" s="109"/>
      <c r="BJ43" s="109"/>
      <c r="BK43" s="362">
        <v>13985.672428948139</v>
      </c>
      <c r="BL43" s="115">
        <v>15997.919718722533</v>
      </c>
      <c r="BM43" s="115">
        <v>22611.368297685323</v>
      </c>
      <c r="BN43" s="115">
        <v>26539.027248754763</v>
      </c>
      <c r="BO43" s="358">
        <v>720</v>
      </c>
      <c r="BP43" s="363">
        <f>('Cost-Effectiveness Level'!$B$3*BK43)+('Cost-Effectiveness Level'!$C$3*BL43)+('Cost-Effectiveness Level'!$D$3*BM43)+('Cost-Effectiveness Level'!$E$3*BN43)</f>
        <v>17775.887782009962</v>
      </c>
    </row>
    <row r="44" spans="47:68" ht="15" thickBot="1">
      <c r="AU44" s="362">
        <v>17392.32346908878</v>
      </c>
      <c r="AV44" s="115">
        <v>19975.827717550543</v>
      </c>
      <c r="AW44" s="115">
        <v>26943.09991210079</v>
      </c>
      <c r="AX44" s="115">
        <v>31278.49399355406</v>
      </c>
      <c r="AY44" s="358">
        <v>700</v>
      </c>
      <c r="AZ44" s="363">
        <f>('Cost-Effectiveness Level'!$B$3*AU44)+('Cost-Effectiveness Level'!$C$3*AV44)+('Cost-Effectiveness Level'!$D$3*AW44)+('Cost-Effectiveness Level'!$E$3*AX44)</f>
        <v>21766.07823029593</v>
      </c>
      <c r="BA44" s="109"/>
      <c r="BB44" s="109"/>
      <c r="BC44" s="362">
        <v>16352.065631409318</v>
      </c>
      <c r="BD44" s="115">
        <v>18780.01757984178</v>
      </c>
      <c r="BE44" s="115">
        <v>25586.932317609142</v>
      </c>
      <c r="BF44" s="115">
        <v>29868.707881629067</v>
      </c>
      <c r="BG44" s="358">
        <v>700</v>
      </c>
      <c r="BH44" s="363">
        <f>('Cost-Effectiveness Level'!$B$3*BC44)+('Cost-Effectiveness Level'!$C$3*BD44)+('Cost-Effectiveness Level'!$D$3*BE44)+('Cost-Effectiveness Level'!$E$3*BF44)</f>
        <v>20550.590389686495</v>
      </c>
      <c r="BI44" s="109"/>
      <c r="BJ44" s="109"/>
      <c r="BK44" s="362">
        <v>13389.01259888661</v>
      </c>
      <c r="BL44" s="115">
        <v>15315.44096103135</v>
      </c>
      <c r="BM44" s="115">
        <v>21719.542924113684</v>
      </c>
      <c r="BN44" s="115">
        <v>25513.507178435397</v>
      </c>
      <c r="BO44" s="358">
        <v>700</v>
      </c>
      <c r="BP44" s="363">
        <f>('Cost-Effectiveness Level'!$B$3*BK44)+('Cost-Effectiveness Level'!$C$3*BL44)+('Cost-Effectiveness Level'!$D$3*BM44)+('Cost-Effectiveness Level'!$E$3*BN44)</f>
        <v>17041.08409024319</v>
      </c>
    </row>
    <row r="45" spans="1:68" ht="15" thickBot="1">
      <c r="A45" s="754" t="s">
        <v>503</v>
      </c>
      <c r="B45" s="755"/>
      <c r="C45" s="755"/>
      <c r="D45" s="755"/>
      <c r="E45" s="755"/>
      <c r="F45" s="755"/>
      <c r="G45" s="755"/>
      <c r="H45" s="756"/>
      <c r="AU45" s="362">
        <v>16737.796659830063</v>
      </c>
      <c r="AV45" s="115">
        <v>19226.985057134487</v>
      </c>
      <c r="AW45" s="115">
        <v>25999.44330501026</v>
      </c>
      <c r="AX45" s="115">
        <v>30199.941400527394</v>
      </c>
      <c r="AY45" s="358">
        <v>680</v>
      </c>
      <c r="AZ45" s="363">
        <f>('Cost-Effectiveness Level'!$B$3*AU45)+('Cost-Effectiveness Level'!$C$3*AV45)+('Cost-Effectiveness Level'!$D$3*AW45)+('Cost-Effectiveness Level'!$E$3*AX45)</f>
        <v>20970.90975681219</v>
      </c>
      <c r="BA45" s="109"/>
      <c r="BB45" s="109"/>
      <c r="BC45" s="362">
        <v>15712.159390565485</v>
      </c>
      <c r="BD45" s="115">
        <v>18042.279519484327</v>
      </c>
      <c r="BE45" s="115">
        <v>24654.380310577206</v>
      </c>
      <c r="BF45" s="115">
        <v>28798.359214767068</v>
      </c>
      <c r="BG45" s="358">
        <v>680</v>
      </c>
      <c r="BH45" s="363">
        <f>('Cost-Effectiveness Level'!$B$3*BC45)+('Cost-Effectiveness Level'!$C$3*BD45)+('Cost-Effectiveness Level'!$D$3*BE45)+('Cost-Effectiveness Level'!$E$3*BF45)</f>
        <v>19767.084676237915</v>
      </c>
      <c r="BI45" s="109"/>
      <c r="BJ45" s="109"/>
      <c r="BK45" s="362">
        <v>12792.997363023733</v>
      </c>
      <c r="BL45" s="115">
        <v>14634.485789627894</v>
      </c>
      <c r="BM45" s="115">
        <v>20827.571051860534</v>
      </c>
      <c r="BN45" s="115">
        <v>24489.59859361266</v>
      </c>
      <c r="BO45" s="358">
        <v>680</v>
      </c>
      <c r="BP45" s="363">
        <f>('Cost-Effectiveness Level'!$B$3*BK45)+('Cost-Effectiveness Level'!$C$3*BL45)+('Cost-Effectiveness Level'!$D$3*BM45)+('Cost-Effectiveness Level'!$E$3*BN45)</f>
        <v>16307.215060064458</v>
      </c>
    </row>
    <row r="46" spans="1:68" ht="15" thickBot="1">
      <c r="A46" s="533" t="s">
        <v>189</v>
      </c>
      <c r="B46" s="750">
        <f>B25</f>
        <v>850</v>
      </c>
      <c r="C46" s="751"/>
      <c r="D46" s="750">
        <f>D25</f>
        <v>1350</v>
      </c>
      <c r="E46" s="751"/>
      <c r="F46" s="752">
        <f>F25</f>
        <v>2184</v>
      </c>
      <c r="G46" s="753"/>
      <c r="H46" s="535" t="s">
        <v>240</v>
      </c>
      <c r="AU46" s="362">
        <v>16084.324641078232</v>
      </c>
      <c r="AV46" s="115">
        <v>18479.37298564313</v>
      </c>
      <c r="AW46" s="115">
        <v>25057.54468209786</v>
      </c>
      <c r="AX46" s="115">
        <v>29122.209200117202</v>
      </c>
      <c r="AY46" s="358">
        <v>660</v>
      </c>
      <c r="AZ46" s="363">
        <f>('Cost-Effectiveness Level'!$B$3*AU46)+('Cost-Effectiveness Level'!$C$3*AV46)+('Cost-Effectiveness Level'!$D$3*AW46)+('Cost-Effectiveness Level'!$E$3*AX46)</f>
        <v>20177.048051567537</v>
      </c>
      <c r="BA46" s="109"/>
      <c r="BB46" s="109"/>
      <c r="BC46" s="362">
        <v>15073.337239964842</v>
      </c>
      <c r="BD46" s="115">
        <v>17306.592440668035</v>
      </c>
      <c r="BE46" s="115">
        <v>23723.381189569292</v>
      </c>
      <c r="BF46" s="115">
        <v>27728.450043949604</v>
      </c>
      <c r="BG46" s="358">
        <v>660</v>
      </c>
      <c r="BH46" s="363">
        <f>('Cost-Effectiveness Level'!$B$3*BC46)+('Cost-Effectiveness Level'!$C$3*BD46)+('Cost-Effectiveness Level'!$D$3*BE46)+('Cost-Effectiveness Level'!$E$3*BF46)</f>
        <v>18985.23146791679</v>
      </c>
      <c r="BI46" s="109"/>
      <c r="BJ46" s="109"/>
      <c r="BK46" s="362">
        <v>12197.919718722533</v>
      </c>
      <c r="BL46" s="115">
        <v>13953.911514796368</v>
      </c>
      <c r="BM46" s="115">
        <v>19938.587752710224</v>
      </c>
      <c r="BN46" s="115">
        <v>23469.70407266335</v>
      </c>
      <c r="BO46" s="358">
        <v>660</v>
      </c>
      <c r="BP46" s="363">
        <f>('Cost-Effectiveness Level'!$B$3*BK46)+('Cost-Effectiveness Level'!$C$3*BL46)+('Cost-Effectiveness Level'!$D$3*BM46)+('Cost-Effectiveness Level'!$E$3*BN46)</f>
        <v>15574.671842953414</v>
      </c>
    </row>
    <row r="47" spans="1:68" ht="15" thickBot="1">
      <c r="A47" s="534" t="s">
        <v>504</v>
      </c>
      <c r="B47" s="555">
        <f>(INDEX(B49:B62,MATCH(TRUE,C49:C62,0)))</f>
        <v>4064.114749736161</v>
      </c>
      <c r="C47" s="556"/>
      <c r="D47" s="555">
        <f>INDEX(D49:D65,MATCH(TRUE,E49:E65,0))</f>
        <v>6227.603830933442</v>
      </c>
      <c r="E47" s="556"/>
      <c r="F47" s="555">
        <f>INDEX(F49:F64,MATCH(TRUE,G49:G64,0))</f>
        <v>8609.447878481893</v>
      </c>
      <c r="G47" s="556"/>
      <c r="H47" s="538">
        <f>(B47*I$3)+(D47*J$3)+(F47*K$3)</f>
        <v>6795.280514664335</v>
      </c>
      <c r="AU47" s="362">
        <v>15432.34690887782</v>
      </c>
      <c r="AV47" s="115">
        <v>17733.636097275124</v>
      </c>
      <c r="AW47" s="115">
        <v>24116.319953120423</v>
      </c>
      <c r="AX47" s="115">
        <v>28045.32669205977</v>
      </c>
      <c r="AY47" s="358">
        <v>640</v>
      </c>
      <c r="AZ47" s="363">
        <f>('Cost-Effectiveness Level'!$B$3*AU47)+('Cost-Effectiveness Level'!$C$3*AV47)+('Cost-Effectiveness Level'!$D$3*AW47)+('Cost-Effectiveness Level'!$E$3*AX47)</f>
        <v>19384.63375329622</v>
      </c>
      <c r="BA47" s="109"/>
      <c r="BB47" s="109"/>
      <c r="BC47" s="362">
        <v>14436.888368004687</v>
      </c>
      <c r="BD47" s="115">
        <v>16571.98945209493</v>
      </c>
      <c r="BE47" s="115">
        <v>22794.57954878406</v>
      </c>
      <c r="BF47" s="115">
        <v>26658.45297392324</v>
      </c>
      <c r="BG47" s="358">
        <v>640</v>
      </c>
      <c r="BH47" s="363">
        <f>('Cost-Effectiveness Level'!$B$3*BC47)+('Cost-Effectiveness Level'!$C$3*BD47)+('Cost-Effectiveness Level'!$D$3*BE47)+('Cost-Effectiveness Level'!$E$3*BF47)</f>
        <v>18204.939935540584</v>
      </c>
      <c r="BI47" s="109"/>
      <c r="BJ47" s="109"/>
      <c r="BK47" s="362">
        <v>11606.182244359801</v>
      </c>
      <c r="BL47" s="115">
        <v>13276.325813067682</v>
      </c>
      <c r="BM47" s="115">
        <v>19055.610899501906</v>
      </c>
      <c r="BN47" s="115">
        <v>22455.493700556697</v>
      </c>
      <c r="BO47" s="358">
        <v>640</v>
      </c>
      <c r="BP47" s="363">
        <f>('Cost-Effectiveness Level'!$B$3*BK47)+('Cost-Effectiveness Level'!$C$3*BL47)+('Cost-Effectiveness Level'!$D$3*BM47)+('Cost-Effectiveness Level'!$E$3*BN47)</f>
        <v>14846.076765309113</v>
      </c>
    </row>
    <row r="48" spans="1:68" ht="15" thickBot="1">
      <c r="A48" s="534" t="s">
        <v>568</v>
      </c>
      <c r="B48" s="596">
        <f>B47-(-0.000173*('Cost-Effectiveness Level'!$B$23^3)+0.23079*('Cost-Effectiveness Level'!$B$23^2)-111.685715*'Cost-Effectiveness Level'!$B$23+20077.668275)</f>
        <v>814.960470221883</v>
      </c>
      <c r="C48" s="597"/>
      <c r="D48" s="596">
        <f>D47-(-0.0000831*('Cost-Effectiveness Level'!$C$23^3)+0.1631576*('Cost-Effectiveness Level'!$C$23^2)-115.2334046*'Cost-Effectiveness Level'!$C$23+30121.2586611)</f>
        <v>1137.6458437717029</v>
      </c>
      <c r="E48" s="597"/>
      <c r="F48" s="596">
        <f>F47-(-0.00003*('Cost-Effectiveness Level'!$D$23^3)+0.101522*('Cost-Effectiveness Level'!$D$23^2)-120.534604*'Cost-Effectiveness Level'!$D$23+49652.734713)</f>
        <v>1618.214959335659</v>
      </c>
      <c r="G48" s="597"/>
      <c r="H48" s="538">
        <f>(B48*I$3)+(D48*J$3)+(F48*K$3)</f>
        <v>1274.9477975986003</v>
      </c>
      <c r="AU48" s="362">
        <v>14782.332259009669</v>
      </c>
      <c r="AV48" s="115">
        <v>16989.59859361266</v>
      </c>
      <c r="AW48" s="115">
        <v>23175.827717550546</v>
      </c>
      <c r="AX48" s="115">
        <v>26969.23527688251</v>
      </c>
      <c r="AY48" s="358">
        <v>620</v>
      </c>
      <c r="AZ48" s="363">
        <f>('Cost-Effectiveness Level'!$B$3*AU48)+('Cost-Effectiveness Level'!$C$3*AV48)+('Cost-Effectiveness Level'!$D$3*AW48)+('Cost-Effectiveness Level'!$E$3*AX48)</f>
        <v>18593.68444184003</v>
      </c>
      <c r="BA48" s="109"/>
      <c r="BB48" s="109"/>
      <c r="BC48" s="362">
        <v>13804.57075886317</v>
      </c>
      <c r="BD48" s="115">
        <v>15838.14825666569</v>
      </c>
      <c r="BE48" s="115">
        <v>21870.377966598302</v>
      </c>
      <c r="BF48" s="115">
        <v>25589.569293876357</v>
      </c>
      <c r="BG48" s="358">
        <v>620</v>
      </c>
      <c r="BH48" s="363">
        <f>('Cost-Effectiveness Level'!$B$3*BC48)+('Cost-Effectiveness Level'!$C$3*BD48)+('Cost-Effectiveness Level'!$D$3*BE48)+('Cost-Effectiveness Level'!$E$3*BF48)</f>
        <v>17427.061236448873</v>
      </c>
      <c r="BI48" s="109"/>
      <c r="BJ48" s="109"/>
      <c r="BK48" s="362">
        <v>11017.491942572517</v>
      </c>
      <c r="BL48" s="115">
        <v>12605.215353061823</v>
      </c>
      <c r="BM48" s="115">
        <v>18178.523293290364</v>
      </c>
      <c r="BN48" s="115">
        <v>21443.334309991213</v>
      </c>
      <c r="BO48" s="358">
        <v>620</v>
      </c>
      <c r="BP48" s="363">
        <f>('Cost-Effectiveness Level'!$B$3*BK48)+('Cost-Effectiveness Level'!$C$3*BL48)+('Cost-Effectiveness Level'!$D$3*BM48)+('Cost-Effectiveness Level'!$E$3*BN48)</f>
        <v>14122.903603867568</v>
      </c>
    </row>
    <row r="49" spans="1:68" ht="14.25">
      <c r="A49" s="5"/>
      <c r="B49" s="470">
        <f>IF('850SF'!$AD39&gt;=1,'UA Optimizer'!$W45,'UA Optimizer'!$W44)</f>
        <v>732.6936963096837</v>
      </c>
      <c r="C49" s="553" t="b">
        <f>AND(B49=B50,B50&lt;B51)</f>
        <v>0</v>
      </c>
      <c r="D49" s="332">
        <f>IF('1350SF'!$AD45&gt;=1,'UA Optimizer'!$AC45,'UA Optimizer'!$AC44)</f>
        <v>349.1069964769669</v>
      </c>
      <c r="E49" s="541" t="b">
        <f>AND(D49=D50,D50&lt;D51)</f>
        <v>0</v>
      </c>
      <c r="F49" s="554">
        <f>IF('2184SF'!$AD43&gt;=1,'UA Optimizer'!$AI45,'UA Optimizer'!$AI44)</f>
        <v>299.75</v>
      </c>
      <c r="G49" s="541" t="b">
        <f>AND(F49=F50,F50&lt;F51)</f>
        <v>0</v>
      </c>
      <c r="AU49" s="362">
        <v>14134.016993847057</v>
      </c>
      <c r="AV49" s="115">
        <v>16246.9088778201</v>
      </c>
      <c r="AW49" s="115">
        <v>22236.62467037797</v>
      </c>
      <c r="AX49" s="115">
        <v>25894.550249047763</v>
      </c>
      <c r="AY49" s="358">
        <v>600</v>
      </c>
      <c r="AZ49" s="363">
        <f>('Cost-Effectiveness Level'!$B$3*AU49)+('Cost-Effectiveness Level'!$C$3*AV49)+('Cost-Effectiveness Level'!$D$3*AW49)+('Cost-Effectiveness Level'!$E$3*AX49)</f>
        <v>17804.14151772634</v>
      </c>
      <c r="BA49" s="109"/>
      <c r="BB49" s="109"/>
      <c r="BC49" s="362">
        <v>13175.417521242309</v>
      </c>
      <c r="BD49" s="115">
        <v>15108.233225900969</v>
      </c>
      <c r="BE49" s="115">
        <v>20947.582771755056</v>
      </c>
      <c r="BF49" s="115">
        <v>24521.71110460006</v>
      </c>
      <c r="BG49" s="358">
        <v>600</v>
      </c>
      <c r="BH49" s="363">
        <f>('Cost-Effectiveness Level'!$B$3*BC49)+('Cost-Effectiveness Level'!$C$3*BD49)+('Cost-Effectiveness Level'!$D$3*BE49)+('Cost-Effectiveness Level'!$E$3*BF49)</f>
        <v>16652.181365367713</v>
      </c>
      <c r="BI49" s="109"/>
      <c r="BJ49" s="109"/>
      <c r="BK49" s="362">
        <v>10433.138001757985</v>
      </c>
      <c r="BL49" s="115">
        <v>11942.631116319953</v>
      </c>
      <c r="BM49" s="115">
        <v>17309.317316144155</v>
      </c>
      <c r="BN49" s="115">
        <v>20437.972458247878</v>
      </c>
      <c r="BO49" s="358">
        <v>600</v>
      </c>
      <c r="BP49" s="363">
        <f>('Cost-Effectiveness Level'!$B$3*BK49)+('Cost-Effectiveness Level'!$C$3*BL49)+('Cost-Effectiveness Level'!$D$3*BM49)+('Cost-Effectiveness Level'!$E$3*BN49)</f>
        <v>13407.171110460007</v>
      </c>
    </row>
    <row r="50" spans="2:68" ht="14.25">
      <c r="B50" s="453">
        <f>IF('850SF'!$AD40&gt;=1,'UA Optimizer'!$W46,'UA Optimizer'!$W45)</f>
        <v>1242.6936963096837</v>
      </c>
      <c r="C50" s="524" t="b">
        <f aca="true" t="shared" si="9" ref="C50:C61">AND(B50=B51,B51&lt;B52)</f>
        <v>0</v>
      </c>
      <c r="D50" s="332">
        <f>IF('1350SF'!$AD46&gt;=1,'UA Optimizer'!$AC46,'UA Optimizer'!$AC45)</f>
        <v>1163.6899882565563</v>
      </c>
      <c r="E50" s="292" t="b">
        <f aca="true" t="shared" si="10" ref="E50:E64">AND(D50=D51,D51&lt;D52)</f>
        <v>0</v>
      </c>
      <c r="F50" s="331">
        <f>IF('2184SF'!$AD44&gt;=1,'UA Optimizer'!$AI46,'UA Optimizer'!$AI45)</f>
        <v>927.2806010746467</v>
      </c>
      <c r="G50" s="292" t="b">
        <f aca="true" t="shared" si="11" ref="G50:G63">AND(F50=F51,F51&lt;F52)</f>
        <v>0</v>
      </c>
      <c r="AU50" s="362">
        <v>13486.610020509817</v>
      </c>
      <c r="AV50" s="115">
        <v>15505.068854380312</v>
      </c>
      <c r="AW50" s="115">
        <v>21299.179607383536</v>
      </c>
      <c r="AX50" s="115">
        <v>24819.63082332259</v>
      </c>
      <c r="AY50" s="358">
        <v>580</v>
      </c>
      <c r="AZ50" s="363">
        <f>('Cost-Effectiveness Level'!$B$3*AU50)+('Cost-Effectiveness Level'!$C$3*AV50)+('Cost-Effectiveness Level'!$D$3*AW50)+('Cost-Effectiveness Level'!$E$3*AX50)</f>
        <v>17015.632874304134</v>
      </c>
      <c r="BA50" s="109"/>
      <c r="BB50" s="109"/>
      <c r="BC50" s="362">
        <v>12547.377673600937</v>
      </c>
      <c r="BD50" s="115">
        <v>14382.390858482275</v>
      </c>
      <c r="BE50" s="115">
        <v>20026.54556108995</v>
      </c>
      <c r="BF50" s="115">
        <v>23454.995605039556</v>
      </c>
      <c r="BG50" s="358">
        <v>580</v>
      </c>
      <c r="BH50" s="363">
        <f>('Cost-Effectiveness Level'!$B$3*BC50)+('Cost-Effectiveness Level'!$C$3*BD50)+('Cost-Effectiveness Level'!$D$3*BE50)+('Cost-Effectiveness Level'!$E$3*BF50)</f>
        <v>15880.05713448579</v>
      </c>
      <c r="BI50" s="109"/>
      <c r="BJ50" s="109"/>
      <c r="BK50" s="362">
        <v>9853.0911221799</v>
      </c>
      <c r="BL50" s="115">
        <v>11289.012598886611</v>
      </c>
      <c r="BM50" s="115">
        <v>16446.76237913859</v>
      </c>
      <c r="BN50" s="115">
        <v>19440.785232932903</v>
      </c>
      <c r="BO50" s="358">
        <v>580</v>
      </c>
      <c r="BP50" s="363">
        <f>('Cost-Effectiveness Level'!$B$3*BK50)+('Cost-Effectiveness Level'!$C$3*BL50)+('Cost-Effectiveness Level'!$D$3*BM50)+('Cost-Effectiveness Level'!$E$3*BN50)</f>
        <v>12698.854380310579</v>
      </c>
    </row>
    <row r="51" spans="2:68" ht="14.25">
      <c r="B51" s="453">
        <f>IF('850SF'!$AD41&gt;=1,'UA Optimizer'!$W47,'UA Optimizer'!$W46)</f>
        <v>1896.8117290550767</v>
      </c>
      <c r="C51" s="524" t="b">
        <f t="shared" si="9"/>
        <v>0</v>
      </c>
      <c r="D51" s="332">
        <f>IF('1350SF'!$AD47&gt;=1,'UA Optimizer'!$AC47,'UA Optimizer'!$AC46)</f>
        <v>1973.6899882565563</v>
      </c>
      <c r="E51" s="292" t="b">
        <f t="shared" si="10"/>
        <v>0</v>
      </c>
      <c r="F51" s="331">
        <f>IF('2184SF'!$AD45&gt;=1,'UA Optimizer'!$AI47,'UA Optimizer'!$AI46)</f>
        <v>1364.0806010746467</v>
      </c>
      <c r="G51" s="292" t="b">
        <f t="shared" si="11"/>
        <v>0</v>
      </c>
      <c r="AU51" s="362">
        <v>12841.664225021976</v>
      </c>
      <c r="AV51" s="115">
        <v>14764.693817755642</v>
      </c>
      <c r="AW51" s="115">
        <v>20362.261939642543</v>
      </c>
      <c r="AX51" s="115">
        <v>23745.150893641956</v>
      </c>
      <c r="AY51" s="358">
        <v>560</v>
      </c>
      <c r="AZ51" s="363">
        <f>('Cost-Effectiveness Level'!$B$3*AU51)+('Cost-Effectiveness Level'!$C$3*AV51)+('Cost-Effectiveness Level'!$D$3*AW51)+('Cost-Effectiveness Level'!$E$3*AX51)</f>
        <v>16228.50278347495</v>
      </c>
      <c r="BA51" s="109"/>
      <c r="BB51" s="109"/>
      <c r="BC51" s="362">
        <v>11919.455024904775</v>
      </c>
      <c r="BD51" s="115">
        <v>13660.474655728098</v>
      </c>
      <c r="BE51" s="115">
        <v>19109.14151772634</v>
      </c>
      <c r="BF51" s="115">
        <v>22391.415177263403</v>
      </c>
      <c r="BG51" s="358">
        <v>560</v>
      </c>
      <c r="BH51" s="363">
        <f>('Cost-Effectiveness Level'!$B$3*BC51)+('Cost-Effectiveness Level'!$C$3*BD51)+('Cost-Effectiveness Level'!$D$3*BE51)+('Cost-Effectiveness Level'!$E$3*BF51)</f>
        <v>15110.98447113976</v>
      </c>
      <c r="BI51" s="109"/>
      <c r="BJ51" s="109"/>
      <c r="BK51" s="362">
        <v>9273.981834163493</v>
      </c>
      <c r="BL51" s="115">
        <v>10644.389100498098</v>
      </c>
      <c r="BM51" s="115">
        <v>15588.51450336947</v>
      </c>
      <c r="BN51" s="115">
        <v>18452.036331673018</v>
      </c>
      <c r="BO51" s="358">
        <v>560</v>
      </c>
      <c r="BP51" s="363">
        <f>('Cost-Effectiveness Level'!$B$3*BK51)+('Cost-Effectiveness Level'!$C$3*BL51)+('Cost-Effectiveness Level'!$D$3*BM51)+('Cost-Effectiveness Level'!$E$3*BN51)</f>
        <v>11996.721359507765</v>
      </c>
    </row>
    <row r="52" spans="2:68" ht="14.25">
      <c r="B52" s="453">
        <f>IF('850SF'!$AD42&gt;=1,'UA Optimizer'!$W48,'UA Optimizer'!$W47)</f>
        <v>2065.642862132884</v>
      </c>
      <c r="C52" s="524" t="b">
        <f t="shared" si="9"/>
        <v>0</v>
      </c>
      <c r="D52" s="332">
        <f>IF('1350SF'!$AD48&gt;=1,'UA Optimizer'!$AC48,'UA Optimizer'!$AC47)</f>
        <v>2790.126199498028</v>
      </c>
      <c r="E52" s="292" t="b">
        <f t="shared" si="10"/>
        <v>0</v>
      </c>
      <c r="F52" s="331">
        <f>IF('2184SF'!$AD46&gt;=1,'UA Optimizer'!$AI48,'UA Optimizer'!$AI47)</f>
        <v>2592.3689070076625</v>
      </c>
      <c r="G52" s="292" t="b">
        <f t="shared" si="11"/>
        <v>0</v>
      </c>
      <c r="AU52" s="362">
        <v>12200.11719894521</v>
      </c>
      <c r="AV52" s="115">
        <v>14026.28186346323</v>
      </c>
      <c r="AW52" s="115">
        <v>19426.926457661884</v>
      </c>
      <c r="AX52" s="115">
        <v>22672.223849985352</v>
      </c>
      <c r="AY52" s="358">
        <v>540</v>
      </c>
      <c r="AZ52" s="363">
        <f>('Cost-Effectiveness Level'!$B$3*AU52)+('Cost-Effectiveness Level'!$C$3*AV52)+('Cost-Effectiveness Level'!$D$3*AW52)+('Cost-Effectiveness Level'!$E$3*AX52)</f>
        <v>15443.507178435395</v>
      </c>
      <c r="BA52" s="109"/>
      <c r="BB52" s="109"/>
      <c r="BC52" s="362">
        <v>11294.403750366248</v>
      </c>
      <c r="BD52" s="115">
        <v>12941.781423967186</v>
      </c>
      <c r="BE52" s="115">
        <v>18194.90184588339</v>
      </c>
      <c r="BF52" s="115">
        <v>21329.35833577498</v>
      </c>
      <c r="BG52" s="358">
        <v>540</v>
      </c>
      <c r="BH52" s="363">
        <f>('Cost-Effectiveness Level'!$B$3*BC52)+('Cost-Effectiveness Level'!$C$3*BD52)+('Cost-Effectiveness Level'!$D$3*BE52)+('Cost-Effectiveness Level'!$E$3*BF52)</f>
        <v>14344.96484031644</v>
      </c>
      <c r="BI52" s="109"/>
      <c r="BJ52" s="109"/>
      <c r="BK52" s="362">
        <v>8703.838265455612</v>
      </c>
      <c r="BL52" s="115">
        <v>10003.603867565193</v>
      </c>
      <c r="BM52" s="115">
        <v>14732.610606504542</v>
      </c>
      <c r="BN52" s="115">
        <v>17478.318195136246</v>
      </c>
      <c r="BO52" s="358">
        <v>540</v>
      </c>
      <c r="BP52" s="363">
        <f>('Cost-Effectiveness Level'!$B$3*BK52)+('Cost-Effectiveness Level'!$C$3*BL52)+('Cost-Effectiveness Level'!$D$3*BM52)+('Cost-Effectiveness Level'!$E$3*BN52)</f>
        <v>11299.638148256665</v>
      </c>
    </row>
    <row r="53" spans="2:68" ht="14.25">
      <c r="B53" s="453">
        <f>IF('850SF'!$AD43&gt;=1,'UA Optimizer'!$W49,'UA Optimizer'!$W48)</f>
        <v>2346.452458776272</v>
      </c>
      <c r="C53" s="524" t="b">
        <f t="shared" si="9"/>
        <v>0</v>
      </c>
      <c r="D53" s="332">
        <f>IF('1350SF'!$AD49&gt;=1,'UA Optimizer'!$AC49,'UA Optimizer'!$AC48)</f>
        <v>3058.2697637980755</v>
      </c>
      <c r="E53" s="292" t="b">
        <f t="shared" si="10"/>
        <v>0</v>
      </c>
      <c r="F53" s="331">
        <f>IF('2184SF'!$AD47&gt;=1,'UA Optimizer'!$AI49,'UA Optimizer'!$AI48)</f>
        <v>2736.967806867244</v>
      </c>
      <c r="G53" s="292" t="b">
        <f t="shared" si="11"/>
        <v>0</v>
      </c>
      <c r="AU53" s="362">
        <v>11561.08995019045</v>
      </c>
      <c r="AV53" s="115">
        <v>13289.51069440375</v>
      </c>
      <c r="AW53" s="115">
        <v>18493.261060650457</v>
      </c>
      <c r="AX53" s="115">
        <v>21602.959273366538</v>
      </c>
      <c r="AY53" s="358">
        <v>520</v>
      </c>
      <c r="AZ53" s="363">
        <f>('Cost-Effectiveness Level'!$B$3*AU53)+('Cost-Effectiveness Level'!$C$3*AV53)+('Cost-Effectiveness Level'!$D$3*AW53)+('Cost-Effectiveness Level'!$E$3*AX53)</f>
        <v>14660.436566070906</v>
      </c>
      <c r="BA53" s="109"/>
      <c r="BB53" s="109"/>
      <c r="BC53" s="362">
        <v>10672.780544975096</v>
      </c>
      <c r="BD53" s="115">
        <v>12225.725168473486</v>
      </c>
      <c r="BE53" s="115">
        <v>17283.79724582479</v>
      </c>
      <c r="BF53" s="115">
        <v>20268.766481101673</v>
      </c>
      <c r="BG53" s="358">
        <v>520</v>
      </c>
      <c r="BH53" s="363">
        <f>('Cost-Effectiveness Level'!$B$3*BC53)+('Cost-Effectiveness Level'!$C$3*BD53)+('Cost-Effectiveness Level'!$D$3*BE53)+('Cost-Effectiveness Level'!$E$3*BF53)</f>
        <v>13581.806328743043</v>
      </c>
      <c r="BI53" s="109"/>
      <c r="BJ53" s="109"/>
      <c r="BK53" s="362">
        <v>8143.158511573396</v>
      </c>
      <c r="BL53" s="115">
        <v>9368.825080574275</v>
      </c>
      <c r="BM53" s="115">
        <v>13885.965426311164</v>
      </c>
      <c r="BN53" s="115">
        <v>16512.276589510697</v>
      </c>
      <c r="BO53" s="358">
        <v>520</v>
      </c>
      <c r="BP53" s="363">
        <f>('Cost-Effectiveness Level'!$B$3*BK53)+('Cost-Effectiveness Level'!$C$3*BL53)+('Cost-Effectiveness Level'!$D$3*BM53)+('Cost-Effectiveness Level'!$E$3*BN53)</f>
        <v>10610.149428655142</v>
      </c>
    </row>
    <row r="54" spans="2:68" ht="14.25">
      <c r="B54" s="453">
        <f>IF('850SF'!$AD44&gt;=1,'UA Optimizer'!$W50,'UA Optimizer'!$W49)</f>
        <v>2558.952458776272</v>
      </c>
      <c r="C54" s="524" t="b">
        <f t="shared" si="9"/>
        <v>0</v>
      </c>
      <c r="D54" s="332">
        <f>IF('1350SF'!$AD50&gt;=1,'UA Optimizer'!$AC50,'UA Optimizer'!$AC49)</f>
        <v>3370.4639624192537</v>
      </c>
      <c r="E54" s="292" t="b">
        <f t="shared" si="10"/>
        <v>0</v>
      </c>
      <c r="F54" s="331">
        <f>IF('2184SF'!$AD48&gt;=1,'UA Optimizer'!$AI50,'UA Optimizer'!$AI49)</f>
        <v>2977.472967286522</v>
      </c>
      <c r="G54" s="292" t="b">
        <f t="shared" si="11"/>
        <v>0</v>
      </c>
      <c r="AU54" s="362">
        <v>10925.109874011136</v>
      </c>
      <c r="AV54" s="115">
        <v>12555.376501611487</v>
      </c>
      <c r="AW54" s="115">
        <v>17561.08995019045</v>
      </c>
      <c r="AX54" s="115">
        <v>20535.980076179316</v>
      </c>
      <c r="AY54" s="358">
        <v>500</v>
      </c>
      <c r="AZ54" s="363">
        <f>('Cost-Effectiveness Level'!$B$3*AU54)+('Cost-Effectiveness Level'!$C$3*AV54)+('Cost-Effectiveness Level'!$D$3*AW54)+('Cost-Effectiveness Level'!$E$3*AX54)</f>
        <v>13879.78171696455</v>
      </c>
      <c r="BA54" s="109"/>
      <c r="BB54" s="109"/>
      <c r="BC54" s="362">
        <v>10052.915323762087</v>
      </c>
      <c r="BD54" s="115">
        <v>11513.712276589513</v>
      </c>
      <c r="BE54" s="115">
        <v>16375.388221506006</v>
      </c>
      <c r="BF54" s="115">
        <v>19211.807793729855</v>
      </c>
      <c r="BG54" s="358">
        <v>500</v>
      </c>
      <c r="BH54" s="363">
        <f>('Cost-Effectiveness Level'!$B$3*BC54)+('Cost-Effectiveness Level'!$C$3*BD54)+('Cost-Effectiveness Level'!$D$3*BE54)+('Cost-Effectiveness Level'!$E$3*BF54)</f>
        <v>12821.876648110168</v>
      </c>
      <c r="BI54" s="109"/>
      <c r="BJ54" s="109"/>
      <c r="BK54" s="362">
        <v>7590.448285965427</v>
      </c>
      <c r="BL54" s="115">
        <v>8739.26164664518</v>
      </c>
      <c r="BM54" s="115">
        <v>13046.498681511866</v>
      </c>
      <c r="BN54" s="115">
        <v>15553.970114268972</v>
      </c>
      <c r="BO54" s="358">
        <v>500</v>
      </c>
      <c r="BP54" s="363">
        <f>('Cost-Effectiveness Level'!$B$3*BK54)+('Cost-Effectiveness Level'!$C$3*BL54)+('Cost-Effectiveness Level'!$D$3*BM54)+('Cost-Effectiveness Level'!$E$3*BN54)</f>
        <v>9927.04365660709</v>
      </c>
    </row>
    <row r="55" spans="2:68" ht="14.25">
      <c r="B55" s="453">
        <f>IF('850SF'!$AD45&gt;=1,'UA Optimizer'!$W51,'UA Optimizer'!$W50)</f>
        <v>4064.114749736161</v>
      </c>
      <c r="C55" s="524" t="b">
        <f t="shared" si="9"/>
        <v>1</v>
      </c>
      <c r="D55" s="332">
        <f>IF('1350SF'!$AD51&gt;=1,'UA Optimizer'!$AC51,'UA Optimizer'!$AC50)</f>
        <v>3504.2614761140444</v>
      </c>
      <c r="E55" s="292" t="b">
        <f t="shared" si="10"/>
        <v>0</v>
      </c>
      <c r="F55" s="331">
        <f>IF('2184SF'!$AD49&gt;=1,'UA Optimizer'!$AI51,'UA Optimizer'!$AI50)</f>
        <v>3159.472967286522</v>
      </c>
      <c r="G55" s="292" t="b">
        <f t="shared" si="11"/>
        <v>0</v>
      </c>
      <c r="AU55" s="362">
        <v>10291.97187225315</v>
      </c>
      <c r="AV55" s="115">
        <v>11823.058892469968</v>
      </c>
      <c r="AW55" s="115">
        <v>16632.58130676824</v>
      </c>
      <c r="AX55" s="115">
        <v>19468.85438031058</v>
      </c>
      <c r="AY55" s="358">
        <v>480</v>
      </c>
      <c r="AZ55" s="363">
        <f>('Cost-Effectiveness Level'!$B$3*AU55)+('Cost-Effectiveness Level'!$C$3*AV55)+('Cost-Effectiveness Level'!$D$3*AW55)+('Cost-Effectiveness Level'!$E$3*AX55)</f>
        <v>13101.511866393203</v>
      </c>
      <c r="BA55" s="109"/>
      <c r="BB55" s="109"/>
      <c r="BC55" s="362">
        <v>9435.745678288897</v>
      </c>
      <c r="BD55" s="115">
        <v>10805.156753589219</v>
      </c>
      <c r="BE55" s="115">
        <v>15472.546147084679</v>
      </c>
      <c r="BF55" s="115">
        <v>18161.412247289776</v>
      </c>
      <c r="BG55" s="358">
        <v>480</v>
      </c>
      <c r="BH55" s="363">
        <f>('Cost-Effectiveness Level'!$B$3*BC55)+('Cost-Effectiveness Level'!$C$3*BD55)+('Cost-Effectiveness Level'!$D$3*BE55)+('Cost-Effectiveness Level'!$E$3*BF55)</f>
        <v>12065.934661588048</v>
      </c>
      <c r="BI55" s="109"/>
      <c r="BJ55" s="109"/>
      <c r="BK55" s="362">
        <v>7045.941986522122</v>
      </c>
      <c r="BL55" s="115">
        <v>8114.825666569001</v>
      </c>
      <c r="BM55" s="115">
        <v>12207.412833284501</v>
      </c>
      <c r="BN55" s="115">
        <v>14599.355405801349</v>
      </c>
      <c r="BO55" s="358">
        <v>480</v>
      </c>
      <c r="BP55" s="363">
        <f>('Cost-Effectiveness Level'!$B$3*BK55)+('Cost-Effectiveness Level'!$C$3*BL55)+('Cost-Effectiveness Level'!$D$3*BM55)+('Cost-Effectiveness Level'!$E$3*BN55)</f>
        <v>9248.422209200118</v>
      </c>
    </row>
    <row r="56" spans="2:68" ht="14.25">
      <c r="B56" s="453">
        <f>IF('850SF'!$AD46&gt;=1,'UA Optimizer'!$W52,'UA Optimizer'!$W51)</f>
        <v>4064.114749736161</v>
      </c>
      <c r="C56" s="524" t="b">
        <f t="shared" si="9"/>
        <v>0</v>
      </c>
      <c r="D56" s="332">
        <f>IF('1350SF'!$AD52&gt;=1,'UA Optimizer'!$AC52,'UA Optimizer'!$AC51)</f>
        <v>3841.7614761140444</v>
      </c>
      <c r="E56" s="292" t="b">
        <f t="shared" si="10"/>
        <v>0</v>
      </c>
      <c r="F56" s="331">
        <f>IF('2184SF'!$AD50&gt;=1,'UA Optimizer'!$AI52,'UA Optimizer'!$AI51)</f>
        <v>8203.367878481893</v>
      </c>
      <c r="G56" s="292" t="b">
        <f t="shared" si="11"/>
        <v>0</v>
      </c>
      <c r="AU56" s="362">
        <v>9663.08233225901</v>
      </c>
      <c r="AV56" s="115">
        <v>11094.696747729271</v>
      </c>
      <c r="AW56" s="115">
        <v>15707.793729856432</v>
      </c>
      <c r="AX56" s="115">
        <v>18402.69557573982</v>
      </c>
      <c r="AY56" s="358">
        <v>460</v>
      </c>
      <c r="AZ56" s="363">
        <f>('Cost-Effectiveness Level'!$B$3*AU56)+('Cost-Effectiveness Level'!$C$3*AV56)+('Cost-Effectiveness Level'!$D$3*AW56)+('Cost-Effectiveness Level'!$E$3*AX56)</f>
        <v>12327.048051567535</v>
      </c>
      <c r="BA56" s="109"/>
      <c r="BB56" s="109"/>
      <c r="BC56" s="362">
        <v>8823.996484031644</v>
      </c>
      <c r="BD56" s="115">
        <v>10102.021681804863</v>
      </c>
      <c r="BE56" s="115">
        <v>14572.458247875771</v>
      </c>
      <c r="BF56" s="115">
        <v>17114.210372106652</v>
      </c>
      <c r="BG56" s="358">
        <v>460</v>
      </c>
      <c r="BH56" s="363">
        <f>('Cost-Effectiveness Level'!$B$3*BC56)+('Cost-Effectiveness Level'!$C$3*BD56)+('Cost-Effectiveness Level'!$D$3*BE56)+('Cost-Effectiveness Level'!$E$3*BF56)</f>
        <v>11314.635218283036</v>
      </c>
      <c r="BI56" s="109"/>
      <c r="BJ56" s="109"/>
      <c r="BK56" s="362">
        <v>6506.797538822151</v>
      </c>
      <c r="BL56" s="115">
        <v>7501.201289188397</v>
      </c>
      <c r="BM56" s="115">
        <v>11372.546147084677</v>
      </c>
      <c r="BN56" s="115">
        <v>13655.464400820392</v>
      </c>
      <c r="BO56" s="358">
        <v>460</v>
      </c>
      <c r="BP56" s="363">
        <f>('Cost-Effectiveness Level'!$B$3*BK56)+('Cost-Effectiveness Level'!$C$3*BL56)+('Cost-Effectiveness Level'!$D$3*BM56)+('Cost-Effectiveness Level'!$E$3*BN56)</f>
        <v>8577.869909170817</v>
      </c>
    </row>
    <row r="57" spans="2:68" ht="14.25">
      <c r="B57" s="453">
        <f>IF('850SF'!$AD47&gt;=1,'UA Optimizer'!$W53,'UA Optimizer'!$W52)</f>
        <v>4174.614749736161</v>
      </c>
      <c r="C57" s="524" t="b">
        <f t="shared" si="9"/>
        <v>0</v>
      </c>
      <c r="D57" s="332">
        <f>IF('1350SF'!$AD53&gt;=1,'UA Optimizer'!$AC53,'UA Optimizer'!$AC52)</f>
        <v>6227.603830933442</v>
      </c>
      <c r="E57" s="292" t="b">
        <f t="shared" si="10"/>
        <v>1</v>
      </c>
      <c r="F57" s="331">
        <f>IF('2184SF'!$AD51&gt;=1,'UA Optimizer'!$AI53,'UA Optimizer'!$AI52)</f>
        <v>8609.447878481893</v>
      </c>
      <c r="G57" s="292" t="b">
        <f t="shared" si="11"/>
        <v>1</v>
      </c>
      <c r="AU57" s="362">
        <v>7799.12100791093</v>
      </c>
      <c r="AV57" s="115">
        <v>8942.71901552886</v>
      </c>
      <c r="AW57" s="115">
        <v>12957.222384998535</v>
      </c>
      <c r="AX57" s="115">
        <v>15219.425725168474</v>
      </c>
      <c r="AY57" s="358">
        <v>400</v>
      </c>
      <c r="AZ57" s="363">
        <f>('Cost-Effectiveness Level'!$B$3*AU57)+('Cost-Effectiveness Level'!$C$3*AV57)+('Cost-Effectiveness Level'!$D$3*AW57)+('Cost-Effectiveness Level'!$E$3*AX57)</f>
        <v>10031.460591854673</v>
      </c>
      <c r="BA57" s="109"/>
      <c r="BB57" s="109"/>
      <c r="BC57" s="362">
        <v>7023.703486668621</v>
      </c>
      <c r="BD57" s="115">
        <v>8037.210665104015</v>
      </c>
      <c r="BE57" s="115">
        <v>11894.726047465572</v>
      </c>
      <c r="BF57" s="115">
        <v>14003.92616466452</v>
      </c>
      <c r="BG57" s="358">
        <v>400</v>
      </c>
      <c r="BH57" s="363">
        <f>('Cost-Effectiveness Level'!$B$3*BC57)+('Cost-Effectiveness Level'!$C$3*BD57)+('Cost-Effectiveness Level'!$D$3*BE57)+('Cost-Effectiveness Level'!$E$3*BF57)</f>
        <v>9097.22384998535</v>
      </c>
      <c r="BI57" s="109"/>
      <c r="BJ57" s="109"/>
      <c r="BK57" s="362">
        <v>4917.2868444184005</v>
      </c>
      <c r="BL57" s="115">
        <v>5716.759449164958</v>
      </c>
      <c r="BM57" s="115">
        <v>8927.981248168768</v>
      </c>
      <c r="BN57" s="115">
        <v>10853.0911221799</v>
      </c>
      <c r="BO57" s="358">
        <v>400</v>
      </c>
      <c r="BP57" s="363">
        <f>('Cost-Effectiveness Level'!$B$3*BK57)+('Cost-Effectiveness Level'!$C$3*BL57)+('Cost-Effectiveness Level'!$D$3*BM57)+('Cost-Effectiveness Level'!$E$3*BN57)</f>
        <v>6616.4869616173455</v>
      </c>
    </row>
    <row r="58" spans="2:68" ht="14.25">
      <c r="B58" s="453">
        <f>IF('850SF'!$AD48&gt;=1,'UA Optimizer'!$W54,'UA Optimizer'!$W53)</f>
        <v>4599.614749736161</v>
      </c>
      <c r="C58" s="524" t="b">
        <f t="shared" si="9"/>
        <v>0</v>
      </c>
      <c r="D58" s="332">
        <f>IF('1350SF'!$AD54&gt;=1,'UA Optimizer'!$AC54,'UA Optimizer'!$AC53)</f>
        <v>6227.603830933442</v>
      </c>
      <c r="E58" s="292" t="b">
        <f t="shared" si="10"/>
        <v>0</v>
      </c>
      <c r="F58" s="331">
        <f>IF('2184SF'!$AD52&gt;=1,'UA Optimizer'!$AI54,'UA Optimizer'!$AI53)</f>
        <v>8609.447878481893</v>
      </c>
      <c r="G58" s="292" t="b">
        <f t="shared" si="11"/>
        <v>0</v>
      </c>
      <c r="AU58" s="362">
        <v>7186.229123937885</v>
      </c>
      <c r="AV58" s="115">
        <v>8234.573688836801</v>
      </c>
      <c r="AW58" s="115">
        <v>12048.696161734544</v>
      </c>
      <c r="AX58" s="115">
        <v>14164.371520656316</v>
      </c>
      <c r="AY58" s="358">
        <v>380</v>
      </c>
      <c r="AZ58" s="363">
        <f>('Cost-Effectiveness Level'!$B$3*AU58)+('Cost-Effectiveness Level'!$C$3*AV58)+('Cost-Effectiveness Level'!$D$3*AW58)+('Cost-Effectiveness Level'!$E$3*AX58)</f>
        <v>9274.925285672429</v>
      </c>
      <c r="BA58" s="109"/>
      <c r="BB58" s="109"/>
      <c r="BC58" s="362">
        <v>6434.4857896278945</v>
      </c>
      <c r="BD58" s="115">
        <v>7366.070905361853</v>
      </c>
      <c r="BE58" s="115">
        <v>11013.155581599767</v>
      </c>
      <c r="BF58" s="115">
        <v>12981.570465865807</v>
      </c>
      <c r="BG58" s="358">
        <v>380</v>
      </c>
      <c r="BH58" s="363">
        <f>('Cost-Effectiveness Level'!$B$3*BC58)+('Cost-Effectiveness Level'!$C$3*BD58)+('Cost-Effectiveness Level'!$D$3*BE58)+('Cost-Effectiveness Level'!$E$3*BF58)</f>
        <v>8372.300029299739</v>
      </c>
      <c r="BI58" s="109"/>
      <c r="BJ58" s="109"/>
      <c r="BK58" s="362">
        <v>4396.278933489599</v>
      </c>
      <c r="BL58" s="115">
        <v>5145.238792850865</v>
      </c>
      <c r="BM58" s="115">
        <v>8132.815704658658</v>
      </c>
      <c r="BN58" s="115">
        <v>9932.639906240844</v>
      </c>
      <c r="BO58" s="358">
        <v>380</v>
      </c>
      <c r="BP58" s="363">
        <f>('Cost-Effectiveness Level'!$B$3*BK58)+('Cost-Effectiveness Level'!$C$3*BL58)+('Cost-Effectiveness Level'!$D$3*BM58)+('Cost-Effectiveness Level'!$E$3*BN58)</f>
        <v>5981.711104600059</v>
      </c>
    </row>
    <row r="59" spans="2:68" ht="14.25">
      <c r="B59" s="453">
        <f>IF('850SF'!$AD49&gt;=1,'UA Optimizer'!$W55,'UA Optimizer'!$W54)</f>
        <v>4754.287888846751</v>
      </c>
      <c r="C59" s="524" t="b">
        <f t="shared" si="9"/>
        <v>0</v>
      </c>
      <c r="D59" s="332">
        <f>IF('1350SF'!$AD55&gt;=1,'UA Optimizer'!$AC55,'UA Optimizer'!$AC54)</f>
        <v>6403.103830933442</v>
      </c>
      <c r="E59" s="292" t="b">
        <f t="shared" si="10"/>
        <v>0</v>
      </c>
      <c r="F59" s="331">
        <f>IF('2184SF'!$AD53&gt;=1,'UA Optimizer'!$AI55,'UA Optimizer'!$AI54)</f>
        <v>8704.087878481892</v>
      </c>
      <c r="G59" s="292" t="b">
        <f t="shared" si="11"/>
        <v>0</v>
      </c>
      <c r="AU59" s="362">
        <v>6576.560210958101</v>
      </c>
      <c r="AV59" s="115">
        <v>7532.053911514798</v>
      </c>
      <c r="AW59" s="115">
        <v>11146.02988573103</v>
      </c>
      <c r="AX59" s="115">
        <v>13114.532669205979</v>
      </c>
      <c r="AY59" s="358">
        <v>360</v>
      </c>
      <c r="AZ59" s="363">
        <f>('Cost-Effectiveness Level'!$B$3*AU59)+('Cost-Effectiveness Level'!$C$3*AV59)+('Cost-Effectiveness Level'!$D$3*AW59)+('Cost-Effectiveness Level'!$E$3*AX59)</f>
        <v>8523.573102842076</v>
      </c>
      <c r="BA59" s="109"/>
      <c r="BB59" s="109"/>
      <c r="BC59" s="362">
        <v>5854.175212423088</v>
      </c>
      <c r="BD59" s="115">
        <v>6702.138880750074</v>
      </c>
      <c r="BE59" s="115">
        <v>10134.866686199826</v>
      </c>
      <c r="BF59" s="115">
        <v>11967.447992968064</v>
      </c>
      <c r="BG59" s="358">
        <v>360</v>
      </c>
      <c r="BH59" s="363">
        <f>('Cost-Effectiveness Level'!$B$3*BC59)+('Cost-Effectiveness Level'!$C$3*BD59)+('Cost-Effectiveness Level'!$D$3*BE59)+('Cost-Effectiveness Level'!$E$3*BF59)</f>
        <v>7653.9935540580145</v>
      </c>
      <c r="BI59" s="109"/>
      <c r="BJ59" s="109"/>
      <c r="BK59" s="362">
        <v>3883.357749780252</v>
      </c>
      <c r="BL59" s="115">
        <v>4585.877527102257</v>
      </c>
      <c r="BM59" s="115">
        <v>7349.428655142104</v>
      </c>
      <c r="BN59" s="115">
        <v>9024.787576911807</v>
      </c>
      <c r="BO59" s="358">
        <v>360</v>
      </c>
      <c r="BP59" s="363">
        <f>('Cost-Effectiveness Level'!$B$3*BK59)+('Cost-Effectiveness Level'!$C$3*BL59)+('Cost-Effectiveness Level'!$D$3*BM59)+('Cost-Effectiveness Level'!$E$3*BN59)</f>
        <v>5358.206856138295</v>
      </c>
    </row>
    <row r="60" spans="2:68" ht="14.25">
      <c r="B60" s="453">
        <f>IF('850SF'!$AD50&gt;=1,'UA Optimizer'!$W56,'UA Optimizer'!$W55)</f>
        <v>5205.487888846751</v>
      </c>
      <c r="C60" s="524" t="b">
        <f t="shared" si="9"/>
        <v>0</v>
      </c>
      <c r="D60" s="332">
        <f>IF('1350SF'!$AD56&gt;=1,'UA Optimizer'!$AC56,'UA Optimizer'!$AC55)</f>
        <v>6575.063967944628</v>
      </c>
      <c r="E60" s="292" t="b">
        <f t="shared" si="10"/>
        <v>0</v>
      </c>
      <c r="F60" s="331">
        <f>IF('2184SF'!$AD54&gt;=1,'UA Optimizer'!$AI56,'UA Optimizer'!$AI55)</f>
        <v>8836.56087292014</v>
      </c>
      <c r="G60" s="292" t="b">
        <f t="shared" si="11"/>
        <v>0</v>
      </c>
      <c r="AU60" s="362">
        <v>5973.45443891005</v>
      </c>
      <c r="AV60" s="115">
        <v>6839.290946381483</v>
      </c>
      <c r="AW60" s="115">
        <v>10249.164957515384</v>
      </c>
      <c r="AX60" s="115">
        <v>12070.143568707883</v>
      </c>
      <c r="AY60" s="358">
        <v>340</v>
      </c>
      <c r="AZ60" s="363">
        <f>('Cost-Effectiveness Level'!$B$3*AU60)+('Cost-Effectiveness Level'!$C$3*AV60)+('Cost-Effectiveness Level'!$D$3*AW60)+('Cost-Effectiveness Level'!$E$3*AX60)</f>
        <v>7780.134778786992</v>
      </c>
      <c r="BA60" s="109"/>
      <c r="BB60" s="109"/>
      <c r="BC60" s="362">
        <v>5280.515675358923</v>
      </c>
      <c r="BD60" s="115">
        <v>6045.971286258425</v>
      </c>
      <c r="BE60" s="115">
        <v>9260.181658365074</v>
      </c>
      <c r="BF60" s="115">
        <v>10960.445355991797</v>
      </c>
      <c r="BG60" s="358">
        <v>340</v>
      </c>
      <c r="BH60" s="363">
        <f>('Cost-Effectiveness Level'!$B$3*BC60)+('Cost-Effectiveness Level'!$C$3*BD60)+('Cost-Effectiveness Level'!$D$3*BE60)+('Cost-Effectiveness Level'!$E$3*BF60)</f>
        <v>6942.156460591856</v>
      </c>
      <c r="BI60" s="109"/>
      <c r="BJ60" s="109"/>
      <c r="BK60" s="362">
        <v>3400.146498681512</v>
      </c>
      <c r="BL60" s="115">
        <v>4033.343099912101</v>
      </c>
      <c r="BM60" s="115">
        <v>6590.711983592148</v>
      </c>
      <c r="BN60" s="115">
        <v>8130.061529446236</v>
      </c>
      <c r="BO60" s="358">
        <v>340</v>
      </c>
      <c r="BP60" s="363">
        <f>('Cost-Effectiveness Level'!$B$3*BK60)+('Cost-Effectiveness Level'!$C$3*BL60)+('Cost-Effectiveness Level'!$D$3*BM60)+('Cost-Effectiveness Level'!$E$3*BN60)</f>
        <v>4750.881922062702</v>
      </c>
    </row>
    <row r="61" spans="2:68" ht="14.25">
      <c r="B61" s="453">
        <f>IF('850SF'!$AD51&gt;=1,'UA Optimizer'!$W57,'UA Optimizer'!$W56)</f>
        <v>5805.956638846751</v>
      </c>
      <c r="C61" s="524" t="b">
        <f t="shared" si="9"/>
        <v>0</v>
      </c>
      <c r="D61" s="332">
        <f>IF('1350SF'!$AD57&gt;=1,'UA Optimizer'!$AC57,'UA Optimizer'!$AC56)</f>
        <v>7290.263967944627</v>
      </c>
      <c r="E61" s="292" t="b">
        <f t="shared" si="10"/>
        <v>0</v>
      </c>
      <c r="F61" s="331">
        <f>IF('2184SF'!$AD55&gt;=1,'UA Optimizer'!$AI57,'UA Optimizer'!$AI56)</f>
        <v>10348.56087292014</v>
      </c>
      <c r="G61" s="292" t="b">
        <f t="shared" si="11"/>
        <v>0</v>
      </c>
      <c r="AU61" s="362">
        <v>5381.3067682390865</v>
      </c>
      <c r="AV61" s="115">
        <v>6159.097568121887</v>
      </c>
      <c r="AW61" s="115">
        <v>9360.4746557281</v>
      </c>
      <c r="AX61" s="115">
        <v>11035.013184881336</v>
      </c>
      <c r="AY61" s="358">
        <v>320</v>
      </c>
      <c r="AZ61" s="363">
        <f>('Cost-Effectiveness Level'!$B$3*AU61)+('Cost-Effectiveness Level'!$C$3*AV61)+('Cost-Effectiveness Level'!$D$3*AW61)+('Cost-Effectiveness Level'!$E$3*AX61)</f>
        <v>7047.679460884852</v>
      </c>
      <c r="BA61" s="109"/>
      <c r="BB61" s="109"/>
      <c r="BC61" s="362">
        <v>4711.397597421624</v>
      </c>
      <c r="BD61" s="115">
        <v>5400.292997363024</v>
      </c>
      <c r="BE61" s="115">
        <v>8396.601230588925</v>
      </c>
      <c r="BF61" s="115">
        <v>9963.72692645766</v>
      </c>
      <c r="BG61" s="358">
        <v>320</v>
      </c>
      <c r="BH61" s="363">
        <f>('Cost-Effectiveness Level'!$B$3*BC61)+('Cost-Effectiveness Level'!$C$3*BD61)+('Cost-Effectiveness Level'!$D$3*BE61)+('Cost-Effectiveness Level'!$E$3*BF61)</f>
        <v>6239.762672135951</v>
      </c>
      <c r="BI61" s="109"/>
      <c r="BJ61" s="109"/>
      <c r="BK61" s="362">
        <v>2942.22092001172</v>
      </c>
      <c r="BL61" s="115">
        <v>3492.46996777029</v>
      </c>
      <c r="BM61" s="115">
        <v>5846.498681511866</v>
      </c>
      <c r="BN61" s="115">
        <v>7246.9088778201</v>
      </c>
      <c r="BO61" s="358">
        <v>320</v>
      </c>
      <c r="BP61" s="363">
        <f>('Cost-Effectiveness Level'!$B$3*BK61)+('Cost-Effectiveness Level'!$C$3*BL61)+('Cost-Effectiveness Level'!$D$3*BM61)+('Cost-Effectiveness Level'!$E$3*BN61)</f>
        <v>4158.649282156461</v>
      </c>
    </row>
    <row r="62" spans="2:68" ht="14.25">
      <c r="B62" s="453"/>
      <c r="C62" s="524"/>
      <c r="D62" s="332">
        <f>IF('1350SF'!$AD58&gt;=1,'UA Optimizer'!$AC58,'UA Optimizer'!$AC57)</f>
        <v>7890.732717944627</v>
      </c>
      <c r="E62" s="292" t="b">
        <f t="shared" si="10"/>
        <v>0</v>
      </c>
      <c r="F62" s="331">
        <f>IF('2184SF'!$AD56&gt;=1,'UA Optimizer'!$AI58,'UA Optimizer'!$AI57)</f>
        <v>10949.02962292014</v>
      </c>
      <c r="G62" s="292" t="b">
        <f t="shared" si="11"/>
        <v>0</v>
      </c>
      <c r="AU62" s="362">
        <v>4794.022853794316</v>
      </c>
      <c r="AV62" s="115">
        <v>5489.01259888661</v>
      </c>
      <c r="AW62" s="115">
        <v>8476.648110167009</v>
      </c>
      <c r="AX62" s="115">
        <v>10006.445941986523</v>
      </c>
      <c r="AY62" s="358">
        <v>300</v>
      </c>
      <c r="AZ62" s="363">
        <f>('Cost-Effectiveness Level'!$B$3*AU62)+('Cost-Effectiveness Level'!$C$3*AV62)+('Cost-Effectiveness Level'!$D$3*AW62)+('Cost-Effectiveness Level'!$E$3*AX62)</f>
        <v>6322.795194843247</v>
      </c>
      <c r="BA62" s="109"/>
      <c r="BB62" s="109"/>
      <c r="BC62" s="362">
        <v>4150.190448285965</v>
      </c>
      <c r="BD62" s="115">
        <v>4768.942279519484</v>
      </c>
      <c r="BE62" s="115">
        <v>7547.113975974216</v>
      </c>
      <c r="BF62" s="115">
        <v>8980.339876941109</v>
      </c>
      <c r="BG62" s="358">
        <v>300</v>
      </c>
      <c r="BH62" s="363">
        <f>('Cost-Effectiveness Level'!$B$3*BC62)+('Cost-Effectiveness Level'!$C$3*BD62)+('Cost-Effectiveness Level'!$D$3*BE62)+('Cost-Effectiveness Level'!$E$3*BF62)</f>
        <v>5550.304717257544</v>
      </c>
      <c r="BI62" s="109"/>
      <c r="BJ62" s="109"/>
      <c r="BK62" s="362">
        <v>2507.061236448872</v>
      </c>
      <c r="BL62" s="115">
        <v>2975.4175212423092</v>
      </c>
      <c r="BM62" s="115">
        <v>5139.847641371228</v>
      </c>
      <c r="BN62" s="115">
        <v>6378.933489598594</v>
      </c>
      <c r="BO62" s="358">
        <v>300</v>
      </c>
      <c r="BP62" s="363">
        <f>('Cost-Effectiveness Level'!$B$3*BK62)+('Cost-Effectiveness Level'!$C$3*BL62)+('Cost-Effectiveness Level'!$D$3*BM62)+('Cost-Effectiveness Level'!$E$3*BN62)</f>
        <v>3593.029592733666</v>
      </c>
    </row>
    <row r="63" spans="2:68" ht="14.25">
      <c r="B63" s="453"/>
      <c r="C63" s="524"/>
      <c r="D63" s="332">
        <f>IF('1350SF'!$AD59&gt;=1,'UA Optimizer'!$AC59,'UA Optimizer'!$AC58)</f>
        <v>8565.732717944627</v>
      </c>
      <c r="E63" s="292" t="b">
        <f t="shared" si="10"/>
        <v>0</v>
      </c>
      <c r="F63" s="331">
        <f>IF('2184SF'!$AD57&gt;=1,'UA Optimizer'!$AI59,'UA Optimizer'!$AI58)</f>
        <v>12041.02962292014</v>
      </c>
      <c r="G63" s="292" t="b">
        <f t="shared" si="11"/>
        <v>0</v>
      </c>
      <c r="AU63" s="362">
        <v>4216.818048637562</v>
      </c>
      <c r="AV63" s="115">
        <v>4830.676823908585</v>
      </c>
      <c r="AW63" s="115">
        <v>7601.611485496631</v>
      </c>
      <c r="AX63" s="115">
        <v>8990.887782009962</v>
      </c>
      <c r="AY63" s="358">
        <v>280</v>
      </c>
      <c r="AZ63" s="363">
        <f>('Cost-Effectiveness Level'!$B$3*AU63)+('Cost-Effectiveness Level'!$C$3*AV63)+('Cost-Effectiveness Level'!$D$3*AW63)+('Cost-Effectiveness Level'!$E$3*AX63)</f>
        <v>5608.649282156461</v>
      </c>
      <c r="BA63" s="109"/>
      <c r="BB63" s="109"/>
      <c r="BC63" s="362">
        <v>3600.3808965719313</v>
      </c>
      <c r="BD63" s="115">
        <v>4155.815997656021</v>
      </c>
      <c r="BE63" s="115">
        <v>6710.401406387343</v>
      </c>
      <c r="BF63" s="115">
        <v>8012.364488719602</v>
      </c>
      <c r="BG63" s="358">
        <v>280</v>
      </c>
      <c r="BH63" s="363">
        <f>('Cost-Effectiveness Level'!$B$3*BC63)+('Cost-Effectiveness Level'!$C$3*BD63)+('Cost-Effectiveness Level'!$D$3*BE63)+('Cost-Effectiveness Level'!$E$3*BF63)</f>
        <v>4876.202754175212</v>
      </c>
      <c r="BI63" s="109"/>
      <c r="BJ63" s="109"/>
      <c r="BK63" s="362">
        <v>2102.256079695283</v>
      </c>
      <c r="BL63" s="115">
        <v>2483.9730442426016</v>
      </c>
      <c r="BM63" s="115">
        <v>4464.283621447407</v>
      </c>
      <c r="BN63" s="115">
        <v>5520.304717257544</v>
      </c>
      <c r="BO63" s="358">
        <v>280</v>
      </c>
      <c r="BP63" s="363">
        <f>('Cost-Effectiveness Level'!$B$3*BK63)+('Cost-Effectiveness Level'!$C$3*BL63)+('Cost-Effectiveness Level'!$D$3*BM63)+('Cost-Effectiveness Level'!$E$3*BN63)</f>
        <v>3054.5238792850864</v>
      </c>
    </row>
    <row r="64" spans="2:68" ht="14.25">
      <c r="B64" s="453"/>
      <c r="C64" s="524"/>
      <c r="D64" s="332">
        <f>IF('1350SF'!$AD60&gt;=1,'UA Optimizer'!$AC60,'UA Optimizer'!$AC59)</f>
        <v>8639.42991952085</v>
      </c>
      <c r="E64" s="292" t="b">
        <f t="shared" si="10"/>
        <v>0</v>
      </c>
      <c r="F64" s="331"/>
      <c r="G64" s="292"/>
      <c r="AU64" s="362">
        <v>3650.512745385292</v>
      </c>
      <c r="AV64" s="115">
        <v>4187.694110753004</v>
      </c>
      <c r="AW64" s="115">
        <v>6733.07940228538</v>
      </c>
      <c r="AX64" s="115">
        <v>7985.496630530326</v>
      </c>
      <c r="AY64" s="358">
        <v>260</v>
      </c>
      <c r="AZ64" s="363">
        <f>('Cost-Effectiveness Level'!$B$3*AU64)+('Cost-Effectiveness Level'!$C$3*AV64)+('Cost-Effectiveness Level'!$D$3*AW64)+('Cost-Effectiveness Level'!$E$3*AX64)</f>
        <v>4906.494286551421</v>
      </c>
      <c r="BA64" s="109"/>
      <c r="BB64" s="109"/>
      <c r="BC64" s="362">
        <v>3070.49516554351</v>
      </c>
      <c r="BD64" s="115">
        <v>3555.3179021388805</v>
      </c>
      <c r="BE64" s="115">
        <v>5884.646938177557</v>
      </c>
      <c r="BF64" s="115">
        <v>7061.119249926751</v>
      </c>
      <c r="BG64" s="358">
        <v>260</v>
      </c>
      <c r="BH64" s="363">
        <f>('Cost-Effectiveness Level'!$B$3*BC64)+('Cost-Effectiveness Level'!$C$3*BD64)+('Cost-Effectiveness Level'!$D$3*BE64)+('Cost-Effectiveness Level'!$E$3*BF64)</f>
        <v>4215.97568121887</v>
      </c>
      <c r="BI64" s="109"/>
      <c r="BJ64" s="109"/>
      <c r="BK64" s="362">
        <v>1722.7658951069443</v>
      </c>
      <c r="BL64" s="115">
        <v>2021.740404336361</v>
      </c>
      <c r="BM64" s="115">
        <v>3807.03193671257</v>
      </c>
      <c r="BN64" s="115">
        <v>4680.603574567829</v>
      </c>
      <c r="BO64" s="358">
        <v>260</v>
      </c>
      <c r="BP64" s="363">
        <f>('Cost-Effectiveness Level'!$B$3*BK64)+('Cost-Effectiveness Level'!$C$3*BL64)+('Cost-Effectiveness Level'!$D$3*BM64)+('Cost-Effectiveness Level'!$E$3*BN64)</f>
        <v>2541.2115440961034</v>
      </c>
    </row>
    <row r="65" spans="47:68" ht="14.25">
      <c r="AU65" s="362">
        <v>3092.7043656607093</v>
      </c>
      <c r="AV65" s="115">
        <v>3559.654263111632</v>
      </c>
      <c r="AW65" s="115">
        <v>5876.7946088485205</v>
      </c>
      <c r="AX65" s="115">
        <v>6996.571930852622</v>
      </c>
      <c r="AY65" s="358">
        <v>240</v>
      </c>
      <c r="AZ65" s="363">
        <f>('Cost-Effectiveness Level'!$B$3*AU65)+('Cost-Effectiveness Level'!$C$3*AV65)+('Cost-Effectiveness Level'!$D$3*AW65)+('Cost-Effectiveness Level'!$E$3*AX65)</f>
        <v>4217.395253442719</v>
      </c>
      <c r="BA65" s="109"/>
      <c r="BB65" s="109"/>
      <c r="BC65" s="362">
        <v>2557.5153823615587</v>
      </c>
      <c r="BD65" s="115">
        <v>2970.143568707882</v>
      </c>
      <c r="BE65" s="115">
        <v>5068.532083211252</v>
      </c>
      <c r="BF65" s="115">
        <v>6130.3838265455615</v>
      </c>
      <c r="BG65" s="358">
        <v>240</v>
      </c>
      <c r="BH65" s="363">
        <f>('Cost-Effectiveness Level'!$B$3*BC65)+('Cost-Effectiveness Level'!$C$3*BD65)+('Cost-Effectiveness Level'!$D$3*BE65)+('Cost-Effectiveness Level'!$E$3*BF65)</f>
        <v>3570.227072956344</v>
      </c>
      <c r="BI65" s="109"/>
      <c r="BJ65" s="109"/>
      <c r="BK65" s="362">
        <v>1362.613536478172</v>
      </c>
      <c r="BL65" s="115">
        <v>1584.148842660416</v>
      </c>
      <c r="BM65" s="115">
        <v>3182.7424553179026</v>
      </c>
      <c r="BN65" s="115">
        <v>3894.140052739526</v>
      </c>
      <c r="BO65" s="358">
        <v>240</v>
      </c>
      <c r="BP65" s="363">
        <f>('Cost-Effectiveness Level'!$B$3*BK65)+('Cost-Effectiveness Level'!$C$3*BL65)+('Cost-Effectiveness Level'!$D$3*BM65)+('Cost-Effectiveness Level'!$E$3*BN65)</f>
        <v>2054.9897450922945</v>
      </c>
    </row>
    <row r="66" spans="47:68" ht="14.25">
      <c r="AU66" s="362">
        <v>2548.608262525637</v>
      </c>
      <c r="AV66" s="115">
        <v>2946.645180193378</v>
      </c>
      <c r="AW66" s="115">
        <v>5038.76355112804</v>
      </c>
      <c r="AX66" s="115">
        <v>6026.223263990624</v>
      </c>
      <c r="AY66" s="358">
        <v>220</v>
      </c>
      <c r="AZ66" s="363">
        <f>('Cost-Effectiveness Level'!$B$3*AU66)+('Cost-Effectiveness Level'!$C$3*AV66)+('Cost-Effectiveness Level'!$D$3*AW66)+('Cost-Effectiveness Level'!$E$3*AX66)</f>
        <v>3544.0462935833575</v>
      </c>
      <c r="BA66" s="109"/>
      <c r="BB66" s="109"/>
      <c r="BC66" s="362">
        <v>2056.519191327278</v>
      </c>
      <c r="BD66" s="115">
        <v>2398.8280105479053</v>
      </c>
      <c r="BE66" s="115">
        <v>4273.220041019631</v>
      </c>
      <c r="BF66" s="115">
        <v>5216.437152065632</v>
      </c>
      <c r="BG66" s="358">
        <v>220</v>
      </c>
      <c r="BH66" s="363">
        <f>('Cost-Effectiveness Level'!$B$3*BC66)+('Cost-Effectiveness Level'!$C$3*BD66)+('Cost-Effectiveness Level'!$D$3*BE66)+('Cost-Effectiveness Level'!$E$3*BF66)</f>
        <v>2939.844711397597</v>
      </c>
      <c r="BI66" s="109"/>
      <c r="BJ66" s="109"/>
      <c r="BK66" s="362">
        <v>1029.0653384119544</v>
      </c>
      <c r="BL66" s="115">
        <v>1189.950190448286</v>
      </c>
      <c r="BM66" s="115">
        <v>2587.7820099619107</v>
      </c>
      <c r="BN66" s="115">
        <v>3173.8353354819806</v>
      </c>
      <c r="BO66" s="358">
        <v>220</v>
      </c>
      <c r="BP66" s="363">
        <f>('Cost-Effectiveness Level'!$B$3*BK66)+('Cost-Effectiveness Level'!$C$3*BL66)+('Cost-Effectiveness Level'!$D$3*BM66)+('Cost-Effectiveness Level'!$E$3*BN66)</f>
        <v>1606.4254321711105</v>
      </c>
    </row>
    <row r="67" spans="47:68" ht="14.25">
      <c r="AU67" s="362">
        <v>2026.4283621447407</v>
      </c>
      <c r="AV67" s="115">
        <v>2358.4236741869327</v>
      </c>
      <c r="AW67" s="115">
        <v>4217.345443891005</v>
      </c>
      <c r="AX67" s="115">
        <v>5075.798417814241</v>
      </c>
      <c r="AY67" s="358">
        <v>200</v>
      </c>
      <c r="AZ67" s="363">
        <f>('Cost-Effectiveness Level'!$B$3*AU67)+('Cost-Effectiveness Level'!$C$3*AV67)+('Cost-Effectiveness Level'!$D$3*AW67)+('Cost-Effectiveness Level'!$E$3*AX67)</f>
        <v>2892.6237913858777</v>
      </c>
      <c r="BA67" s="109"/>
      <c r="BB67" s="109"/>
      <c r="BC67" s="362">
        <v>1577.292704365661</v>
      </c>
      <c r="BD67" s="115">
        <v>1861.441547026077</v>
      </c>
      <c r="BE67" s="115">
        <v>3504.541459126868</v>
      </c>
      <c r="BF67" s="115">
        <v>4321.97480222678</v>
      </c>
      <c r="BG67" s="358">
        <v>200</v>
      </c>
      <c r="BH67" s="363">
        <f>('Cost-Effectiveness Level'!$B$3*BC67)+('Cost-Effectiveness Level'!$C$3*BD67)+('Cost-Effectiveness Level'!$D$3*BE67)+('Cost-Effectiveness Level'!$E$3*BF67)</f>
        <v>2338.4134192792267</v>
      </c>
      <c r="BI67" s="109"/>
      <c r="BJ67" s="109"/>
      <c r="BK67" s="362">
        <v>720.6856138294755</v>
      </c>
      <c r="BL67" s="115">
        <v>843.568707881629</v>
      </c>
      <c r="BM67" s="115">
        <v>2032.581306768239</v>
      </c>
      <c r="BN67" s="115">
        <v>2482.1564605918547</v>
      </c>
      <c r="BO67" s="358">
        <v>200</v>
      </c>
      <c r="BP67" s="363">
        <f>('Cost-Effectiveness Level'!$B$3*BK67)+('Cost-Effectiveness Level'!$C$3*BL67)+('Cost-Effectiveness Level'!$D$3*BM67)+('Cost-Effectiveness Level'!$E$3*BN67)</f>
        <v>1198.1746264283622</v>
      </c>
    </row>
    <row r="68" spans="47:68" ht="14.25">
      <c r="AU68" s="362">
        <v>1532.3469088778202</v>
      </c>
      <c r="AV68" s="115">
        <v>1790.1259888661002</v>
      </c>
      <c r="AW68" s="115">
        <v>3409.6103135071785</v>
      </c>
      <c r="AX68" s="115">
        <v>4156.3433929094645</v>
      </c>
      <c r="AY68" s="358">
        <v>180</v>
      </c>
      <c r="AZ68" s="363">
        <f>('Cost-Effectiveness Level'!$B$3*AU68)+('Cost-Effectiveness Level'!$C$3*AV68)+('Cost-Effectiveness Level'!$D$3*AW68)+('Cost-Effectiveness Level'!$E$3*AX68)</f>
        <v>2261.752124230882</v>
      </c>
      <c r="BA68" s="109"/>
      <c r="BB68" s="109"/>
      <c r="BC68" s="362">
        <v>1142.865514210372</v>
      </c>
      <c r="BD68" s="115">
        <v>1358.9803691766774</v>
      </c>
      <c r="BE68" s="115">
        <v>2765.836507471433</v>
      </c>
      <c r="BF68" s="115">
        <v>3454.8784060943453</v>
      </c>
      <c r="BG68" s="358">
        <v>180</v>
      </c>
      <c r="BH68" s="363">
        <f>('Cost-Effectiveness Level'!$B$3*BC68)+('Cost-Effectiveness Level'!$C$3*BD68)+('Cost-Effectiveness Level'!$D$3*BE68)+('Cost-Effectiveness Level'!$E$3*BF68)</f>
        <v>1772.2663346029885</v>
      </c>
      <c r="BI68" s="109"/>
      <c r="BJ68" s="109"/>
      <c r="BK68" s="362">
        <v>450.6006445941987</v>
      </c>
      <c r="BL68" s="115">
        <v>540.7266334602989</v>
      </c>
      <c r="BM68" s="115">
        <v>1500.1757984178143</v>
      </c>
      <c r="BN68" s="115">
        <v>1851.2745385291532</v>
      </c>
      <c r="BO68" s="358">
        <v>180</v>
      </c>
      <c r="BP68" s="363">
        <f>('Cost-Effectiveness Level'!$B$3*BK68)+('Cost-Effectiveness Level'!$C$3*BL68)+('Cost-Effectiveness Level'!$D$3*BM68)+('Cost-Effectiveness Level'!$E$3*BN68)</f>
        <v>828.0911221799005</v>
      </c>
    </row>
    <row r="69" spans="47:68" ht="14.25">
      <c r="AU69" s="362">
        <v>1064.4594198652212</v>
      </c>
      <c r="AV69" s="115">
        <v>1258.3943744506298</v>
      </c>
      <c r="AW69" s="115">
        <v>2635.071784353941</v>
      </c>
      <c r="AX69" s="115">
        <v>3262.6428362144743</v>
      </c>
      <c r="AY69" s="358">
        <v>160</v>
      </c>
      <c r="AZ69" s="363">
        <f>('Cost-Effectiveness Level'!$B$3*AU69)+('Cost-Effectiveness Level'!$C$3*AV69)+('Cost-Effectiveness Level'!$D$3*AW69)+('Cost-Effectiveness Level'!$E$3*AX69)</f>
        <v>1663.989159097568</v>
      </c>
      <c r="BA69" s="109"/>
      <c r="BB69" s="109"/>
      <c r="BC69" s="362">
        <v>767.4479929680634</v>
      </c>
      <c r="BD69" s="115">
        <v>909.9912100791094</v>
      </c>
      <c r="BE69" s="115">
        <v>2077.1755054204514</v>
      </c>
      <c r="BF69" s="115">
        <v>2624.846176384413</v>
      </c>
      <c r="BG69" s="358">
        <v>160</v>
      </c>
      <c r="BH69" s="363">
        <f>('Cost-Effectiveness Level'!$B$3*BC69)+('Cost-Effectiveness Level'!$C$3*BD69)+('Cost-Effectiveness Level'!$D$3*BE69)+('Cost-Effectiveness Level'!$E$3*BF69)</f>
        <v>1259.021388807501</v>
      </c>
      <c r="BI69" s="109"/>
      <c r="BJ69" s="109"/>
      <c r="BK69" s="362">
        <v>226.04746557280987</v>
      </c>
      <c r="BL69" s="115">
        <v>297.8318195136244</v>
      </c>
      <c r="BM69" s="115">
        <v>1012.3351889832992</v>
      </c>
      <c r="BN69" s="115">
        <v>1280.603574567829</v>
      </c>
      <c r="BO69" s="358">
        <v>160</v>
      </c>
      <c r="BP69" s="363">
        <f>('Cost-Effectiveness Level'!$B$3*BK69)+('Cost-Effectiveness Level'!$C$3*BL69)+('Cost-Effectiveness Level'!$D$3*BM69)+('Cost-Effectiveness Level'!$E$3*BN69)</f>
        <v>511.2393788455904</v>
      </c>
    </row>
    <row r="70" spans="47:68" ht="14.25">
      <c r="AU70" s="362">
        <v>658.716671549956</v>
      </c>
      <c r="AV70" s="115">
        <v>788.7489012598887</v>
      </c>
      <c r="AW70" s="115">
        <v>1897.9783181951364</v>
      </c>
      <c r="AX70" s="115">
        <v>2399.619103428069</v>
      </c>
      <c r="AY70" s="358">
        <v>140</v>
      </c>
      <c r="AZ70" s="363">
        <f>('Cost-Effectiveness Level'!$B$3*AU70)+('Cost-Effectiveness Level'!$C$3*AV70)+('Cost-Effectiveness Level'!$D$3*AW70)+('Cost-Effectiveness Level'!$E$3*AX70)</f>
        <v>1120.593319660123</v>
      </c>
      <c r="BA70" s="109"/>
      <c r="BB70" s="109"/>
      <c r="BC70" s="362">
        <v>442.9827131555817</v>
      </c>
      <c r="BD70" s="115">
        <v>522.5607969528274</v>
      </c>
      <c r="BE70" s="115">
        <v>1449.047758570173</v>
      </c>
      <c r="BF70" s="115">
        <v>1838.8807500732496</v>
      </c>
      <c r="BG70" s="358">
        <v>140</v>
      </c>
      <c r="BH70" s="363">
        <f>('Cost-Effectiveness Level'!$B$3*BC70)+('Cost-Effectiveness Level'!$C$3*BD70)+('Cost-Effectiveness Level'!$D$3*BE70)+('Cost-Effectiveness Level'!$E$3*BF70)</f>
        <v>804.0829182537358</v>
      </c>
      <c r="BI70" s="109"/>
      <c r="BJ70" s="109"/>
      <c r="BK70" s="362">
        <v>73.54233811895693</v>
      </c>
      <c r="BL70" s="115">
        <v>124.64107823029593</v>
      </c>
      <c r="BM70" s="115">
        <v>586.6979197187226</v>
      </c>
      <c r="BN70" s="115">
        <v>805.332552007032</v>
      </c>
      <c r="BO70" s="358">
        <v>140</v>
      </c>
      <c r="BP70" s="363">
        <f>('Cost-Effectiveness Level'!$B$3*BK70)+('Cost-Effectiveness Level'!$C$3*BL70)+('Cost-Effectiveness Level'!$D$3*BM70)+('Cost-Effectiveness Level'!$E$3*BN70)</f>
        <v>263.9701142689716</v>
      </c>
    </row>
    <row r="71" spans="47:68" ht="15" thickBot="1">
      <c r="AU71" s="364">
        <v>336.1265748608263</v>
      </c>
      <c r="AV71" s="365">
        <v>395.839437445063</v>
      </c>
      <c r="AW71" s="365">
        <v>1231.4386170524465</v>
      </c>
      <c r="AX71" s="365">
        <v>1596.1031350717844</v>
      </c>
      <c r="AY71" s="366">
        <v>120</v>
      </c>
      <c r="AZ71" s="367">
        <f>('Cost-Effectiveness Level'!$B$3*AU71)+('Cost-Effectiveness Level'!$C$3*AV71)+('Cost-Effectiveness Level'!$D$3*AW71)+('Cost-Effectiveness Level'!$E$3*AX71)</f>
        <v>652.8098447113977</v>
      </c>
      <c r="BA71" s="109"/>
      <c r="BB71" s="109"/>
      <c r="BC71" s="364">
        <v>193.6126574860826</v>
      </c>
      <c r="BD71" s="365">
        <v>234.77878699091707</v>
      </c>
      <c r="BE71" s="365">
        <v>902.666276003516</v>
      </c>
      <c r="BF71" s="365">
        <v>1161.0899501904485</v>
      </c>
      <c r="BG71" s="366">
        <v>120</v>
      </c>
      <c r="BH71" s="367">
        <f>('Cost-Effectiveness Level'!$B$3*BC71)+('Cost-Effectiveness Level'!$C$3*BD71)+('Cost-Effectiveness Level'!$D$3*BE71)+('Cost-Effectiveness Level'!$E$3*BF71)</f>
        <v>439.8329915030765</v>
      </c>
      <c r="BI71" s="109"/>
      <c r="BJ71" s="109"/>
      <c r="BK71" s="364">
        <v>8.233225900966891</v>
      </c>
      <c r="BL71" s="365">
        <v>25.402871374157634</v>
      </c>
      <c r="BM71" s="365">
        <v>261.0899501904483</v>
      </c>
      <c r="BN71" s="365">
        <v>418.69323176091416</v>
      </c>
      <c r="BO71" s="366">
        <v>120</v>
      </c>
      <c r="BP71" s="367">
        <f>('Cost-Effectiveness Level'!$B$3*BK71)+('Cost-Effectiveness Level'!$C$3*BL71)+('Cost-Effectiveness Level'!$D$3*BM71)+('Cost-Effectiveness Level'!$E$3*BN71)</f>
        <v>100.55523000292999</v>
      </c>
    </row>
    <row r="72" spans="47:68" ht="14.25">
      <c r="AU72" s="110">
        <v>171.51694986226312</v>
      </c>
      <c r="AV72" s="110">
        <v>198.65493313086188</v>
      </c>
      <c r="AW72" s="110">
        <v>798.9770236206315</v>
      </c>
      <c r="AX72" s="110">
        <v>1061.645664575092</v>
      </c>
      <c r="AY72" s="111">
        <v>100</v>
      </c>
      <c r="AZ72" s="112">
        <f>('Cost-Effectiveness Level'!$B$3*AU72)+('Cost-Effectiveness Level'!$C$3*AV72)+('Cost-Effectiveness Level'!$D$3*AW72)+('Cost-Effectiveness Level'!$E$3*AX72)</f>
        <v>386.457395671796</v>
      </c>
      <c r="BA72" s="109"/>
      <c r="BB72" s="109"/>
      <c r="BC72" s="110">
        <v>84.62149882055914</v>
      </c>
      <c r="BD72" s="110">
        <v>105.48261397018325</v>
      </c>
      <c r="BE72" s="110">
        <v>562.304728063659</v>
      </c>
      <c r="BF72" s="110">
        <v>733.1252297787971</v>
      </c>
      <c r="BG72" s="111">
        <v>100</v>
      </c>
      <c r="BH72" s="112">
        <f>('Cost-Effectiveness Level'!$B$3*BC72)+('Cost-Effectiveness Level'!$C$3*BD72)+('Cost-Effectiveness Level'!$D$3*BE72)+('Cost-Effectiveness Level'!$E$3*BF72)</f>
        <v>246.89805025405806</v>
      </c>
      <c r="BI72" s="109"/>
      <c r="BJ72" s="109"/>
      <c r="BK72" s="110">
        <v>0.9217276805464926</v>
      </c>
      <c r="BL72" s="110">
        <v>5.177312995156246</v>
      </c>
      <c r="BM72" s="110">
        <v>116.18920026703378</v>
      </c>
      <c r="BN72" s="110">
        <v>217.67904685525224</v>
      </c>
      <c r="BO72" s="111">
        <v>100</v>
      </c>
      <c r="BP72" s="112">
        <f>('Cost-Effectiveness Level'!$B$3*BK72)+('Cost-Effectiveness Level'!$C$3*BL72)+('Cost-Effectiveness Level'!$D$3*BM72)+('Cost-Effectiveness Level'!$E$3*BN72)</f>
        <v>42.704254443208484</v>
      </c>
    </row>
  </sheetData>
  <mergeCells count="20">
    <mergeCell ref="BS1:BX1"/>
    <mergeCell ref="I25:L25"/>
    <mergeCell ref="R32:V33"/>
    <mergeCell ref="F25:G25"/>
    <mergeCell ref="A18:P18"/>
    <mergeCell ref="M19:P19"/>
    <mergeCell ref="BS20:BX20"/>
    <mergeCell ref="R13:V13"/>
    <mergeCell ref="B1:C1"/>
    <mergeCell ref="A16:F16"/>
    <mergeCell ref="R19:V19"/>
    <mergeCell ref="B46:C46"/>
    <mergeCell ref="D46:E46"/>
    <mergeCell ref="F46:G46"/>
    <mergeCell ref="A45:H45"/>
    <mergeCell ref="B25:C25"/>
    <mergeCell ref="D25:E25"/>
    <mergeCell ref="I19:L19"/>
    <mergeCell ref="E19:H19"/>
    <mergeCell ref="B19:D19"/>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3"/>
  <dimension ref="A3:D7"/>
  <sheetViews>
    <sheetView zoomScale="75" zoomScaleNormal="75" workbookViewId="0" topLeftCell="C1">
      <selection activeCell="D7" sqref="D7"/>
    </sheetView>
  </sheetViews>
  <sheetFormatPr defaultColWidth="9.140625" defaultRowHeight="12.75"/>
  <cols>
    <col min="1" max="1" width="125.57421875" style="0" customWidth="1"/>
    <col min="2" max="2" width="140.28125" style="0" customWidth="1"/>
    <col min="3" max="3" width="85.421875" style="0" customWidth="1"/>
    <col min="4" max="4" width="23.8515625" style="0" customWidth="1"/>
  </cols>
  <sheetData>
    <row r="3" spans="1:4" ht="12.75">
      <c r="A3" s="116" t="s">
        <v>120</v>
      </c>
      <c r="B3" s="116" t="s">
        <v>121</v>
      </c>
      <c r="C3" s="116" t="s">
        <v>122</v>
      </c>
      <c r="D3" s="116" t="s">
        <v>123</v>
      </c>
    </row>
    <row r="4" spans="1:4" ht="12.75">
      <c r="A4" s="97" t="s">
        <v>553</v>
      </c>
      <c r="B4" t="s">
        <v>557</v>
      </c>
      <c r="C4" t="s">
        <v>425</v>
      </c>
      <c r="D4" t="s">
        <v>207</v>
      </c>
    </row>
    <row r="5" spans="1:4" ht="12.75">
      <c r="A5" s="97" t="s">
        <v>554</v>
      </c>
      <c r="B5" t="s">
        <v>557</v>
      </c>
      <c r="C5" t="s">
        <v>425</v>
      </c>
      <c r="D5" t="s">
        <v>208</v>
      </c>
    </row>
    <row r="6" spans="1:4" ht="12.75">
      <c r="A6" s="97" t="s">
        <v>555</v>
      </c>
      <c r="B6" t="s">
        <v>557</v>
      </c>
      <c r="C6" t="s">
        <v>425</v>
      </c>
      <c r="D6" t="s">
        <v>209</v>
      </c>
    </row>
    <row r="7" spans="1:4" ht="12.75">
      <c r="A7" s="97" t="s">
        <v>556</v>
      </c>
      <c r="B7" t="s">
        <v>557</v>
      </c>
      <c r="C7" t="s">
        <v>425</v>
      </c>
      <c r="D7" t="s">
        <v>600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NWPPC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Residential Weatherization - Single Family Homes</dc:title>
  <dc:subject>Deemed Savings Analysis</dc:subject>
  <dc:creator>Tom Eckman</dc:creator>
  <cp:keywords/>
  <dc:description/>
  <cp:lastModifiedBy>Tom Eckman</cp:lastModifiedBy>
  <cp:lastPrinted>2000-08-20T00:45:03Z</cp:lastPrinted>
  <dcterms:created xsi:type="dcterms:W3CDTF">1998-09-25T20:50:37Z</dcterms:created>
  <dcterms:modified xsi:type="dcterms:W3CDTF">2003-01-17T19:49:20Z</dcterms:modified>
  <cp:category/>
  <cp:version/>
  <cp:contentType/>
  <cp:contentStatus/>
</cp:coreProperties>
</file>