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155" yWindow="270" windowWidth="20730" windowHeight="11685" activeTab="1"/>
  </bookViews>
  <sheets>
    <sheet name="7PSourceSummary" sheetId="20" r:id="rId1"/>
    <sheet name="forRPM" sheetId="42" r:id="rId2"/>
    <sheet name="SC-Retro" sheetId="8" r:id="rId3"/>
    <sheet name="Accomplishments" sheetId="23" r:id="rId4"/>
    <sheet name="M_Input_Out" sheetId="39" r:id="rId5"/>
    <sheet name="M_Input" sheetId="3" r:id="rId6"/>
    <sheet name="Increment" sheetId="19" r:id="rId7"/>
    <sheet name="Raw" sheetId="18" r:id="rId8"/>
    <sheet name="SavingsData&amp;Analysis" sheetId="36" r:id="rId9"/>
    <sheet name="CostData&amp;Analysis" sheetId="38" r:id="rId10"/>
    <sheet name="RawCost&amp;PowerData" sheetId="41" r:id="rId11"/>
    <sheet name="Assumptions" sheetId="37" r:id="rId12"/>
    <sheet name="AveragedData" sheetId="40" r:id="rId13"/>
  </sheets>
  <externalReferences>
    <externalReference r:id="rId14"/>
    <externalReference r:id="rId15"/>
    <externalReference r:id="rId16"/>
  </externalReferences>
  <definedNames>
    <definedName name="_Key1" localSheetId="0" hidden="1">#REF!</definedName>
    <definedName name="_Key1" localSheetId="1" hidden="1">#REF!</definedName>
    <definedName name="_Key1" localSheetId="2" hidden="1">#REF!</definedName>
    <definedName name="_Key1" hidden="1">#REF!</definedName>
    <definedName name="_Key1old" localSheetId="0" hidden="1">#REF!</definedName>
    <definedName name="_Key1old" localSheetId="1"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_SortOld" localSheetId="0" hidden="1">#REF!</definedName>
    <definedName name="_SortOld" localSheetId="1" hidden="1">#REF!</definedName>
    <definedName name="_SortOld" hidden="1">#REF!</definedName>
    <definedName name="AgBase">'[1]Ag Forecast (Base Case)'!$C$26:$BB$30</definedName>
    <definedName name="anscount" hidden="1">1</definedName>
    <definedName name="CBWorkbookPriority" hidden="1">-738590518</definedName>
    <definedName name="limcount" hidden="1">1</definedName>
    <definedName name="MeasureOutput">M_Input_Out!$A$4:$AM$100</definedName>
    <definedName name="sencount" hidden="1">1</definedName>
    <definedName name="sort" localSheetId="1" hidden="1">#REF!</definedName>
    <definedName name="sort" hidden="1">#REF!</definedName>
  </definedNames>
  <calcPr calcId="125725"/>
</workbook>
</file>

<file path=xl/calcChain.xml><?xml version="1.0" encoding="utf-8"?>
<calcChain xmlns="http://schemas.openxmlformats.org/spreadsheetml/2006/main">
  <c r="E4" i="42"/>
  <c r="E5"/>
  <c r="E6"/>
  <c r="E7"/>
  <c r="E8"/>
  <c r="E9"/>
  <c r="E10"/>
  <c r="E11"/>
  <c r="E12"/>
  <c r="E13"/>
  <c r="E14"/>
  <c r="E15"/>
  <c r="E16"/>
  <c r="E17"/>
  <c r="E18"/>
  <c r="E19"/>
  <c r="E20"/>
  <c r="E21"/>
  <c r="E22"/>
  <c r="E3"/>
  <c r="A9" i="8"/>
  <c r="F16" l="1"/>
  <c r="G16" s="1"/>
  <c r="H16" s="1"/>
  <c r="I16" s="1"/>
  <c r="J16" s="1"/>
  <c r="K16" s="1"/>
  <c r="L16" s="1"/>
  <c r="M16" s="1"/>
  <c r="N16" s="1"/>
  <c r="O16" s="1"/>
  <c r="P16" s="1"/>
  <c r="Q16" s="1"/>
  <c r="R16" s="1"/>
  <c r="S16" s="1"/>
  <c r="T16" s="1"/>
  <c r="U16" s="1"/>
  <c r="V16" s="1"/>
  <c r="W16" s="1"/>
  <c r="X16" s="1"/>
  <c r="F15"/>
  <c r="G15" s="1"/>
  <c r="H15" s="1"/>
  <c r="I15" s="1"/>
  <c r="J15" s="1"/>
  <c r="K15" s="1"/>
  <c r="L15" s="1"/>
  <c r="M15" s="1"/>
  <c r="N15" s="1"/>
  <c r="O15" s="1"/>
  <c r="P15" s="1"/>
  <c r="Q15" s="1"/>
  <c r="R15" s="1"/>
  <c r="S15" s="1"/>
  <c r="T15" s="1"/>
  <c r="U15" s="1"/>
  <c r="V15" s="1"/>
  <c r="W15" s="1"/>
  <c r="X15" s="1"/>
  <c r="F14"/>
  <c r="G14" s="1"/>
  <c r="H14" s="1"/>
  <c r="I14" s="1"/>
  <c r="J14" s="1"/>
  <c r="K14" s="1"/>
  <c r="L14" s="1"/>
  <c r="M14" s="1"/>
  <c r="N14" s="1"/>
  <c r="O14" s="1"/>
  <c r="P14" s="1"/>
  <c r="Q14" s="1"/>
  <c r="R14" s="1"/>
  <c r="S14" s="1"/>
  <c r="T14" s="1"/>
  <c r="U14" s="1"/>
  <c r="V14" s="1"/>
  <c r="W14" s="1"/>
  <c r="X14" s="1"/>
  <c r="F13"/>
  <c r="G13" s="1"/>
  <c r="H13" s="1"/>
  <c r="I13" s="1"/>
  <c r="J13" s="1"/>
  <c r="K13" s="1"/>
  <c r="L13" s="1"/>
  <c r="M13" s="1"/>
  <c r="N13" s="1"/>
  <c r="O13" s="1"/>
  <c r="P13" s="1"/>
  <c r="Q13" s="1"/>
  <c r="R13" s="1"/>
  <c r="S13" s="1"/>
  <c r="T13" s="1"/>
  <c r="U13" s="1"/>
  <c r="V13" s="1"/>
  <c r="W13" s="1"/>
  <c r="X13" s="1"/>
  <c r="X12"/>
  <c r="W12"/>
  <c r="V12"/>
  <c r="U12"/>
  <c r="T12"/>
  <c r="S12"/>
  <c r="R12"/>
  <c r="Q12"/>
  <c r="P12"/>
  <c r="O12"/>
  <c r="N12"/>
  <c r="M12"/>
  <c r="L12"/>
  <c r="K12"/>
  <c r="J12"/>
  <c r="I12"/>
  <c r="H12"/>
  <c r="G12"/>
  <c r="F12"/>
  <c r="AF4" i="42" l="1"/>
  <c r="AG4"/>
  <c r="AH4"/>
  <c r="AI4"/>
  <c r="AJ4"/>
  <c r="AK4"/>
  <c r="AL4"/>
  <c r="AM4"/>
  <c r="AN4"/>
  <c r="AO4"/>
  <c r="AP4"/>
  <c r="AQ4"/>
  <c r="AS4"/>
  <c r="AT4"/>
  <c r="AU4"/>
  <c r="AV4"/>
  <c r="AW4"/>
  <c r="AX4"/>
  <c r="AY4"/>
  <c r="AZ4"/>
  <c r="BA4"/>
  <c r="BB4"/>
  <c r="BC4"/>
  <c r="BD4"/>
  <c r="AF5"/>
  <c r="AG5"/>
  <c r="AH5"/>
  <c r="AI5"/>
  <c r="AJ5"/>
  <c r="AK5"/>
  <c r="AL5"/>
  <c r="AM5"/>
  <c r="AN5"/>
  <c r="AO5"/>
  <c r="AP5"/>
  <c r="AQ5"/>
  <c r="AS5"/>
  <c r="AT5"/>
  <c r="AU5"/>
  <c r="AV5"/>
  <c r="AW5"/>
  <c r="AX5"/>
  <c r="AY5"/>
  <c r="AZ5"/>
  <c r="BA5"/>
  <c r="BB5"/>
  <c r="BC5"/>
  <c r="BD5"/>
  <c r="AF6"/>
  <c r="AG6"/>
  <c r="AH6"/>
  <c r="AI6"/>
  <c r="AJ6"/>
  <c r="AK6"/>
  <c r="AL6"/>
  <c r="AM6"/>
  <c r="AN6"/>
  <c r="AO6"/>
  <c r="AP6"/>
  <c r="AQ6"/>
  <c r="AS6"/>
  <c r="AT6"/>
  <c r="AU6"/>
  <c r="AV6"/>
  <c r="AW6"/>
  <c r="AX6"/>
  <c r="AY6"/>
  <c r="AZ6"/>
  <c r="BA6"/>
  <c r="BB6"/>
  <c r="BC6"/>
  <c r="BD6"/>
  <c r="AF7"/>
  <c r="AG7"/>
  <c r="AH7"/>
  <c r="AI7"/>
  <c r="AJ7"/>
  <c r="AK7"/>
  <c r="AL7"/>
  <c r="AM7"/>
  <c r="AN7"/>
  <c r="AO7"/>
  <c r="AP7"/>
  <c r="AQ7"/>
  <c r="AS7"/>
  <c r="AT7"/>
  <c r="AU7"/>
  <c r="AV7"/>
  <c r="AW7"/>
  <c r="AX7"/>
  <c r="AY7"/>
  <c r="AZ7"/>
  <c r="BA7"/>
  <c r="BB7"/>
  <c r="BC7"/>
  <c r="BD7"/>
  <c r="AF8"/>
  <c r="AG8"/>
  <c r="AH8"/>
  <c r="AI8"/>
  <c r="AJ8"/>
  <c r="AK8"/>
  <c r="AL8"/>
  <c r="AM8"/>
  <c r="AN8"/>
  <c r="AO8"/>
  <c r="AP8"/>
  <c r="AQ8"/>
  <c r="AS8"/>
  <c r="AT8"/>
  <c r="AU8"/>
  <c r="AV8"/>
  <c r="AW8"/>
  <c r="AX8"/>
  <c r="AY8"/>
  <c r="AZ8"/>
  <c r="BA8"/>
  <c r="BB8"/>
  <c r="BC8"/>
  <c r="BD8"/>
  <c r="AF9"/>
  <c r="AG9"/>
  <c r="AH9"/>
  <c r="AI9"/>
  <c r="AJ9"/>
  <c r="AK9"/>
  <c r="AL9"/>
  <c r="AM9"/>
  <c r="AN9"/>
  <c r="AO9"/>
  <c r="AP9"/>
  <c r="AQ9"/>
  <c r="AS9"/>
  <c r="AT9"/>
  <c r="AU9"/>
  <c r="AV9"/>
  <c r="AW9"/>
  <c r="AX9"/>
  <c r="AY9"/>
  <c r="AZ9"/>
  <c r="BA9"/>
  <c r="BB9"/>
  <c r="BC9"/>
  <c r="BD9"/>
  <c r="AF10"/>
  <c r="AG10"/>
  <c r="AH10"/>
  <c r="AI10"/>
  <c r="AJ10"/>
  <c r="AK10"/>
  <c r="AL10"/>
  <c r="AM10"/>
  <c r="AN10"/>
  <c r="AO10"/>
  <c r="AP10"/>
  <c r="AQ10"/>
  <c r="AS10"/>
  <c r="AT10"/>
  <c r="AU10"/>
  <c r="AV10"/>
  <c r="AW10"/>
  <c r="AX10"/>
  <c r="AY10"/>
  <c r="AZ10"/>
  <c r="BA10"/>
  <c r="BB10"/>
  <c r="BC10"/>
  <c r="BD10"/>
  <c r="AF11"/>
  <c r="AG11"/>
  <c r="AH11"/>
  <c r="AI11"/>
  <c r="AJ11"/>
  <c r="AK11"/>
  <c r="AL11"/>
  <c r="AM11"/>
  <c r="AN11"/>
  <c r="AO11"/>
  <c r="AP11"/>
  <c r="AQ11"/>
  <c r="AS11"/>
  <c r="AT11"/>
  <c r="AU11"/>
  <c r="AV11"/>
  <c r="AW11"/>
  <c r="AX11"/>
  <c r="AY11"/>
  <c r="AZ11"/>
  <c r="BA11"/>
  <c r="BB11"/>
  <c r="BC11"/>
  <c r="BD11"/>
  <c r="AF12"/>
  <c r="AG12"/>
  <c r="AH12"/>
  <c r="AI12"/>
  <c r="AJ12"/>
  <c r="AK12"/>
  <c r="AL12"/>
  <c r="AM12"/>
  <c r="AN12"/>
  <c r="AO12"/>
  <c r="AP12"/>
  <c r="AQ12"/>
  <c r="AS12"/>
  <c r="AT12"/>
  <c r="AU12"/>
  <c r="AV12"/>
  <c r="AW12"/>
  <c r="AX12"/>
  <c r="AY12"/>
  <c r="AZ12"/>
  <c r="BA12"/>
  <c r="BB12"/>
  <c r="BC12"/>
  <c r="BD12"/>
  <c r="AF13"/>
  <c r="AG13"/>
  <c r="AH13"/>
  <c r="AI13"/>
  <c r="AJ13"/>
  <c r="AK13"/>
  <c r="AL13"/>
  <c r="AM13"/>
  <c r="AN13"/>
  <c r="AO13"/>
  <c r="AP13"/>
  <c r="AQ13"/>
  <c r="AS13"/>
  <c r="AT13"/>
  <c r="AU13"/>
  <c r="AV13"/>
  <c r="AW13"/>
  <c r="AX13"/>
  <c r="AY13"/>
  <c r="AZ13"/>
  <c r="BA13"/>
  <c r="BB13"/>
  <c r="BC13"/>
  <c r="BD13"/>
  <c r="AF14"/>
  <c r="AG14"/>
  <c r="AH14"/>
  <c r="AI14"/>
  <c r="AJ14"/>
  <c r="AK14"/>
  <c r="AL14"/>
  <c r="AM14"/>
  <c r="AN14"/>
  <c r="AO14"/>
  <c r="AP14"/>
  <c r="AQ14"/>
  <c r="AS14"/>
  <c r="AT14"/>
  <c r="AU14"/>
  <c r="AV14"/>
  <c r="AW14"/>
  <c r="AX14"/>
  <c r="AY14"/>
  <c r="AZ14"/>
  <c r="BA14"/>
  <c r="BB14"/>
  <c r="BC14"/>
  <c r="BD14"/>
  <c r="AF15"/>
  <c r="AG15"/>
  <c r="AH15"/>
  <c r="AI15"/>
  <c r="AJ15"/>
  <c r="AK15"/>
  <c r="AL15"/>
  <c r="AM15"/>
  <c r="AN15"/>
  <c r="AO15"/>
  <c r="AP15"/>
  <c r="AQ15"/>
  <c r="AS15"/>
  <c r="AT15"/>
  <c r="AU15"/>
  <c r="AV15"/>
  <c r="AW15"/>
  <c r="AX15"/>
  <c r="AY15"/>
  <c r="AZ15"/>
  <c r="BA15"/>
  <c r="BB15"/>
  <c r="BC15"/>
  <c r="BD15"/>
  <c r="AF16"/>
  <c r="AG16"/>
  <c r="AH16"/>
  <c r="AI16"/>
  <c r="AJ16"/>
  <c r="AK16"/>
  <c r="AL16"/>
  <c r="AM16"/>
  <c r="AN16"/>
  <c r="AO16"/>
  <c r="AP16"/>
  <c r="AQ16"/>
  <c r="AS16"/>
  <c r="AT16"/>
  <c r="AU16"/>
  <c r="AV16"/>
  <c r="AW16"/>
  <c r="AX16"/>
  <c r="AY16"/>
  <c r="AZ16"/>
  <c r="BA16"/>
  <c r="BB16"/>
  <c r="BC16"/>
  <c r="BD16"/>
  <c r="AF17"/>
  <c r="AG17"/>
  <c r="AH17"/>
  <c r="AI17"/>
  <c r="AJ17"/>
  <c r="AK17"/>
  <c r="AL17"/>
  <c r="AM17"/>
  <c r="AN17"/>
  <c r="AO17"/>
  <c r="AP17"/>
  <c r="AQ17"/>
  <c r="AS17"/>
  <c r="AT17"/>
  <c r="AU17"/>
  <c r="AV17"/>
  <c r="AW17"/>
  <c r="AX17"/>
  <c r="AY17"/>
  <c r="AZ17"/>
  <c r="BA17"/>
  <c r="BB17"/>
  <c r="BC17"/>
  <c r="BD17"/>
  <c r="AF18"/>
  <c r="AG18"/>
  <c r="AH18"/>
  <c r="AI18"/>
  <c r="AJ18"/>
  <c r="AK18"/>
  <c r="AL18"/>
  <c r="AM18"/>
  <c r="AN18"/>
  <c r="AO18"/>
  <c r="AP18"/>
  <c r="AQ18"/>
  <c r="AS18"/>
  <c r="AT18"/>
  <c r="AU18"/>
  <c r="AV18"/>
  <c r="AW18"/>
  <c r="AX18"/>
  <c r="AY18"/>
  <c r="AZ18"/>
  <c r="BA18"/>
  <c r="BB18"/>
  <c r="BC18"/>
  <c r="BD18"/>
  <c r="AF19"/>
  <c r="AG19"/>
  <c r="AH19"/>
  <c r="AI19"/>
  <c r="AJ19"/>
  <c r="AK19"/>
  <c r="AL19"/>
  <c r="AM19"/>
  <c r="AN19"/>
  <c r="AO19"/>
  <c r="AP19"/>
  <c r="AQ19"/>
  <c r="AS19"/>
  <c r="AT19"/>
  <c r="AU19"/>
  <c r="AV19"/>
  <c r="AW19"/>
  <c r="AX19"/>
  <c r="AY19"/>
  <c r="AZ19"/>
  <c r="BA19"/>
  <c r="BB19"/>
  <c r="BC19"/>
  <c r="BD19"/>
  <c r="AF20"/>
  <c r="AG20"/>
  <c r="AH20"/>
  <c r="AI20"/>
  <c r="AJ20"/>
  <c r="AK20"/>
  <c r="AL20"/>
  <c r="AM20"/>
  <c r="AN20"/>
  <c r="AO20"/>
  <c r="AP20"/>
  <c r="AQ20"/>
  <c r="AS20"/>
  <c r="AT20"/>
  <c r="AU20"/>
  <c r="AV20"/>
  <c r="AW20"/>
  <c r="AX20"/>
  <c r="AY20"/>
  <c r="AZ20"/>
  <c r="BA20"/>
  <c r="BB20"/>
  <c r="BC20"/>
  <c r="BD20"/>
  <c r="AF21"/>
  <c r="AG21"/>
  <c r="AH21"/>
  <c r="AI21"/>
  <c r="AJ21"/>
  <c r="AK21"/>
  <c r="AL21"/>
  <c r="AM21"/>
  <c r="AN21"/>
  <c r="AO21"/>
  <c r="AP21"/>
  <c r="AQ21"/>
  <c r="AS21"/>
  <c r="AT21"/>
  <c r="AU21"/>
  <c r="AV21"/>
  <c r="AW21"/>
  <c r="AX21"/>
  <c r="AY21"/>
  <c r="AZ21"/>
  <c r="BA21"/>
  <c r="BB21"/>
  <c r="BC21"/>
  <c r="BD21"/>
  <c r="AF22"/>
  <c r="AG22"/>
  <c r="AH22"/>
  <c r="AI22"/>
  <c r="AJ22"/>
  <c r="AK22"/>
  <c r="AL22"/>
  <c r="AM22"/>
  <c r="AN22"/>
  <c r="AO22"/>
  <c r="AP22"/>
  <c r="AQ22"/>
  <c r="AS22"/>
  <c r="AT22"/>
  <c r="AU22"/>
  <c r="AV22"/>
  <c r="AW22"/>
  <c r="AX22"/>
  <c r="AY22"/>
  <c r="AZ22"/>
  <c r="BA22"/>
  <c r="BB22"/>
  <c r="BC22"/>
  <c r="BD22"/>
  <c r="AF3"/>
  <c r="BD3"/>
  <c r="BC3"/>
  <c r="BB3"/>
  <c r="BA3"/>
  <c r="AZ3"/>
  <c r="AY3"/>
  <c r="AX3"/>
  <c r="AW3"/>
  <c r="AV3"/>
  <c r="AU3"/>
  <c r="AT3"/>
  <c r="AS3"/>
  <c r="AQ3"/>
  <c r="AP3"/>
  <c r="AO3"/>
  <c r="AN3"/>
  <c r="AM3"/>
  <c r="AL3"/>
  <c r="AK3"/>
  <c r="AJ3"/>
  <c r="AI3"/>
  <c r="AH3"/>
  <c r="AG3"/>
  <c r="F4"/>
  <c r="F5"/>
  <c r="F6"/>
  <c r="F7"/>
  <c r="F8"/>
  <c r="F9"/>
  <c r="F10"/>
  <c r="F11"/>
  <c r="F12"/>
  <c r="F13"/>
  <c r="F14"/>
  <c r="F15"/>
  <c r="F16"/>
  <c r="F17"/>
  <c r="F18"/>
  <c r="F19"/>
  <c r="F20"/>
  <c r="F21"/>
  <c r="F22"/>
  <c r="F3"/>
  <c r="J22"/>
  <c r="I22"/>
  <c r="J21"/>
  <c r="I21"/>
  <c r="J20"/>
  <c r="I20"/>
  <c r="J19"/>
  <c r="I19"/>
  <c r="J18"/>
  <c r="I18"/>
  <c r="J17"/>
  <c r="I17"/>
  <c r="J16"/>
  <c r="I16"/>
  <c r="J15"/>
  <c r="I15"/>
  <c r="J14"/>
  <c r="I14"/>
  <c r="J13"/>
  <c r="I13"/>
  <c r="J12"/>
  <c r="I12"/>
  <c r="J11"/>
  <c r="I11"/>
  <c r="J10"/>
  <c r="I10"/>
  <c r="J9"/>
  <c r="I9"/>
  <c r="J8"/>
  <c r="I8"/>
  <c r="J7"/>
  <c r="I7"/>
  <c r="J6"/>
  <c r="I6"/>
  <c r="J5"/>
  <c r="I5"/>
  <c r="J4"/>
  <c r="I4"/>
  <c r="J3"/>
  <c r="I3"/>
  <c r="A19"/>
  <c r="B19"/>
  <c r="C19"/>
  <c r="A20"/>
  <c r="B20"/>
  <c r="C20"/>
  <c r="B21"/>
  <c r="C21"/>
  <c r="A21" s="1"/>
  <c r="B22"/>
  <c r="C22"/>
  <c r="A22" s="1"/>
  <c r="C18"/>
  <c r="B18"/>
  <c r="C17"/>
  <c r="A17" s="1"/>
  <c r="B17"/>
  <c r="C16"/>
  <c r="B16"/>
  <c r="C15"/>
  <c r="B15"/>
  <c r="C14"/>
  <c r="B14"/>
  <c r="C13"/>
  <c r="A13" s="1"/>
  <c r="B13"/>
  <c r="C12"/>
  <c r="B12"/>
  <c r="A12" s="1"/>
  <c r="C11"/>
  <c r="B11"/>
  <c r="A11" s="1"/>
  <c r="C10"/>
  <c r="B10"/>
  <c r="C9"/>
  <c r="A9" s="1"/>
  <c r="B9"/>
  <c r="C8"/>
  <c r="B8"/>
  <c r="A8" s="1"/>
  <c r="C7"/>
  <c r="B7"/>
  <c r="C6"/>
  <c r="B6"/>
  <c r="C5"/>
  <c r="A5" s="1"/>
  <c r="B5"/>
  <c r="C4"/>
  <c r="B4"/>
  <c r="C3"/>
  <c r="B3"/>
  <c r="A4"/>
  <c r="A18"/>
  <c r="A16"/>
  <c r="A15"/>
  <c r="A14"/>
  <c r="A10"/>
  <c r="A7"/>
  <c r="A6"/>
  <c r="A3"/>
  <c r="AD2"/>
  <c r="AC2"/>
  <c r="AB2"/>
  <c r="AA2"/>
  <c r="Z2"/>
  <c r="Y2"/>
  <c r="X2"/>
  <c r="W2"/>
  <c r="V2"/>
  <c r="U2"/>
  <c r="T2"/>
  <c r="S2"/>
  <c r="R2"/>
  <c r="Q2"/>
  <c r="P2"/>
  <c r="O2"/>
  <c r="N2"/>
  <c r="M2"/>
  <c r="L2"/>
  <c r="K2"/>
  <c r="E18" i="8" l="1"/>
  <c r="H7" i="23" l="1"/>
  <c r="D9" i="38"/>
  <c r="C9"/>
  <c r="D8"/>
  <c r="C8"/>
  <c r="D7"/>
  <c r="C7"/>
  <c r="D6"/>
  <c r="I5" s="1"/>
  <c r="C6"/>
  <c r="D5"/>
  <c r="D4"/>
  <c r="D3"/>
  <c r="I4"/>
  <c r="I3"/>
  <c r="H6" i="23" l="1"/>
  <c r="G6"/>
  <c r="E14" i="8"/>
  <c r="B78"/>
  <c r="H4" i="42" s="1"/>
  <c r="B79" i="8"/>
  <c r="H5" i="42" s="1"/>
  <c r="B80" i="8"/>
  <c r="H6" i="42" s="1"/>
  <c r="B81" i="8"/>
  <c r="H7" i="42" s="1"/>
  <c r="B82" i="8"/>
  <c r="H8" i="42" s="1"/>
  <c r="B83" i="8"/>
  <c r="H9" i="42" s="1"/>
  <c r="B84" i="8"/>
  <c r="H10" i="42" s="1"/>
  <c r="B85" i="8"/>
  <c r="H11" i="42" s="1"/>
  <c r="B86" i="8"/>
  <c r="H12" i="42" s="1"/>
  <c r="B87" i="8"/>
  <c r="H13" i="42" s="1"/>
  <c r="B88" i="8"/>
  <c r="H14" i="42" s="1"/>
  <c r="B89" i="8"/>
  <c r="H15" i="42" s="1"/>
  <c r="B90" i="8"/>
  <c r="H16" i="42" s="1"/>
  <c r="B91" i="8"/>
  <c r="H17" i="42" s="1"/>
  <c r="B92" i="8"/>
  <c r="H18" i="42" s="1"/>
  <c r="B93" i="8"/>
  <c r="H19" i="42" s="1"/>
  <c r="B94" i="8"/>
  <c r="H20" i="42" s="1"/>
  <c r="B95" i="8"/>
  <c r="H21" i="42" s="1"/>
  <c r="B96" i="8"/>
  <c r="H22" i="42" s="1"/>
  <c r="B77" i="8"/>
  <c r="H3" i="42" s="1"/>
  <c r="A78" i="8"/>
  <c r="G4" i="42" s="1"/>
  <c r="A79" i="8"/>
  <c r="G5" i="42" s="1"/>
  <c r="A80" i="8"/>
  <c r="G6" i="42" s="1"/>
  <c r="A81" i="8"/>
  <c r="G7" i="42" s="1"/>
  <c r="A82" i="8"/>
  <c r="G8" i="42" s="1"/>
  <c r="A83" i="8"/>
  <c r="G9" i="42" s="1"/>
  <c r="A84" i="8"/>
  <c r="G10" i="42" s="1"/>
  <c r="A85" i="8"/>
  <c r="G11" i="42" s="1"/>
  <c r="A86" i="8"/>
  <c r="G12" i="42" s="1"/>
  <c r="A87" i="8"/>
  <c r="G13" i="42" s="1"/>
  <c r="A88" i="8"/>
  <c r="G14" i="42" s="1"/>
  <c r="A89" i="8"/>
  <c r="G15" i="42" s="1"/>
  <c r="A90" i="8"/>
  <c r="G16" i="42" s="1"/>
  <c r="A91" i="8"/>
  <c r="G17" i="42" s="1"/>
  <c r="A92" i="8"/>
  <c r="G18" i="42" s="1"/>
  <c r="A93" i="8"/>
  <c r="G19" i="42" s="1"/>
  <c r="A94" i="8"/>
  <c r="G20" i="42" s="1"/>
  <c r="A95" i="8"/>
  <c r="G21" i="42" s="1"/>
  <c r="A96" i="8"/>
  <c r="G22" i="42" s="1"/>
  <c r="A77" i="8"/>
  <c r="G3" i="42" s="1"/>
  <c r="B62" i="8"/>
  <c r="B61"/>
  <c r="B60"/>
  <c r="B59"/>
  <c r="B58"/>
  <c r="B57"/>
  <c r="B56"/>
  <c r="Z35"/>
  <c r="Z36"/>
  <c r="Z37"/>
  <c r="Z38"/>
  <c r="Z39"/>
  <c r="Z40"/>
  <c r="Z41"/>
  <c r="Z42"/>
  <c r="A28"/>
  <c r="A29"/>
  <c r="A38"/>
  <c r="A39"/>
  <c r="A23"/>
  <c r="E23" s="1"/>
  <c r="A27"/>
  <c r="A32"/>
  <c r="A42"/>
  <c r="A37"/>
  <c r="A25"/>
  <c r="A30"/>
  <c r="A40"/>
  <c r="A35"/>
  <c r="A24"/>
  <c r="A34"/>
  <c r="A33"/>
  <c r="A26"/>
  <c r="A31"/>
  <c r="A41"/>
  <c r="A36"/>
  <c r="E12"/>
  <c r="E25" l="1"/>
  <c r="E24"/>
  <c r="E26"/>
  <c r="E27"/>
  <c r="E28"/>
  <c r="E29"/>
  <c r="E30"/>
  <c r="E31"/>
  <c r="E32"/>
  <c r="E33"/>
  <c r="E34"/>
  <c r="E35"/>
  <c r="E36"/>
  <c r="E37"/>
  <c r="E38"/>
  <c r="E39"/>
  <c r="E40"/>
  <c r="E41"/>
  <c r="E42"/>
  <c r="E44" l="1"/>
  <c r="D19" i="40"/>
  <c r="C13" i="38"/>
  <c r="C5" l="1"/>
  <c r="C3"/>
  <c r="C4"/>
  <c r="J20" i="36"/>
  <c r="K23" i="18" s="1"/>
  <c r="J19" i="36"/>
  <c r="J18"/>
  <c r="J17"/>
  <c r="J16"/>
  <c r="K19" i="18" s="1"/>
  <c r="K10" i="19" s="1"/>
  <c r="J11" i="3" s="1"/>
  <c r="J15" i="36"/>
  <c r="K18" i="18" s="1"/>
  <c r="J14" i="36"/>
  <c r="J13"/>
  <c r="J12"/>
  <c r="K15" i="18" s="1"/>
  <c r="J11" i="36"/>
  <c r="K14" i="18" s="1"/>
  <c r="J10" i="36"/>
  <c r="J9"/>
  <c r="K12" i="18" s="1"/>
  <c r="J8" i="36"/>
  <c r="J7"/>
  <c r="K10" i="18" s="1"/>
  <c r="J6" i="36"/>
  <c r="J5"/>
  <c r="K22" i="18"/>
  <c r="K17"/>
  <c r="K9"/>
  <c r="K8"/>
  <c r="G11" i="40"/>
  <c r="G10"/>
  <c r="I10" s="1"/>
  <c r="G9"/>
  <c r="G8"/>
  <c r="E8"/>
  <c r="F8" s="1"/>
  <c r="H8" s="1"/>
  <c r="F17" i="36" s="1"/>
  <c r="G7" i="40"/>
  <c r="I7" s="1"/>
  <c r="E7"/>
  <c r="F7" s="1"/>
  <c r="H7" s="1"/>
  <c r="G6"/>
  <c r="I6" s="1"/>
  <c r="E6"/>
  <c r="G5"/>
  <c r="E5"/>
  <c r="I52" i="41"/>
  <c r="J52" s="1"/>
  <c r="J51"/>
  <c r="I51"/>
  <c r="I50"/>
  <c r="J50" s="1"/>
  <c r="J49"/>
  <c r="I49"/>
  <c r="I48"/>
  <c r="J48" s="1"/>
  <c r="J47"/>
  <c r="I47"/>
  <c r="I46"/>
  <c r="J46" s="1"/>
  <c r="J45"/>
  <c r="I45"/>
  <c r="I44"/>
  <c r="J44" s="1"/>
  <c r="J43"/>
  <c r="I43"/>
  <c r="I42"/>
  <c r="J42" s="1"/>
  <c r="J41"/>
  <c r="I41"/>
  <c r="I40"/>
  <c r="J40" s="1"/>
  <c r="J39"/>
  <c r="I39"/>
  <c r="I38"/>
  <c r="J38" s="1"/>
  <c r="J37"/>
  <c r="I37"/>
  <c r="I36"/>
  <c r="J36" s="1"/>
  <c r="J35"/>
  <c r="I35"/>
  <c r="I34"/>
  <c r="J34" s="1"/>
  <c r="I11" i="40"/>
  <c r="I9"/>
  <c r="I8"/>
  <c r="I17" i="36" s="1"/>
  <c r="J20" i="18" s="1"/>
  <c r="I5" i="40"/>
  <c r="I13" i="36" s="1"/>
  <c r="J16" i="18" s="1"/>
  <c r="H11" i="40"/>
  <c r="H10"/>
  <c r="H9"/>
  <c r="E23" i="18"/>
  <c r="E22"/>
  <c r="K21"/>
  <c r="E21"/>
  <c r="K20"/>
  <c r="E20"/>
  <c r="E19"/>
  <c r="E18"/>
  <c r="E17"/>
  <c r="K16"/>
  <c r="K7" i="19" s="1"/>
  <c r="J8" i="3" s="1"/>
  <c r="E16" i="18"/>
  <c r="E15"/>
  <c r="E14"/>
  <c r="K13"/>
  <c r="E13"/>
  <c r="E12"/>
  <c r="K11"/>
  <c r="E11"/>
  <c r="E10"/>
  <c r="E9"/>
  <c r="E8"/>
  <c r="C9"/>
  <c r="B9" s="1"/>
  <c r="C13"/>
  <c r="B13" s="1"/>
  <c r="C17"/>
  <c r="C8" i="19" s="1"/>
  <c r="B9" i="3" s="1"/>
  <c r="C21" i="18"/>
  <c r="B21" s="1"/>
  <c r="B17"/>
  <c r="G9" i="37"/>
  <c r="F11" i="40"/>
  <c r="F10"/>
  <c r="F9"/>
  <c r="F6"/>
  <c r="H6" s="1"/>
  <c r="F5"/>
  <c r="H5" s="1"/>
  <c r="H20" i="36"/>
  <c r="F23" i="18" s="1"/>
  <c r="H19" i="36"/>
  <c r="F22" i="18" s="1"/>
  <c r="H18" i="36"/>
  <c r="F21" i="18" s="1"/>
  <c r="H17" i="36"/>
  <c r="F20" i="18" s="1"/>
  <c r="H16" i="36"/>
  <c r="F19" i="18" s="1"/>
  <c r="H15" i="36"/>
  <c r="F18" i="18" s="1"/>
  <c r="H14" i="36"/>
  <c r="F17" i="18" s="1"/>
  <c r="H13" i="36"/>
  <c r="F16" i="18" s="1"/>
  <c r="H12" i="36"/>
  <c r="F15" i="18" s="1"/>
  <c r="H11" i="36"/>
  <c r="F14" i="18" s="1"/>
  <c r="H10" i="36"/>
  <c r="F13" i="18" s="1"/>
  <c r="H9" i="36"/>
  <c r="F12" i="18" s="1"/>
  <c r="H8" i="36"/>
  <c r="F11" i="18" s="1"/>
  <c r="H7" i="36"/>
  <c r="F10" i="18" s="1"/>
  <c r="H6" i="36"/>
  <c r="F9" i="18" s="1"/>
  <c r="H5" i="36"/>
  <c r="F8" i="18" s="1"/>
  <c r="G22" i="37"/>
  <c r="G21"/>
  <c r="G17"/>
  <c r="G23" s="1"/>
  <c r="G15"/>
  <c r="G6"/>
  <c r="E20" i="36"/>
  <c r="C23" i="18" s="1"/>
  <c r="B23" s="1"/>
  <c r="E19" i="36"/>
  <c r="C22" i="18" s="1"/>
  <c r="B22" s="1"/>
  <c r="E18" i="36"/>
  <c r="E17"/>
  <c r="C20" i="18" s="1"/>
  <c r="E16" i="36"/>
  <c r="C19" i="18" s="1"/>
  <c r="B19" s="1"/>
  <c r="E15" i="36"/>
  <c r="C18" i="18" s="1"/>
  <c r="C9" i="19" s="1"/>
  <c r="B10" i="3" s="1"/>
  <c r="E14" i="36"/>
  <c r="E13"/>
  <c r="C16" i="18" s="1"/>
  <c r="E12" i="36"/>
  <c r="C15" i="18" s="1"/>
  <c r="B15" s="1"/>
  <c r="E11" i="36"/>
  <c r="C14" i="18" s="1"/>
  <c r="B14" s="1"/>
  <c r="E10" i="36"/>
  <c r="E9"/>
  <c r="C12" i="18" s="1"/>
  <c r="E8" i="36"/>
  <c r="C11" i="18" s="1"/>
  <c r="B11" s="1"/>
  <c r="E7" i="36"/>
  <c r="C10" i="18" s="1"/>
  <c r="B10" s="1"/>
  <c r="E6" i="36"/>
  <c r="E5"/>
  <c r="C8" i="18" s="1"/>
  <c r="B8" s="1"/>
  <c r="B63" i="8"/>
  <c r="B67"/>
  <c r="B68"/>
  <c r="Z24"/>
  <c r="Z25"/>
  <c r="Z26"/>
  <c r="Z27"/>
  <c r="Z28"/>
  <c r="Z29"/>
  <c r="Z30"/>
  <c r="Z31"/>
  <c r="Z32"/>
  <c r="Z33"/>
  <c r="Z34"/>
  <c r="Z23"/>
  <c r="H7" i="19"/>
  <c r="I7"/>
  <c r="H8" i="3" s="1"/>
  <c r="L7" i="19"/>
  <c r="K8" i="3" s="1"/>
  <c r="M7" i="19"/>
  <c r="L8" i="3" s="1"/>
  <c r="N7" i="19"/>
  <c r="M8" i="3" s="1"/>
  <c r="O7" i="19"/>
  <c r="N8" i="3" s="1"/>
  <c r="P7" i="19"/>
  <c r="O8" i="3" s="1"/>
  <c r="Q7" i="19"/>
  <c r="H8"/>
  <c r="I8"/>
  <c r="H9" i="3" s="1"/>
  <c r="L8" i="19"/>
  <c r="K9" i="3" s="1"/>
  <c r="M8" i="19"/>
  <c r="L9" i="3" s="1"/>
  <c r="N8" i="19"/>
  <c r="M9" i="3" s="1"/>
  <c r="O8" i="19"/>
  <c r="N9" i="3" s="1"/>
  <c r="P8" i="19"/>
  <c r="O9" i="3" s="1"/>
  <c r="Q8" i="19"/>
  <c r="H9"/>
  <c r="I9"/>
  <c r="H10" i="3" s="1"/>
  <c r="L9" i="19"/>
  <c r="K10" i="3" s="1"/>
  <c r="M9" i="19"/>
  <c r="L10" i="3" s="1"/>
  <c r="N9" i="19"/>
  <c r="M10" i="3" s="1"/>
  <c r="O9" i="19"/>
  <c r="N10" i="3" s="1"/>
  <c r="P9" i="19"/>
  <c r="O10" i="3" s="1"/>
  <c r="Q9" i="19"/>
  <c r="H10"/>
  <c r="I10"/>
  <c r="H11" i="3" s="1"/>
  <c r="L10" i="19"/>
  <c r="K11" i="3" s="1"/>
  <c r="M10" i="19"/>
  <c r="L11" i="3" s="1"/>
  <c r="N10" i="19"/>
  <c r="M11" i="3" s="1"/>
  <c r="O10" i="19"/>
  <c r="N11" i="3" s="1"/>
  <c r="P10" i="19"/>
  <c r="O11" i="3" s="1"/>
  <c r="Q10" i="19"/>
  <c r="H11"/>
  <c r="I11"/>
  <c r="H12" i="3" s="1"/>
  <c r="L11" i="19"/>
  <c r="K12" i="3" s="1"/>
  <c r="M11" i="19"/>
  <c r="L12" i="3" s="1"/>
  <c r="N11" i="19"/>
  <c r="M12" i="3" s="1"/>
  <c r="O11" i="19"/>
  <c r="N12" i="3" s="1"/>
  <c r="P11" i="19"/>
  <c r="O12" i="3" s="1"/>
  <c r="Q11" i="19"/>
  <c r="B64" i="8"/>
  <c r="B65"/>
  <c r="B66"/>
  <c r="B49"/>
  <c r="B50"/>
  <c r="B51"/>
  <c r="B52"/>
  <c r="B53"/>
  <c r="B54"/>
  <c r="B55"/>
  <c r="X142"/>
  <c r="W142"/>
  <c r="V142"/>
  <c r="U142"/>
  <c r="T142"/>
  <c r="S142"/>
  <c r="R142"/>
  <c r="Q142"/>
  <c r="P142"/>
  <c r="O142"/>
  <c r="N142"/>
  <c r="M142"/>
  <c r="L142"/>
  <c r="K142"/>
  <c r="J142"/>
  <c r="I142"/>
  <c r="H142"/>
  <c r="G142"/>
  <c r="F142"/>
  <c r="E142"/>
  <c r="X105"/>
  <c r="W105"/>
  <c r="V105"/>
  <c r="U105"/>
  <c r="T105"/>
  <c r="S105"/>
  <c r="R105"/>
  <c r="Q105"/>
  <c r="P105"/>
  <c r="O105"/>
  <c r="N105"/>
  <c r="M105"/>
  <c r="L105"/>
  <c r="K105"/>
  <c r="J105"/>
  <c r="I105"/>
  <c r="H105"/>
  <c r="G105"/>
  <c r="F105"/>
  <c r="E105"/>
  <c r="X76"/>
  <c r="W76"/>
  <c r="V76"/>
  <c r="U76"/>
  <c r="T76"/>
  <c r="S76"/>
  <c r="R76"/>
  <c r="Q76"/>
  <c r="P76"/>
  <c r="O76"/>
  <c r="N76"/>
  <c r="M76"/>
  <c r="L76"/>
  <c r="K76"/>
  <c r="J76"/>
  <c r="I76"/>
  <c r="H76"/>
  <c r="G76"/>
  <c r="F76"/>
  <c r="E76"/>
  <c r="A11"/>
  <c r="X141"/>
  <c r="W141"/>
  <c r="V141"/>
  <c r="U141"/>
  <c r="T141"/>
  <c r="S141"/>
  <c r="R141"/>
  <c r="Q141"/>
  <c r="P141"/>
  <c r="O141"/>
  <c r="N141"/>
  <c r="M141"/>
  <c r="L141"/>
  <c r="K141"/>
  <c r="J141"/>
  <c r="I141"/>
  <c r="H141"/>
  <c r="G141"/>
  <c r="F141"/>
  <c r="E141"/>
  <c r="X104"/>
  <c r="W104"/>
  <c r="V104"/>
  <c r="U104"/>
  <c r="T104"/>
  <c r="S104"/>
  <c r="R104"/>
  <c r="Q104"/>
  <c r="P104"/>
  <c r="O104"/>
  <c r="N104"/>
  <c r="M104"/>
  <c r="L104"/>
  <c r="K104"/>
  <c r="J104"/>
  <c r="I104"/>
  <c r="H104"/>
  <c r="G104"/>
  <c r="F104"/>
  <c r="E104"/>
  <c r="X75"/>
  <c r="W75"/>
  <c r="V75"/>
  <c r="U75"/>
  <c r="T75"/>
  <c r="S75"/>
  <c r="R75"/>
  <c r="Q75"/>
  <c r="P75"/>
  <c r="O75"/>
  <c r="N75"/>
  <c r="M75"/>
  <c r="L75"/>
  <c r="K75"/>
  <c r="J75"/>
  <c r="I75"/>
  <c r="H75"/>
  <c r="G75"/>
  <c r="F75"/>
  <c r="E75"/>
  <c r="C74"/>
  <c r="C22"/>
  <c r="A21" s="1"/>
  <c r="E5" i="38" l="1"/>
  <c r="G5"/>
  <c r="F5"/>
  <c r="G19" i="36" s="1"/>
  <c r="D22" i="18" s="1"/>
  <c r="E3" i="38"/>
  <c r="G3"/>
  <c r="F3"/>
  <c r="E4"/>
  <c r="G4"/>
  <c r="G15" i="36" s="1"/>
  <c r="D18" i="18" s="1"/>
  <c r="F4" i="38"/>
  <c r="G14" i="36" s="1"/>
  <c r="D17" i="18" s="1"/>
  <c r="H4" i="38"/>
  <c r="G17" i="36" s="1"/>
  <c r="D20" i="18" s="1"/>
  <c r="F34" i="8"/>
  <c r="F36"/>
  <c r="F33"/>
  <c r="F37"/>
  <c r="F35"/>
  <c r="F30"/>
  <c r="F29"/>
  <c r="F28"/>
  <c r="F32"/>
  <c r="F31"/>
  <c r="F38"/>
  <c r="F42"/>
  <c r="F40"/>
  <c r="F41"/>
  <c r="F39"/>
  <c r="D141"/>
  <c r="C48"/>
  <c r="J48" s="1"/>
  <c r="B12" i="18"/>
  <c r="C7" i="19"/>
  <c r="B8" i="3" s="1"/>
  <c r="B16" i="18"/>
  <c r="C11" i="19"/>
  <c r="B12" i="3" s="1"/>
  <c r="B20" i="18"/>
  <c r="B11" i="19" s="1"/>
  <c r="A12" i="3" s="1"/>
  <c r="F18" i="36"/>
  <c r="F9"/>
  <c r="I15"/>
  <c r="J18" i="18" s="1"/>
  <c r="I7" i="36"/>
  <c r="J10" i="18" s="1"/>
  <c r="I11" i="36"/>
  <c r="J14" i="18" s="1"/>
  <c r="I6" i="36"/>
  <c r="J9" i="18" s="1"/>
  <c r="I19" i="36"/>
  <c r="J22" i="18" s="1"/>
  <c r="F11" i="36"/>
  <c r="F7"/>
  <c r="F13"/>
  <c r="F19"/>
  <c r="F15"/>
  <c r="F20"/>
  <c r="I10"/>
  <c r="J13" i="18" s="1"/>
  <c r="I14" i="36"/>
  <c r="J17" i="18" s="1"/>
  <c r="I18" i="36"/>
  <c r="J21" i="18" s="1"/>
  <c r="I8" i="36"/>
  <c r="J11" i="18" s="1"/>
  <c r="I12" i="36"/>
  <c r="J15" i="18" s="1"/>
  <c r="I16" i="36"/>
  <c r="J19" i="18" s="1"/>
  <c r="I20" i="36"/>
  <c r="J23" i="18" s="1"/>
  <c r="I5" i="36"/>
  <c r="J8" i="18" s="1"/>
  <c r="I9" i="36"/>
  <c r="J12" i="18" s="1"/>
  <c r="F12" i="36"/>
  <c r="F16"/>
  <c r="F8"/>
  <c r="F5"/>
  <c r="F10"/>
  <c r="F14"/>
  <c r="F6"/>
  <c r="B18" i="18"/>
  <c r="B7" i="19"/>
  <c r="A8" i="3" s="1"/>
  <c r="E7" i="19"/>
  <c r="D8" i="3" s="1"/>
  <c r="B8" i="19"/>
  <c r="A9" i="3" s="1"/>
  <c r="E11" i="19"/>
  <c r="D12" i="3" s="1"/>
  <c r="K11" i="19"/>
  <c r="J12" i="3" s="1"/>
  <c r="B10" i="19"/>
  <c r="A11" i="3" s="1"/>
  <c r="E10" i="19"/>
  <c r="D11" i="3" s="1"/>
  <c r="C10" i="19"/>
  <c r="B11" i="3" s="1"/>
  <c r="E8" i="19"/>
  <c r="D9" i="3" s="1"/>
  <c r="K8" i="19"/>
  <c r="J9" i="3" s="1"/>
  <c r="E9" i="19"/>
  <c r="D10" i="3" s="1"/>
  <c r="K9" i="19"/>
  <c r="J10" i="3" s="1"/>
  <c r="G11" i="36" l="1"/>
  <c r="D14" i="18" s="1"/>
  <c r="G7" i="36"/>
  <c r="D10" i="18" s="1"/>
  <c r="G20" i="36"/>
  <c r="D23" i="18" s="1"/>
  <c r="G18" i="36"/>
  <c r="D21" i="18" s="1"/>
  <c r="G10" i="36"/>
  <c r="D13" i="18" s="1"/>
  <c r="G6" i="36"/>
  <c r="D9" i="18" s="1"/>
  <c r="G16" i="36"/>
  <c r="D19" i="18" s="1"/>
  <c r="G13" i="36"/>
  <c r="D16" i="18" s="1"/>
  <c r="G12" i="36"/>
  <c r="D15" i="18" s="1"/>
  <c r="G8" i="36"/>
  <c r="D11" i="18" s="1"/>
  <c r="G9" i="36"/>
  <c r="D12" i="18" s="1"/>
  <c r="G5" i="36"/>
  <c r="D8" i="18" s="1"/>
  <c r="G40" i="8"/>
  <c r="G41"/>
  <c r="G39"/>
  <c r="G38"/>
  <c r="G42"/>
  <c r="F26"/>
  <c r="F25"/>
  <c r="F23"/>
  <c r="F24"/>
  <c r="F27"/>
  <c r="G32"/>
  <c r="G28"/>
  <c r="G29"/>
  <c r="G31"/>
  <c r="G30"/>
  <c r="G36"/>
  <c r="G34"/>
  <c r="G35"/>
  <c r="G37"/>
  <c r="G33"/>
  <c r="E48"/>
  <c r="E49" s="1"/>
  <c r="E77" s="1"/>
  <c r="K3" i="42" s="1"/>
  <c r="L48" i="8"/>
  <c r="R48"/>
  <c r="I48"/>
  <c r="P48"/>
  <c r="F48"/>
  <c r="F67" s="1"/>
  <c r="F95" s="1"/>
  <c r="L21" i="42" s="1"/>
  <c r="M48" i="8"/>
  <c r="T48"/>
  <c r="A47"/>
  <c r="U48"/>
  <c r="K48"/>
  <c r="W48"/>
  <c r="G48"/>
  <c r="O48"/>
  <c r="S48"/>
  <c r="V48"/>
  <c r="Q48"/>
  <c r="X48"/>
  <c r="H48"/>
  <c r="N48"/>
  <c r="B9" i="19"/>
  <c r="A10" i="3" s="1"/>
  <c r="F11" i="19"/>
  <c r="E12" i="3" s="1"/>
  <c r="F18" i="8"/>
  <c r="J11" i="19"/>
  <c r="I12" i="3" s="1"/>
  <c r="G11" i="19"/>
  <c r="F12" i="3" s="1"/>
  <c r="G23" i="8" l="1"/>
  <c r="G49" s="1"/>
  <c r="G77" s="1"/>
  <c r="M3" i="42" s="1"/>
  <c r="G27" i="8"/>
  <c r="G53" s="1"/>
  <c r="G81" s="1"/>
  <c r="M7" i="42" s="1"/>
  <c r="G24" i="8"/>
  <c r="G25"/>
  <c r="G51" s="1"/>
  <c r="G79" s="1"/>
  <c r="M5" i="42" s="1"/>
  <c r="G26" i="8"/>
  <c r="G52" s="1"/>
  <c r="G80" s="1"/>
  <c r="M6" i="42" s="1"/>
  <c r="H39" i="8"/>
  <c r="H68" s="1"/>
  <c r="H96" s="1"/>
  <c r="N22" i="42" s="1"/>
  <c r="H40" i="8"/>
  <c r="H38"/>
  <c r="H41"/>
  <c r="H42"/>
  <c r="H36"/>
  <c r="H62" s="1"/>
  <c r="H90" s="1"/>
  <c r="N16" i="42" s="1"/>
  <c r="H35" i="8"/>
  <c r="H61" s="1"/>
  <c r="H89" s="1"/>
  <c r="N15" i="42" s="1"/>
  <c r="H37" i="8"/>
  <c r="H33"/>
  <c r="H66" s="1"/>
  <c r="H94" s="1"/>
  <c r="N20" i="42" s="1"/>
  <c r="H34" i="8"/>
  <c r="H60" s="1"/>
  <c r="H88" s="1"/>
  <c r="N14" i="42" s="1"/>
  <c r="H29" i="8"/>
  <c r="H55" s="1"/>
  <c r="H83" s="1"/>
  <c r="N9" i="42" s="1"/>
  <c r="H32" i="8"/>
  <c r="H58" s="1"/>
  <c r="H86" s="1"/>
  <c r="N12" i="42" s="1"/>
  <c r="H30" i="8"/>
  <c r="H56" s="1"/>
  <c r="H84" s="1"/>
  <c r="N10" i="42" s="1"/>
  <c r="H28" i="8"/>
  <c r="H31"/>
  <c r="H57" s="1"/>
  <c r="H85" s="1"/>
  <c r="N11" i="42" s="1"/>
  <c r="G60" i="8"/>
  <c r="G88" s="1"/>
  <c r="M14" i="42" s="1"/>
  <c r="F62" i="8"/>
  <c r="F90" s="1"/>
  <c r="L16" i="42" s="1"/>
  <c r="F56" i="8"/>
  <c r="F84" s="1"/>
  <c r="L10" i="42" s="1"/>
  <c r="F60" i="8"/>
  <c r="F88" s="1"/>
  <c r="L14" i="42" s="1"/>
  <c r="F49" i="8"/>
  <c r="F77" s="1"/>
  <c r="L3" i="42" s="1"/>
  <c r="G68" i="8"/>
  <c r="G96" s="1"/>
  <c r="M22" i="42" s="1"/>
  <c r="F57" i="8"/>
  <c r="F85" s="1"/>
  <c r="L11" i="42" s="1"/>
  <c r="E64" i="8"/>
  <c r="E60"/>
  <c r="E88" s="1"/>
  <c r="K14" i="42" s="1"/>
  <c r="E57" i="8"/>
  <c r="E85" s="1"/>
  <c r="K11" i="42" s="1"/>
  <c r="E58" i="8"/>
  <c r="E86" s="1"/>
  <c r="K12" i="42" s="1"/>
  <c r="E61" i="8"/>
  <c r="E89" s="1"/>
  <c r="K15" i="42" s="1"/>
  <c r="E62" i="8"/>
  <c r="E90" s="1"/>
  <c r="K16" i="42" s="1"/>
  <c r="E56" i="8"/>
  <c r="E84" s="1"/>
  <c r="K10" i="42" s="1"/>
  <c r="E59" i="8"/>
  <c r="E87" s="1"/>
  <c r="K13" i="42" s="1"/>
  <c r="G58" i="8"/>
  <c r="G86" s="1"/>
  <c r="M12" i="42" s="1"/>
  <c r="G61" i="8"/>
  <c r="G89" s="1"/>
  <c r="M15" i="42" s="1"/>
  <c r="G56" i="8"/>
  <c r="G84" s="1"/>
  <c r="M10" i="42" s="1"/>
  <c r="F58" i="8"/>
  <c r="F86" s="1"/>
  <c r="L12" i="42" s="1"/>
  <c r="G62" i="8"/>
  <c r="G90" s="1"/>
  <c r="M16" i="42" s="1"/>
  <c r="G59" i="8"/>
  <c r="G87" s="1"/>
  <c r="M13" i="42" s="1"/>
  <c r="F59" i="8"/>
  <c r="F87" s="1"/>
  <c r="L13" i="42" s="1"/>
  <c r="G57" i="8"/>
  <c r="G85" s="1"/>
  <c r="M11" i="42" s="1"/>
  <c r="F61" i="8"/>
  <c r="F89" s="1"/>
  <c r="L15" i="42" s="1"/>
  <c r="G67" i="8"/>
  <c r="G95" s="1"/>
  <c r="M21" i="42" s="1"/>
  <c r="G66" i="8"/>
  <c r="G94" s="1"/>
  <c r="M20" i="42" s="1"/>
  <c r="G63" i="8"/>
  <c r="G91" s="1"/>
  <c r="M17" i="42" s="1"/>
  <c r="E65" i="8"/>
  <c r="E93" s="1"/>
  <c r="K19" i="42" s="1"/>
  <c r="F63" i="8"/>
  <c r="F91" s="1"/>
  <c r="L17" i="42" s="1"/>
  <c r="E67" i="8"/>
  <c r="E63"/>
  <c r="E91" s="1"/>
  <c r="K17" i="42" s="1"/>
  <c r="F55" i="8"/>
  <c r="F83" s="1"/>
  <c r="L9" i="42" s="1"/>
  <c r="E55" i="8"/>
  <c r="E83" s="1"/>
  <c r="K9" i="42" s="1"/>
  <c r="E54" i="8"/>
  <c r="E82" s="1"/>
  <c r="K8" i="42" s="1"/>
  <c r="E68" i="8"/>
  <c r="G64"/>
  <c r="G92" s="1"/>
  <c r="M18" i="42" s="1"/>
  <c r="E52" i="8"/>
  <c r="E50"/>
  <c r="E78" s="1"/>
  <c r="K4" i="42" s="1"/>
  <c r="E53" i="8"/>
  <c r="E81" s="1"/>
  <c r="K7" i="42" s="1"/>
  <c r="F54" i="8"/>
  <c r="F82" s="1"/>
  <c r="L8" i="42" s="1"/>
  <c r="F51" i="8"/>
  <c r="F79" s="1"/>
  <c r="L5" i="42" s="1"/>
  <c r="F65" i="8"/>
  <c r="F93" s="1"/>
  <c r="L19" i="42" s="1"/>
  <c r="F52" i="8"/>
  <c r="F80" s="1"/>
  <c r="L6" i="42" s="1"/>
  <c r="F50" i="8"/>
  <c r="F78" s="1"/>
  <c r="L4" i="42" s="1"/>
  <c r="G55" i="8"/>
  <c r="G83" s="1"/>
  <c r="M9" i="42" s="1"/>
  <c r="F64" i="8"/>
  <c r="F92" s="1"/>
  <c r="L18" i="42" s="1"/>
  <c r="E66" i="8"/>
  <c r="E94" s="1"/>
  <c r="K20" i="42" s="1"/>
  <c r="E51" i="8"/>
  <c r="E79" s="1"/>
  <c r="K5" i="42" s="1"/>
  <c r="F68" i="8"/>
  <c r="F96" s="1"/>
  <c r="L22" i="42" s="1"/>
  <c r="F66" i="8"/>
  <c r="F94" s="1"/>
  <c r="L20" i="42" s="1"/>
  <c r="F53" i="8"/>
  <c r="F81" s="1"/>
  <c r="L7" i="42" s="1"/>
  <c r="J10" i="19"/>
  <c r="I11" i="3" s="1"/>
  <c r="D11" i="19"/>
  <c r="C12" i="3" s="1"/>
  <c r="G18" i="8"/>
  <c r="J7" i="19"/>
  <c r="I8" i="3" s="1"/>
  <c r="G7" i="19"/>
  <c r="F8" i="3" s="1"/>
  <c r="F7" i="19"/>
  <c r="E8" i="3" s="1"/>
  <c r="G10" i="19"/>
  <c r="F11" i="3" s="1"/>
  <c r="F44" i="8"/>
  <c r="G54"/>
  <c r="G82" s="1"/>
  <c r="M8" i="42" s="1"/>
  <c r="G65" i="8"/>
  <c r="G93" s="1"/>
  <c r="M19" i="42" s="1"/>
  <c r="F10" i="19"/>
  <c r="E11" i="3" s="1"/>
  <c r="H59" i="8" l="1"/>
  <c r="H87" s="1"/>
  <c r="N13" i="42" s="1"/>
  <c r="H24" i="8"/>
  <c r="H23"/>
  <c r="H26"/>
  <c r="H52" s="1"/>
  <c r="H80" s="1"/>
  <c r="N6" i="42" s="1"/>
  <c r="H25" i="8"/>
  <c r="H51" s="1"/>
  <c r="H79" s="1"/>
  <c r="N5" i="42" s="1"/>
  <c r="H27" i="8"/>
  <c r="H53" s="1"/>
  <c r="H81" s="1"/>
  <c r="N7" i="42" s="1"/>
  <c r="I37" i="8"/>
  <c r="I35"/>
  <c r="I61" s="1"/>
  <c r="I89" s="1"/>
  <c r="O15" i="42" s="1"/>
  <c r="I36" i="8"/>
  <c r="I62" s="1"/>
  <c r="I90" s="1"/>
  <c r="O16" i="42" s="1"/>
  <c r="I34" i="8"/>
  <c r="I33"/>
  <c r="I40"/>
  <c r="I41"/>
  <c r="I42"/>
  <c r="I38"/>
  <c r="I39"/>
  <c r="I68" s="1"/>
  <c r="I96" s="1"/>
  <c r="O22" i="42" s="1"/>
  <c r="I32" i="8"/>
  <c r="I58" s="1"/>
  <c r="I86" s="1"/>
  <c r="O12" i="42" s="1"/>
  <c r="I28" i="8"/>
  <c r="I29"/>
  <c r="I55" s="1"/>
  <c r="I83" s="1"/>
  <c r="O9" i="42" s="1"/>
  <c r="I30" i="8"/>
  <c r="I31"/>
  <c r="E92"/>
  <c r="K18" i="42" s="1"/>
  <c r="E80" i="8"/>
  <c r="K6" i="42" s="1"/>
  <c r="E95" i="8"/>
  <c r="K21" i="42" s="1"/>
  <c r="F106" i="8"/>
  <c r="F143" s="1"/>
  <c r="E96"/>
  <c r="K22" i="42" s="1"/>
  <c r="H67" i="8"/>
  <c r="H95" s="1"/>
  <c r="N21" i="42" s="1"/>
  <c r="F70" i="8"/>
  <c r="H63"/>
  <c r="H91" s="1"/>
  <c r="N17" i="42" s="1"/>
  <c r="H64" i="8"/>
  <c r="H92" s="1"/>
  <c r="N18" i="42" s="1"/>
  <c r="H49" i="8"/>
  <c r="H77" s="1"/>
  <c r="N3" i="42" s="1"/>
  <c r="E70" i="8"/>
  <c r="J9" i="19"/>
  <c r="I10" i="3" s="1"/>
  <c r="F9" i="19"/>
  <c r="E10" i="3" s="1"/>
  <c r="G9" i="19"/>
  <c r="F10" i="3" s="1"/>
  <c r="G8" i="19"/>
  <c r="F9" i="3" s="1"/>
  <c r="F8" i="19"/>
  <c r="E9" i="3" s="1"/>
  <c r="J8" i="19"/>
  <c r="I9" i="3" s="1"/>
  <c r="D10" i="19"/>
  <c r="C11" i="3" s="1"/>
  <c r="H65" i="8"/>
  <c r="H54"/>
  <c r="H82" s="1"/>
  <c r="N8" i="42" s="1"/>
  <c r="F134" i="8"/>
  <c r="F123"/>
  <c r="F115"/>
  <c r="F133"/>
  <c r="F116"/>
  <c r="F135"/>
  <c r="F120"/>
  <c r="F129"/>
  <c r="F110"/>
  <c r="F131"/>
  <c r="F130"/>
  <c r="F128"/>
  <c r="F125"/>
  <c r="F107"/>
  <c r="F124"/>
  <c r="F109"/>
  <c r="F121"/>
  <c r="F98"/>
  <c r="F119"/>
  <c r="F113"/>
  <c r="F126"/>
  <c r="F163" s="1"/>
  <c r="F114"/>
  <c r="F132"/>
  <c r="F108"/>
  <c r="F111"/>
  <c r="F148" s="1"/>
  <c r="F127"/>
  <c r="F137"/>
  <c r="F117"/>
  <c r="F136"/>
  <c r="F122"/>
  <c r="F112"/>
  <c r="F118"/>
  <c r="G50"/>
  <c r="G78" s="1"/>
  <c r="G107" s="1"/>
  <c r="G44"/>
  <c r="H18"/>
  <c r="D7" i="19"/>
  <c r="C8" i="3" s="1"/>
  <c r="G106" i="8" l="1"/>
  <c r="G143" s="1"/>
  <c r="M4" i="42"/>
  <c r="F155" i="8"/>
  <c r="I24"/>
  <c r="I26"/>
  <c r="I52" s="1"/>
  <c r="I80" s="1"/>
  <c r="O6" i="42" s="1"/>
  <c r="I27" i="8"/>
  <c r="I53" s="1"/>
  <c r="I81" s="1"/>
  <c r="O7" i="42" s="1"/>
  <c r="I23" i="8"/>
  <c r="I25"/>
  <c r="I51" s="1"/>
  <c r="I79" s="1"/>
  <c r="O5" i="42" s="1"/>
  <c r="J33" i="8"/>
  <c r="J37"/>
  <c r="J35"/>
  <c r="J61" s="1"/>
  <c r="J89" s="1"/>
  <c r="P15" i="42" s="1"/>
  <c r="J36" i="8"/>
  <c r="J62" s="1"/>
  <c r="J90" s="1"/>
  <c r="P16" i="42" s="1"/>
  <c r="J34" i="8"/>
  <c r="J41"/>
  <c r="J40"/>
  <c r="J39"/>
  <c r="J38"/>
  <c r="J42"/>
  <c r="J29"/>
  <c r="J55" s="1"/>
  <c r="J83" s="1"/>
  <c r="P9" i="42" s="1"/>
  <c r="J31" i="8"/>
  <c r="J28"/>
  <c r="J32"/>
  <c r="J58" s="1"/>
  <c r="J86" s="1"/>
  <c r="P12" i="42" s="1"/>
  <c r="J30" i="8"/>
  <c r="E130"/>
  <c r="E107"/>
  <c r="E117"/>
  <c r="E131"/>
  <c r="E124"/>
  <c r="E108"/>
  <c r="E127"/>
  <c r="E134"/>
  <c r="E113"/>
  <c r="E135"/>
  <c r="E123"/>
  <c r="E116"/>
  <c r="E137"/>
  <c r="E139" s="1"/>
  <c r="F139" s="1"/>
  <c r="E118"/>
  <c r="E125"/>
  <c r="E133"/>
  <c r="E129"/>
  <c r="E136"/>
  <c r="E120"/>
  <c r="E109"/>
  <c r="E132"/>
  <c r="E98"/>
  <c r="E100" s="1"/>
  <c r="F100" s="1"/>
  <c r="E121"/>
  <c r="E158" s="1"/>
  <c r="E110"/>
  <c r="E122"/>
  <c r="H93"/>
  <c r="N19" i="42" s="1"/>
  <c r="F144" i="8"/>
  <c r="E115"/>
  <c r="E119"/>
  <c r="E112"/>
  <c r="E128"/>
  <c r="E114"/>
  <c r="E151" s="1"/>
  <c r="E111"/>
  <c r="E126"/>
  <c r="E106"/>
  <c r="E143" s="1"/>
  <c r="I57"/>
  <c r="I85" s="1"/>
  <c r="O11" i="42" s="1"/>
  <c r="I64" i="8"/>
  <c r="I92" s="1"/>
  <c r="O18" i="42" s="1"/>
  <c r="I59" i="8"/>
  <c r="I87" s="1"/>
  <c r="O13" i="42" s="1"/>
  <c r="I66" i="8"/>
  <c r="I94" s="1"/>
  <c r="O20" i="42" s="1"/>
  <c r="I60" i="8"/>
  <c r="I88" s="1"/>
  <c r="O14" i="42" s="1"/>
  <c r="I67" i="8"/>
  <c r="I95" s="1"/>
  <c r="O21" i="42" s="1"/>
  <c r="J68" i="8"/>
  <c r="J96" s="1"/>
  <c r="P22" i="42" s="1"/>
  <c r="I49" i="8"/>
  <c r="I77" s="1"/>
  <c r="O3" i="42" s="1"/>
  <c r="I56" i="8"/>
  <c r="I84" s="1"/>
  <c r="O10" i="42" s="1"/>
  <c r="I63" i="8"/>
  <c r="I91" s="1"/>
  <c r="O17" i="42" s="1"/>
  <c r="F151" i="8"/>
  <c r="F167"/>
  <c r="F168"/>
  <c r="D9" i="19"/>
  <c r="C10" i="3" s="1"/>
  <c r="F173" i="8"/>
  <c r="F158"/>
  <c r="F162"/>
  <c r="F147"/>
  <c r="F153"/>
  <c r="F171"/>
  <c r="H50"/>
  <c r="H78" s="1"/>
  <c r="N4" i="42" s="1"/>
  <c r="H44" i="8"/>
  <c r="I18"/>
  <c r="I54"/>
  <c r="I82" s="1"/>
  <c r="O8" i="42" s="1"/>
  <c r="F164" i="8"/>
  <c r="F160"/>
  <c r="F154"/>
  <c r="F145"/>
  <c r="F150"/>
  <c r="F146"/>
  <c r="F165"/>
  <c r="F166"/>
  <c r="F170"/>
  <c r="I65"/>
  <c r="I93" s="1"/>
  <c r="O19" i="42" s="1"/>
  <c r="G70" i="8"/>
  <c r="F174"/>
  <c r="F159"/>
  <c r="F172"/>
  <c r="F149"/>
  <c r="F169"/>
  <c r="F156"/>
  <c r="F161"/>
  <c r="F157"/>
  <c r="F152"/>
  <c r="E145" l="1"/>
  <c r="E147"/>
  <c r="E171"/>
  <c r="G144"/>
  <c r="E168"/>
  <c r="E166"/>
  <c r="K34"/>
  <c r="K35"/>
  <c r="K61" s="1"/>
  <c r="K89" s="1"/>
  <c r="Q15" i="42" s="1"/>
  <c r="K37" i="8"/>
  <c r="K33"/>
  <c r="K36"/>
  <c r="J24"/>
  <c r="J27"/>
  <c r="J53" s="1"/>
  <c r="J81" s="1"/>
  <c r="P7" i="42" s="1"/>
  <c r="J23" i="8"/>
  <c r="J49" s="1"/>
  <c r="J77" s="1"/>
  <c r="P3" i="42" s="1"/>
  <c r="J25" i="8"/>
  <c r="J51" s="1"/>
  <c r="J79" s="1"/>
  <c r="P5" i="42" s="1"/>
  <c r="J26" i="8"/>
  <c r="J52" s="1"/>
  <c r="J80" s="1"/>
  <c r="P6" i="42" s="1"/>
  <c r="K41" i="8"/>
  <c r="K38"/>
  <c r="K39"/>
  <c r="K68" s="1"/>
  <c r="K96" s="1"/>
  <c r="Q22" i="42" s="1"/>
  <c r="K42" i="8"/>
  <c r="K40"/>
  <c r="K30"/>
  <c r="K31"/>
  <c r="K32"/>
  <c r="K58" s="1"/>
  <c r="K86" s="1"/>
  <c r="Q12" i="42" s="1"/>
  <c r="K29" i="8"/>
  <c r="K55" s="1"/>
  <c r="K83" s="1"/>
  <c r="Q9" i="42" s="1"/>
  <c r="K28" i="8"/>
  <c r="E167"/>
  <c r="E174"/>
  <c r="E150"/>
  <c r="E162"/>
  <c r="E161"/>
  <c r="E154"/>
  <c r="E148"/>
  <c r="E157"/>
  <c r="H106"/>
  <c r="H143" s="1"/>
  <c r="E155"/>
  <c r="E172"/>
  <c r="E153"/>
  <c r="E164"/>
  <c r="E146"/>
  <c r="H107"/>
  <c r="E165"/>
  <c r="E170"/>
  <c r="E173"/>
  <c r="E159"/>
  <c r="E144"/>
  <c r="E160"/>
  <c r="E163"/>
  <c r="E156"/>
  <c r="E149"/>
  <c r="E169"/>
  <c r="E152"/>
  <c r="J59"/>
  <c r="J87" s="1"/>
  <c r="P13" i="42" s="1"/>
  <c r="J66" i="8"/>
  <c r="J94" s="1"/>
  <c r="P20" i="42" s="1"/>
  <c r="J60" i="8"/>
  <c r="J88" s="1"/>
  <c r="P14" i="42" s="1"/>
  <c r="J67" i="8"/>
  <c r="J95" s="1"/>
  <c r="P21" i="42" s="1"/>
  <c r="J56" i="8"/>
  <c r="J84" s="1"/>
  <c r="P10" i="42" s="1"/>
  <c r="J63" i="8"/>
  <c r="J91" s="1"/>
  <c r="P17" i="42" s="1"/>
  <c r="K62" i="8"/>
  <c r="K90" s="1"/>
  <c r="Q16" i="42" s="1"/>
  <c r="J57" i="8"/>
  <c r="J85" s="1"/>
  <c r="P11" i="42" s="1"/>
  <c r="J64" i="8"/>
  <c r="J92" s="1"/>
  <c r="P18" i="42" s="1"/>
  <c r="F176" i="8"/>
  <c r="D8" i="19"/>
  <c r="C9" i="3" s="1"/>
  <c r="G108" i="8"/>
  <c r="G145" s="1"/>
  <c r="G110"/>
  <c r="G98"/>
  <c r="G119"/>
  <c r="G137"/>
  <c r="G130"/>
  <c r="G129"/>
  <c r="G123"/>
  <c r="G133"/>
  <c r="G115"/>
  <c r="G134"/>
  <c r="G113"/>
  <c r="G126"/>
  <c r="G112"/>
  <c r="G121"/>
  <c r="G132"/>
  <c r="G136"/>
  <c r="G128"/>
  <c r="G117"/>
  <c r="G125"/>
  <c r="G127"/>
  <c r="G164" s="1"/>
  <c r="G111"/>
  <c r="G148" s="1"/>
  <c r="G124"/>
  <c r="G109"/>
  <c r="G122"/>
  <c r="G131"/>
  <c r="G168" s="1"/>
  <c r="G120"/>
  <c r="G116"/>
  <c r="G114"/>
  <c r="G135"/>
  <c r="G118"/>
  <c r="G155" s="1"/>
  <c r="J54"/>
  <c r="J82" s="1"/>
  <c r="P8" i="42" s="1"/>
  <c r="J18" i="8"/>
  <c r="J65"/>
  <c r="H70"/>
  <c r="I50"/>
  <c r="I78" s="1"/>
  <c r="I44"/>
  <c r="I106" l="1"/>
  <c r="I143" s="1"/>
  <c r="O4" i="42"/>
  <c r="L28" i="8"/>
  <c r="L31"/>
  <c r="L32"/>
  <c r="L58" s="1"/>
  <c r="L86" s="1"/>
  <c r="R12" i="42" s="1"/>
  <c r="L29" i="8"/>
  <c r="L55" s="1"/>
  <c r="L83" s="1"/>
  <c r="R9" i="42" s="1"/>
  <c r="L30" i="8"/>
  <c r="K24"/>
  <c r="K25"/>
  <c r="K51" s="1"/>
  <c r="K79" s="1"/>
  <c r="Q5" i="42" s="1"/>
  <c r="K27" i="8"/>
  <c r="K53" s="1"/>
  <c r="K81" s="1"/>
  <c r="Q7" i="42" s="1"/>
  <c r="K23" i="8"/>
  <c r="K49" s="1"/>
  <c r="K77" s="1"/>
  <c r="Q3" i="42" s="1"/>
  <c r="K26" i="8"/>
  <c r="K52" s="1"/>
  <c r="K80" s="1"/>
  <c r="Q6" i="42" s="1"/>
  <c r="L37" i="8"/>
  <c r="L34"/>
  <c r="L35"/>
  <c r="L61" s="1"/>
  <c r="L89" s="1"/>
  <c r="R15" i="42" s="1"/>
  <c r="L36" i="8"/>
  <c r="L62" s="1"/>
  <c r="L90" s="1"/>
  <c r="R16" i="42" s="1"/>
  <c r="L33" i="8"/>
  <c r="L41"/>
  <c r="L42"/>
  <c r="L39"/>
  <c r="L68" s="1"/>
  <c r="L96" s="1"/>
  <c r="R22" i="42" s="1"/>
  <c r="L40" i="8"/>
  <c r="L38"/>
  <c r="H144"/>
  <c r="I107"/>
  <c r="E176"/>
  <c r="E177" s="1"/>
  <c r="F177" s="1"/>
  <c r="J93"/>
  <c r="P19" i="42" s="1"/>
  <c r="K60" i="8"/>
  <c r="K88" s="1"/>
  <c r="Q14" i="42" s="1"/>
  <c r="K67" i="8"/>
  <c r="K95" s="1"/>
  <c r="Q21" i="42" s="1"/>
  <c r="K56" i="8"/>
  <c r="K84" s="1"/>
  <c r="Q10" i="42" s="1"/>
  <c r="K63" i="8"/>
  <c r="K91" s="1"/>
  <c r="Q17" i="42" s="1"/>
  <c r="K57" i="8"/>
  <c r="K85" s="1"/>
  <c r="Q11" i="42" s="1"/>
  <c r="K64" i="8"/>
  <c r="K92" s="1"/>
  <c r="Q18" i="42" s="1"/>
  <c r="K59" i="8"/>
  <c r="K87" s="1"/>
  <c r="Q13" i="42" s="1"/>
  <c r="K66" i="8"/>
  <c r="K94" s="1"/>
  <c r="Q20" i="42" s="1"/>
  <c r="G172" i="8"/>
  <c r="G159"/>
  <c r="G146"/>
  <c r="G157"/>
  <c r="G161"/>
  <c r="G151"/>
  <c r="G171"/>
  <c r="G165"/>
  <c r="G152"/>
  <c r="G167"/>
  <c r="G147"/>
  <c r="G100"/>
  <c r="G149"/>
  <c r="G154"/>
  <c r="G158"/>
  <c r="G166"/>
  <c r="J50"/>
  <c r="J78" s="1"/>
  <c r="P4" i="42" s="1"/>
  <c r="J44" i="8"/>
  <c r="K54"/>
  <c r="K82" s="1"/>
  <c r="Q8" i="42" s="1"/>
  <c r="G153" i="8"/>
  <c r="G162"/>
  <c r="G169"/>
  <c r="G150"/>
  <c r="G160"/>
  <c r="G156"/>
  <c r="I70"/>
  <c r="K65"/>
  <c r="H128"/>
  <c r="H98"/>
  <c r="H112"/>
  <c r="H124"/>
  <c r="H132"/>
  <c r="H121"/>
  <c r="H120"/>
  <c r="H134"/>
  <c r="H135"/>
  <c r="H119"/>
  <c r="H129"/>
  <c r="H122"/>
  <c r="H118"/>
  <c r="H125"/>
  <c r="H108"/>
  <c r="H145" s="1"/>
  <c r="H130"/>
  <c r="H117"/>
  <c r="H116"/>
  <c r="H111"/>
  <c r="H114"/>
  <c r="H109"/>
  <c r="H127"/>
  <c r="H110"/>
  <c r="H113"/>
  <c r="H115"/>
  <c r="H137"/>
  <c r="H131"/>
  <c r="H126"/>
  <c r="H136"/>
  <c r="H173" s="1"/>
  <c r="H133"/>
  <c r="H123"/>
  <c r="K18"/>
  <c r="G174"/>
  <c r="G139"/>
  <c r="G173"/>
  <c r="G163"/>
  <c r="G170"/>
  <c r="I144" l="1"/>
  <c r="J107"/>
  <c r="M36"/>
  <c r="M62" s="1"/>
  <c r="M90" s="1"/>
  <c r="S16" i="42" s="1"/>
  <c r="M37" i="8"/>
  <c r="M34"/>
  <c r="M35"/>
  <c r="M61" s="1"/>
  <c r="M89" s="1"/>
  <c r="S15" i="42" s="1"/>
  <c r="M33" i="8"/>
  <c r="M32"/>
  <c r="M58" s="1"/>
  <c r="M86" s="1"/>
  <c r="S12" i="42" s="1"/>
  <c r="M28" i="8"/>
  <c r="M29"/>
  <c r="M55" s="1"/>
  <c r="M83" s="1"/>
  <c r="S9" i="42" s="1"/>
  <c r="M31" i="8"/>
  <c r="M30"/>
  <c r="L27"/>
  <c r="L53" s="1"/>
  <c r="L81" s="1"/>
  <c r="R7" i="42" s="1"/>
  <c r="L26" i="8"/>
  <c r="L52" s="1"/>
  <c r="L80" s="1"/>
  <c r="R6" i="42" s="1"/>
  <c r="L23" i="8"/>
  <c r="L49" s="1"/>
  <c r="L77" s="1"/>
  <c r="R3" i="42" s="1"/>
  <c r="L24" i="8"/>
  <c r="L25"/>
  <c r="L51" s="1"/>
  <c r="L79" s="1"/>
  <c r="R5" i="42" s="1"/>
  <c r="M38" i="8"/>
  <c r="M39"/>
  <c r="M68" s="1"/>
  <c r="M96" s="1"/>
  <c r="S22" i="42" s="1"/>
  <c r="M40" i="8"/>
  <c r="M41"/>
  <c r="M42"/>
  <c r="J106"/>
  <c r="J143" s="1"/>
  <c r="K93"/>
  <c r="Q19" i="42" s="1"/>
  <c r="L56" i="8"/>
  <c r="L84" s="1"/>
  <c r="R10" i="42" s="1"/>
  <c r="L63" i="8"/>
  <c r="L91" s="1"/>
  <c r="R17" i="42" s="1"/>
  <c r="L60" i="8"/>
  <c r="L88" s="1"/>
  <c r="R14" i="42" s="1"/>
  <c r="L67" i="8"/>
  <c r="L95" s="1"/>
  <c r="R21" i="42" s="1"/>
  <c r="L59" i="8"/>
  <c r="L87" s="1"/>
  <c r="R13" i="42" s="1"/>
  <c r="L66" i="8"/>
  <c r="L94" s="1"/>
  <c r="R20" i="42" s="1"/>
  <c r="L57" i="8"/>
  <c r="L85" s="1"/>
  <c r="R11" i="42" s="1"/>
  <c r="L64" i="8"/>
  <c r="L92" s="1"/>
  <c r="R18" i="42" s="1"/>
  <c r="H100" i="8"/>
  <c r="H170"/>
  <c r="H166"/>
  <c r="H157"/>
  <c r="H163"/>
  <c r="H159"/>
  <c r="G176"/>
  <c r="G177" s="1"/>
  <c r="H160"/>
  <c r="H147"/>
  <c r="H152"/>
  <c r="H154"/>
  <c r="H172"/>
  <c r="H164"/>
  <c r="H162"/>
  <c r="H168"/>
  <c r="L65"/>
  <c r="J70"/>
  <c r="L18"/>
  <c r="H148"/>
  <c r="H149"/>
  <c r="H150"/>
  <c r="H151"/>
  <c r="H167"/>
  <c r="H171"/>
  <c r="H161"/>
  <c r="I134"/>
  <c r="I120"/>
  <c r="I132"/>
  <c r="I136"/>
  <c r="I117"/>
  <c r="I137"/>
  <c r="I127"/>
  <c r="I129"/>
  <c r="I98"/>
  <c r="I128"/>
  <c r="I135"/>
  <c r="I119"/>
  <c r="I108"/>
  <c r="I145" s="1"/>
  <c r="I116"/>
  <c r="I110"/>
  <c r="I111"/>
  <c r="I133"/>
  <c r="I109"/>
  <c r="I126"/>
  <c r="I114"/>
  <c r="I123"/>
  <c r="I124"/>
  <c r="I112"/>
  <c r="I118"/>
  <c r="I121"/>
  <c r="I122"/>
  <c r="I131"/>
  <c r="I130"/>
  <c r="I125"/>
  <c r="I113"/>
  <c r="I115"/>
  <c r="L54"/>
  <c r="L82" s="1"/>
  <c r="R8" i="42" s="1"/>
  <c r="H146" i="8"/>
  <c r="H155"/>
  <c r="H169"/>
  <c r="H165"/>
  <c r="K50"/>
  <c r="K78" s="1"/>
  <c r="Q4" i="42" s="1"/>
  <c r="K44" i="8"/>
  <c r="H139"/>
  <c r="H174"/>
  <c r="H153"/>
  <c r="H156"/>
  <c r="H158"/>
  <c r="K107" l="1"/>
  <c r="M25"/>
  <c r="M51" s="1"/>
  <c r="M79" s="1"/>
  <c r="S5" i="42" s="1"/>
  <c r="M23" i="8"/>
  <c r="M24"/>
  <c r="M26"/>
  <c r="M27"/>
  <c r="N28"/>
  <c r="N32"/>
  <c r="N31"/>
  <c r="N30"/>
  <c r="N29"/>
  <c r="N55" s="1"/>
  <c r="N83" s="1"/>
  <c r="T9" i="42" s="1"/>
  <c r="N36" i="8"/>
  <c r="N35"/>
  <c r="N61" s="1"/>
  <c r="N89" s="1"/>
  <c r="T15" i="42" s="1"/>
  <c r="N34" i="8"/>
  <c r="N33"/>
  <c r="N37"/>
  <c r="N40"/>
  <c r="N42"/>
  <c r="N39"/>
  <c r="N68" s="1"/>
  <c r="N96" s="1"/>
  <c r="T22" i="42" s="1"/>
  <c r="N38" i="8"/>
  <c r="N41"/>
  <c r="K106"/>
  <c r="K143" s="1"/>
  <c r="J144"/>
  <c r="L93"/>
  <c r="R19" i="42" s="1"/>
  <c r="M59" i="8"/>
  <c r="M87" s="1"/>
  <c r="S13" i="42" s="1"/>
  <c r="M66" i="8"/>
  <c r="M94" s="1"/>
  <c r="S20" i="42" s="1"/>
  <c r="M56" i="8"/>
  <c r="M84" s="1"/>
  <c r="S10" i="42" s="1"/>
  <c r="M63" i="8"/>
  <c r="M91" s="1"/>
  <c r="S17" i="42" s="1"/>
  <c r="M52" i="8"/>
  <c r="M80" s="1"/>
  <c r="S6" i="42" s="1"/>
  <c r="M53" i="8"/>
  <c r="M81" s="1"/>
  <c r="S7" i="42" s="1"/>
  <c r="M49" i="8"/>
  <c r="M77" s="1"/>
  <c r="S3" i="42" s="1"/>
  <c r="N62" i="8"/>
  <c r="N90" s="1"/>
  <c r="T16" i="42" s="1"/>
  <c r="M60" i="8"/>
  <c r="M88" s="1"/>
  <c r="S14" i="42" s="1"/>
  <c r="M67" i="8"/>
  <c r="M95" s="1"/>
  <c r="S21" i="42" s="1"/>
  <c r="M57" i="8"/>
  <c r="M85" s="1"/>
  <c r="S11" i="42" s="1"/>
  <c r="M64" i="8"/>
  <c r="M92" s="1"/>
  <c r="S18" i="42" s="1"/>
  <c r="N58" i="8"/>
  <c r="N86" s="1"/>
  <c r="T12" i="42" s="1"/>
  <c r="I167" i="8"/>
  <c r="I100"/>
  <c r="I155"/>
  <c r="I146"/>
  <c r="I172"/>
  <c r="I152"/>
  <c r="I168"/>
  <c r="I149"/>
  <c r="I163"/>
  <c r="I147"/>
  <c r="I166"/>
  <c r="H176"/>
  <c r="H177" s="1"/>
  <c r="I151"/>
  <c r="I162"/>
  <c r="I158"/>
  <c r="I160"/>
  <c r="L50"/>
  <c r="L78" s="1"/>
  <c r="L44"/>
  <c r="I148"/>
  <c r="I156"/>
  <c r="I173"/>
  <c r="K70"/>
  <c r="M18"/>
  <c r="J128"/>
  <c r="J125"/>
  <c r="J108"/>
  <c r="J145" s="1"/>
  <c r="J112"/>
  <c r="J110"/>
  <c r="J135"/>
  <c r="J133"/>
  <c r="J118"/>
  <c r="J121"/>
  <c r="J130"/>
  <c r="J124"/>
  <c r="J131"/>
  <c r="J116"/>
  <c r="J109"/>
  <c r="J98"/>
  <c r="J129"/>
  <c r="J137"/>
  <c r="J111"/>
  <c r="J120"/>
  <c r="J114"/>
  <c r="J127"/>
  <c r="J126"/>
  <c r="J134"/>
  <c r="J117"/>
  <c r="J119"/>
  <c r="J136"/>
  <c r="J132"/>
  <c r="J122"/>
  <c r="J115"/>
  <c r="J123"/>
  <c r="J113"/>
  <c r="M54"/>
  <c r="M82" s="1"/>
  <c r="S8" i="42" s="1"/>
  <c r="M65" i="8"/>
  <c r="I169"/>
  <c r="I170"/>
  <c r="I154"/>
  <c r="I171"/>
  <c r="I174"/>
  <c r="I139"/>
  <c r="I164"/>
  <c r="I150"/>
  <c r="I159"/>
  <c r="I161"/>
  <c r="I153"/>
  <c r="I165"/>
  <c r="I157"/>
  <c r="J173" l="1"/>
  <c r="L107"/>
  <c r="R4" i="42"/>
  <c r="O31" i="8"/>
  <c r="O30"/>
  <c r="O29"/>
  <c r="O55" s="1"/>
  <c r="O83" s="1"/>
  <c r="U9" i="42" s="1"/>
  <c r="O32" i="8"/>
  <c r="O58" s="1"/>
  <c r="O86" s="1"/>
  <c r="U12" i="42" s="1"/>
  <c r="O28" i="8"/>
  <c r="O41"/>
  <c r="O42"/>
  <c r="O39"/>
  <c r="O68" s="1"/>
  <c r="O96" s="1"/>
  <c r="U22" i="42" s="1"/>
  <c r="O38" i="8"/>
  <c r="O40"/>
  <c r="N25"/>
  <c r="N51" s="1"/>
  <c r="N79" s="1"/>
  <c r="T5" i="42" s="1"/>
  <c r="N23" i="8"/>
  <c r="N27"/>
  <c r="N53" s="1"/>
  <c r="N81" s="1"/>
  <c r="T7" i="42" s="1"/>
  <c r="N26" i="8"/>
  <c r="N52" s="1"/>
  <c r="N80" s="1"/>
  <c r="T6" i="42" s="1"/>
  <c r="N24" i="8"/>
  <c r="O37"/>
  <c r="O34"/>
  <c r="O33"/>
  <c r="O35"/>
  <c r="O61" s="1"/>
  <c r="O89" s="1"/>
  <c r="U15" i="42" s="1"/>
  <c r="O36" i="8"/>
  <c r="O62" s="1"/>
  <c r="O90" s="1"/>
  <c r="U16" i="42" s="1"/>
  <c r="K144" i="8"/>
  <c r="L106"/>
  <c r="L143" s="1"/>
  <c r="M93"/>
  <c r="S19" i="42" s="1"/>
  <c r="N49" i="8"/>
  <c r="N77" s="1"/>
  <c r="T3" i="42" s="1"/>
  <c r="N57" i="8"/>
  <c r="N85" s="1"/>
  <c r="T11" i="42" s="1"/>
  <c r="N64" i="8"/>
  <c r="N92" s="1"/>
  <c r="T18" i="42" s="1"/>
  <c r="N60" i="8"/>
  <c r="N88" s="1"/>
  <c r="T14" i="42" s="1"/>
  <c r="N67" i="8"/>
  <c r="N95" s="1"/>
  <c r="T21" i="42" s="1"/>
  <c r="N59" i="8"/>
  <c r="N87" s="1"/>
  <c r="T13" i="42" s="1"/>
  <c r="N66" i="8"/>
  <c r="N94" s="1"/>
  <c r="T20" i="42" s="1"/>
  <c r="N56" i="8"/>
  <c r="N84" s="1"/>
  <c r="T10" i="42" s="1"/>
  <c r="N63" i="8"/>
  <c r="N91" s="1"/>
  <c r="T17" i="42" s="1"/>
  <c r="J171" i="8"/>
  <c r="J163"/>
  <c r="J156"/>
  <c r="J152"/>
  <c r="J150"/>
  <c r="J169"/>
  <c r="J146"/>
  <c r="J164"/>
  <c r="J160"/>
  <c r="J167"/>
  <c r="I176"/>
  <c r="I177" s="1"/>
  <c r="J158"/>
  <c r="J147"/>
  <c r="K132"/>
  <c r="K125"/>
  <c r="K98"/>
  <c r="K114"/>
  <c r="K137"/>
  <c r="K110"/>
  <c r="K130"/>
  <c r="K118"/>
  <c r="K116"/>
  <c r="K108"/>
  <c r="K145" s="1"/>
  <c r="K136"/>
  <c r="K112"/>
  <c r="K119"/>
  <c r="K134"/>
  <c r="K122"/>
  <c r="K128"/>
  <c r="K129"/>
  <c r="K123"/>
  <c r="K117"/>
  <c r="K113"/>
  <c r="K150" s="1"/>
  <c r="K121"/>
  <c r="K131"/>
  <c r="K126"/>
  <c r="K111"/>
  <c r="K115"/>
  <c r="K133"/>
  <c r="K124"/>
  <c r="K127"/>
  <c r="K120"/>
  <c r="K135"/>
  <c r="K109"/>
  <c r="L70"/>
  <c r="J165"/>
  <c r="J148"/>
  <c r="J172"/>
  <c r="J162"/>
  <c r="J100"/>
  <c r="N18"/>
  <c r="J157"/>
  <c r="J161"/>
  <c r="J170"/>
  <c r="J174"/>
  <c r="J139"/>
  <c r="N65"/>
  <c r="N54"/>
  <c r="N82" s="1"/>
  <c r="T8" i="42" s="1"/>
  <c r="M50" i="8"/>
  <c r="M78" s="1"/>
  <c r="S4" i="42" s="1"/>
  <c r="M44" i="8"/>
  <c r="J153"/>
  <c r="J159"/>
  <c r="J154"/>
  <c r="J151"/>
  <c r="J166"/>
  <c r="J168"/>
  <c r="J155"/>
  <c r="J149"/>
  <c r="K157" l="1"/>
  <c r="M106"/>
  <c r="M143" s="1"/>
  <c r="P34"/>
  <c r="P37"/>
  <c r="P33"/>
  <c r="P36"/>
  <c r="P62" s="1"/>
  <c r="P90" s="1"/>
  <c r="V16" i="42" s="1"/>
  <c r="P35" i="8"/>
  <c r="P61" s="1"/>
  <c r="P89" s="1"/>
  <c r="V15" i="42" s="1"/>
  <c r="P40" i="8"/>
  <c r="P38"/>
  <c r="P42"/>
  <c r="P39"/>
  <c r="P68" s="1"/>
  <c r="P96" s="1"/>
  <c r="V22" i="42" s="1"/>
  <c r="P41" i="8"/>
  <c r="L144"/>
  <c r="P30"/>
  <c r="P31"/>
  <c r="P28"/>
  <c r="P29"/>
  <c r="P32"/>
  <c r="P58" s="1"/>
  <c r="P86" s="1"/>
  <c r="V12" i="42" s="1"/>
  <c r="O27" i="8"/>
  <c r="O53" s="1"/>
  <c r="O81" s="1"/>
  <c r="U7" i="42" s="1"/>
  <c r="O24" i="8"/>
  <c r="O26"/>
  <c r="O52" s="1"/>
  <c r="O80" s="1"/>
  <c r="U6" i="42" s="1"/>
  <c r="O23" i="8"/>
  <c r="O49" s="1"/>
  <c r="O77" s="1"/>
  <c r="U3" i="42" s="1"/>
  <c r="O25" i="8"/>
  <c r="O51" s="1"/>
  <c r="O79" s="1"/>
  <c r="U5" i="42" s="1"/>
  <c r="M107" i="8"/>
  <c r="N93"/>
  <c r="T19" i="42" s="1"/>
  <c r="O60" i="8"/>
  <c r="O88" s="1"/>
  <c r="U14" i="42" s="1"/>
  <c r="O67" i="8"/>
  <c r="O95" s="1"/>
  <c r="U21" i="42" s="1"/>
  <c r="O56" i="8"/>
  <c r="O84" s="1"/>
  <c r="U10" i="42" s="1"/>
  <c r="O63" i="8"/>
  <c r="O91" s="1"/>
  <c r="U17" i="42" s="1"/>
  <c r="O59" i="8"/>
  <c r="O87" s="1"/>
  <c r="U13" i="42" s="1"/>
  <c r="O66" i="8"/>
  <c r="O94" s="1"/>
  <c r="U20" i="42" s="1"/>
  <c r="P55" i="8"/>
  <c r="P83" s="1"/>
  <c r="V9" i="42" s="1"/>
  <c r="O57" i="8"/>
  <c r="O85" s="1"/>
  <c r="U11" i="42" s="1"/>
  <c r="O64" i="8"/>
  <c r="O92" s="1"/>
  <c r="U18" i="42" s="1"/>
  <c r="K172" i="8"/>
  <c r="K170"/>
  <c r="K146"/>
  <c r="K163"/>
  <c r="K148"/>
  <c r="K168"/>
  <c r="K160"/>
  <c r="K164"/>
  <c r="K155"/>
  <c r="J176"/>
  <c r="J177" s="1"/>
  <c r="K154"/>
  <c r="K159"/>
  <c r="O65"/>
  <c r="N50"/>
  <c r="N78" s="1"/>
  <c r="T4" i="42" s="1"/>
  <c r="N44" i="8"/>
  <c r="O54"/>
  <c r="O82" s="1"/>
  <c r="U8" i="42" s="1"/>
  <c r="L131" i="8"/>
  <c r="L112"/>
  <c r="L134"/>
  <c r="L121"/>
  <c r="L119"/>
  <c r="L109"/>
  <c r="L114"/>
  <c r="L118"/>
  <c r="L125"/>
  <c r="L124"/>
  <c r="L132"/>
  <c r="L122"/>
  <c r="L108"/>
  <c r="L145" s="1"/>
  <c r="L135"/>
  <c r="L116"/>
  <c r="L133"/>
  <c r="L117"/>
  <c r="L115"/>
  <c r="L123"/>
  <c r="L129"/>
  <c r="L130"/>
  <c r="L113"/>
  <c r="L150" s="1"/>
  <c r="L120"/>
  <c r="L136"/>
  <c r="L128"/>
  <c r="L111"/>
  <c r="L98"/>
  <c r="L126"/>
  <c r="L137"/>
  <c r="L110"/>
  <c r="L147" s="1"/>
  <c r="L127"/>
  <c r="M70"/>
  <c r="O18"/>
  <c r="K139"/>
  <c r="K174"/>
  <c r="K165"/>
  <c r="K149"/>
  <c r="K151"/>
  <c r="K152"/>
  <c r="K158"/>
  <c r="K166"/>
  <c r="K156"/>
  <c r="K153"/>
  <c r="K169"/>
  <c r="K171"/>
  <c r="K147"/>
  <c r="K162"/>
  <c r="K161"/>
  <c r="K173"/>
  <c r="K167"/>
  <c r="K100"/>
  <c r="L159" l="1"/>
  <c r="M144"/>
  <c r="Q33"/>
  <c r="Q34"/>
  <c r="Q35"/>
  <c r="Q61" s="1"/>
  <c r="Q89" s="1"/>
  <c r="W15" i="42" s="1"/>
  <c r="Q36" i="8"/>
  <c r="Q62" s="1"/>
  <c r="Q90" s="1"/>
  <c r="W16" i="42" s="1"/>
  <c r="Q37" i="8"/>
  <c r="Q42"/>
  <c r="Q40"/>
  <c r="Q38"/>
  <c r="Q39"/>
  <c r="Q68" s="1"/>
  <c r="Q96" s="1"/>
  <c r="W22" i="42" s="1"/>
  <c r="Q41" i="8"/>
  <c r="P26"/>
  <c r="P52" s="1"/>
  <c r="P80" s="1"/>
  <c r="V6" i="42" s="1"/>
  <c r="P23" i="8"/>
  <c r="P49" s="1"/>
  <c r="P77" s="1"/>
  <c r="V3" i="42" s="1"/>
  <c r="P24" i="8"/>
  <c r="P27"/>
  <c r="P53" s="1"/>
  <c r="P81" s="1"/>
  <c r="V7" i="42" s="1"/>
  <c r="P25" i="8"/>
  <c r="P51" s="1"/>
  <c r="P79" s="1"/>
  <c r="V5" i="42" s="1"/>
  <c r="Q32" i="8"/>
  <c r="Q58" s="1"/>
  <c r="Q86" s="1"/>
  <c r="W12" i="42" s="1"/>
  <c r="Q28" i="8"/>
  <c r="Q29"/>
  <c r="Q55" s="1"/>
  <c r="Q83" s="1"/>
  <c r="W9" i="42" s="1"/>
  <c r="Q31" i="8"/>
  <c r="Q30"/>
  <c r="N107"/>
  <c r="N106"/>
  <c r="N143" s="1"/>
  <c r="O93"/>
  <c r="U19" i="42" s="1"/>
  <c r="P59" i="8"/>
  <c r="P87" s="1"/>
  <c r="V13" i="42" s="1"/>
  <c r="P66" i="8"/>
  <c r="P94" s="1"/>
  <c r="V20" i="42" s="1"/>
  <c r="P60" i="8"/>
  <c r="P88" s="1"/>
  <c r="V14" i="42" s="1"/>
  <c r="P67" i="8"/>
  <c r="P95" s="1"/>
  <c r="V21" i="42" s="1"/>
  <c r="P57" i="8"/>
  <c r="P85" s="1"/>
  <c r="V11" i="42" s="1"/>
  <c r="P64" i="8"/>
  <c r="P92" s="1"/>
  <c r="V18" i="42" s="1"/>
  <c r="P56" i="8"/>
  <c r="P84" s="1"/>
  <c r="V10" i="42" s="1"/>
  <c r="P63" i="8"/>
  <c r="P91" s="1"/>
  <c r="V17" i="42" s="1"/>
  <c r="L152" i="8"/>
  <c r="L172"/>
  <c r="L170"/>
  <c r="L157"/>
  <c r="L169"/>
  <c r="L163"/>
  <c r="L166"/>
  <c r="L155"/>
  <c r="K176"/>
  <c r="K177" s="1"/>
  <c r="L148"/>
  <c r="L161"/>
  <c r="L146"/>
  <c r="P18"/>
  <c r="M115"/>
  <c r="M126"/>
  <c r="M112"/>
  <c r="M117"/>
  <c r="M127"/>
  <c r="M116"/>
  <c r="M98"/>
  <c r="M135"/>
  <c r="M129"/>
  <c r="M125"/>
  <c r="M109"/>
  <c r="M113"/>
  <c r="M118"/>
  <c r="M137"/>
  <c r="M121"/>
  <c r="M128"/>
  <c r="M108"/>
  <c r="M145" s="1"/>
  <c r="M131"/>
  <c r="M136"/>
  <c r="M133"/>
  <c r="M122"/>
  <c r="M134"/>
  <c r="M114"/>
  <c r="M124"/>
  <c r="M110"/>
  <c r="M119"/>
  <c r="M130"/>
  <c r="M120"/>
  <c r="M111"/>
  <c r="M123"/>
  <c r="M132"/>
  <c r="O50"/>
  <c r="O78" s="1"/>
  <c r="O44"/>
  <c r="L139"/>
  <c r="L174"/>
  <c r="P65"/>
  <c r="L173"/>
  <c r="L158"/>
  <c r="L165"/>
  <c r="L167"/>
  <c r="L154"/>
  <c r="L162"/>
  <c r="L156"/>
  <c r="L168"/>
  <c r="L100"/>
  <c r="P54"/>
  <c r="P82" s="1"/>
  <c r="V8" i="42" s="1"/>
  <c r="N70" i="8"/>
  <c r="L149"/>
  <c r="L164"/>
  <c r="L160"/>
  <c r="L153"/>
  <c r="L151"/>
  <c r="L171"/>
  <c r="O107" l="1"/>
  <c r="U4" i="42"/>
  <c r="M148" i="8"/>
  <c r="R31"/>
  <c r="R29"/>
  <c r="R55" s="1"/>
  <c r="R83" s="1"/>
  <c r="X9" i="42" s="1"/>
  <c r="R30" i="8"/>
  <c r="R28"/>
  <c r="R32"/>
  <c r="R58" s="1"/>
  <c r="R86" s="1"/>
  <c r="X12" i="42" s="1"/>
  <c r="R35" i="8"/>
  <c r="R61" s="1"/>
  <c r="R89" s="1"/>
  <c r="X15" i="42" s="1"/>
  <c r="R33" i="8"/>
  <c r="R37"/>
  <c r="R34"/>
  <c r="R36"/>
  <c r="R62" s="1"/>
  <c r="R90" s="1"/>
  <c r="X16" i="42" s="1"/>
  <c r="R39" i="8"/>
  <c r="R68" s="1"/>
  <c r="R96" s="1"/>
  <c r="X22" i="42" s="1"/>
  <c r="R42" i="8"/>
  <c r="R38"/>
  <c r="R40"/>
  <c r="R41"/>
  <c r="Q24"/>
  <c r="Q25"/>
  <c r="Q51" s="1"/>
  <c r="Q79" s="1"/>
  <c r="W5" i="42" s="1"/>
  <c r="Q26" i="8"/>
  <c r="Q52" s="1"/>
  <c r="Q80" s="1"/>
  <c r="W6" i="42" s="1"/>
  <c r="Q23" i="8"/>
  <c r="Q49" s="1"/>
  <c r="Q77" s="1"/>
  <c r="W3" i="42" s="1"/>
  <c r="Q27" i="8"/>
  <c r="Q53" s="1"/>
  <c r="Q81" s="1"/>
  <c r="W7" i="42" s="1"/>
  <c r="N144" i="8"/>
  <c r="P93"/>
  <c r="V19" i="42" s="1"/>
  <c r="O106" i="8"/>
  <c r="O143" s="1"/>
  <c r="Q60"/>
  <c r="Q88" s="1"/>
  <c r="W14" i="42" s="1"/>
  <c r="Q67" i="8"/>
  <c r="Q95" s="1"/>
  <c r="W21" i="42" s="1"/>
  <c r="Q56" i="8"/>
  <c r="Q84" s="1"/>
  <c r="W10" i="42" s="1"/>
  <c r="Q63" i="8"/>
  <c r="Q91" s="1"/>
  <c r="W17" i="42" s="1"/>
  <c r="Q59" i="8"/>
  <c r="Q87" s="1"/>
  <c r="W13" i="42" s="1"/>
  <c r="Q66" i="8"/>
  <c r="Q94" s="1"/>
  <c r="W20" i="42" s="1"/>
  <c r="Q57" i="8"/>
  <c r="Q85" s="1"/>
  <c r="W11" i="42" s="1"/>
  <c r="Q64" i="8"/>
  <c r="Q92" s="1"/>
  <c r="W18" i="42" s="1"/>
  <c r="M156" i="8"/>
  <c r="M147"/>
  <c r="M159"/>
  <c r="M164"/>
  <c r="M151"/>
  <c r="M173"/>
  <c r="M155"/>
  <c r="M171"/>
  <c r="M166"/>
  <c r="M150"/>
  <c r="L176"/>
  <c r="L177" s="1"/>
  <c r="M152"/>
  <c r="M174"/>
  <c r="M139"/>
  <c r="Q18"/>
  <c r="M168"/>
  <c r="M162"/>
  <c r="M153"/>
  <c r="M163"/>
  <c r="M160"/>
  <c r="M167"/>
  <c r="M158"/>
  <c r="M146"/>
  <c r="M100"/>
  <c r="M149"/>
  <c r="N98"/>
  <c r="N112"/>
  <c r="N127"/>
  <c r="N120"/>
  <c r="N111"/>
  <c r="N130"/>
  <c r="N115"/>
  <c r="N119"/>
  <c r="N136"/>
  <c r="N124"/>
  <c r="N125"/>
  <c r="N123"/>
  <c r="N128"/>
  <c r="N126"/>
  <c r="N113"/>
  <c r="N122"/>
  <c r="N116"/>
  <c r="N129"/>
  <c r="N118"/>
  <c r="N121"/>
  <c r="N158" s="1"/>
  <c r="N135"/>
  <c r="N134"/>
  <c r="N108"/>
  <c r="N145" s="1"/>
  <c r="N131"/>
  <c r="N117"/>
  <c r="N154" s="1"/>
  <c r="N132"/>
  <c r="N110"/>
  <c r="N114"/>
  <c r="N109"/>
  <c r="N137"/>
  <c r="N133"/>
  <c r="Q54"/>
  <c r="Q82" s="1"/>
  <c r="W8" i="42" s="1"/>
  <c r="Q65" i="8"/>
  <c r="O70"/>
  <c r="P50"/>
  <c r="P78" s="1"/>
  <c r="V4" i="42" s="1"/>
  <c r="P44" i="8"/>
  <c r="M169"/>
  <c r="M157"/>
  <c r="M161"/>
  <c r="M170"/>
  <c r="M165"/>
  <c r="M172"/>
  <c r="M154"/>
  <c r="R27" l="1"/>
  <c r="R53" s="1"/>
  <c r="R81" s="1"/>
  <c r="X7" i="42" s="1"/>
  <c r="R24" i="8"/>
  <c r="R25"/>
  <c r="R51" s="1"/>
  <c r="R79" s="1"/>
  <c r="X5" i="42" s="1"/>
  <c r="R26" i="8"/>
  <c r="R52" s="1"/>
  <c r="R80" s="1"/>
  <c r="X6" i="42" s="1"/>
  <c r="R23" i="8"/>
  <c r="R49" s="1"/>
  <c r="R77" s="1"/>
  <c r="X3" i="42" s="1"/>
  <c r="S29" i="8"/>
  <c r="S55" s="1"/>
  <c r="S83" s="1"/>
  <c r="Y9" i="42" s="1"/>
  <c r="S32" i="8"/>
  <c r="S58" s="1"/>
  <c r="S86" s="1"/>
  <c r="Y12" i="42" s="1"/>
  <c r="S28" i="8"/>
  <c r="S30"/>
  <c r="S31"/>
  <c r="S39"/>
  <c r="S68" s="1"/>
  <c r="S96" s="1"/>
  <c r="Y22" i="42" s="1"/>
  <c r="S42" i="8"/>
  <c r="S41"/>
  <c r="S40"/>
  <c r="S38"/>
  <c r="S33"/>
  <c r="S36"/>
  <c r="S62" s="1"/>
  <c r="S90" s="1"/>
  <c r="Y16" i="42" s="1"/>
  <c r="S37" i="8"/>
  <c r="S35"/>
  <c r="S61" s="1"/>
  <c r="S89" s="1"/>
  <c r="Y15" i="42" s="1"/>
  <c r="S34" i="8"/>
  <c r="P106"/>
  <c r="P143" s="1"/>
  <c r="O144"/>
  <c r="Q93"/>
  <c r="W19" i="42" s="1"/>
  <c r="P107" i="8"/>
  <c r="R59"/>
  <c r="R87" s="1"/>
  <c r="X13" i="42" s="1"/>
  <c r="R66" i="8"/>
  <c r="R94" s="1"/>
  <c r="X20" i="42" s="1"/>
  <c r="R56" i="8"/>
  <c r="R84" s="1"/>
  <c r="X10" i="42" s="1"/>
  <c r="R63" i="8"/>
  <c r="R91" s="1"/>
  <c r="X17" i="42" s="1"/>
  <c r="R60" i="8"/>
  <c r="R88" s="1"/>
  <c r="X14" i="42" s="1"/>
  <c r="R67" i="8"/>
  <c r="R95" s="1"/>
  <c r="X21" i="42" s="1"/>
  <c r="R57" i="8"/>
  <c r="R85" s="1"/>
  <c r="X11" i="42" s="1"/>
  <c r="R64" i="8"/>
  <c r="R92" s="1"/>
  <c r="X18" i="42" s="1"/>
  <c r="N150" i="8"/>
  <c r="N168"/>
  <c r="N166"/>
  <c r="N147"/>
  <c r="N155"/>
  <c r="N162"/>
  <c r="M176"/>
  <c r="M177" s="1"/>
  <c r="N151"/>
  <c r="N156"/>
  <c r="N153"/>
  <c r="N165"/>
  <c r="N100"/>
  <c r="N163"/>
  <c r="N149"/>
  <c r="R18"/>
  <c r="Q50"/>
  <c r="Q78" s="1"/>
  <c r="W4" i="42" s="1"/>
  <c r="Q44" i="8"/>
  <c r="N159"/>
  <c r="N160"/>
  <c r="N157"/>
  <c r="N146"/>
  <c r="N172"/>
  <c r="N173"/>
  <c r="N148"/>
  <c r="N174"/>
  <c r="N139"/>
  <c r="N169"/>
  <c r="N171"/>
  <c r="N161"/>
  <c r="N167"/>
  <c r="P70"/>
  <c r="O126"/>
  <c r="O122"/>
  <c r="O136"/>
  <c r="O123"/>
  <c r="O125"/>
  <c r="O109"/>
  <c r="O117"/>
  <c r="O110"/>
  <c r="O124"/>
  <c r="O133"/>
  <c r="O98"/>
  <c r="O114"/>
  <c r="O112"/>
  <c r="O137"/>
  <c r="O115"/>
  <c r="O127"/>
  <c r="O108"/>
  <c r="O145" s="1"/>
  <c r="O119"/>
  <c r="O128"/>
  <c r="O134"/>
  <c r="O118"/>
  <c r="O120"/>
  <c r="O111"/>
  <c r="O131"/>
  <c r="O130"/>
  <c r="O135"/>
  <c r="O113"/>
  <c r="O132"/>
  <c r="O121"/>
  <c r="O116"/>
  <c r="O129"/>
  <c r="O166" s="1"/>
  <c r="R65"/>
  <c r="R54"/>
  <c r="R82" s="1"/>
  <c r="X8" i="42" s="1"/>
  <c r="N170" i="8"/>
  <c r="N152"/>
  <c r="N164"/>
  <c r="O157" l="1"/>
  <c r="T36"/>
  <c r="T62" s="1"/>
  <c r="T90" s="1"/>
  <c r="Z16" i="42" s="1"/>
  <c r="T35" i="8"/>
  <c r="T61" s="1"/>
  <c r="T89" s="1"/>
  <c r="Z15" i="42" s="1"/>
  <c r="T33" i="8"/>
  <c r="T37"/>
  <c r="T34"/>
  <c r="S23"/>
  <c r="S49" s="1"/>
  <c r="S77" s="1"/>
  <c r="Y3" i="42" s="1"/>
  <c r="S24" i="8"/>
  <c r="S27"/>
  <c r="S53" s="1"/>
  <c r="S81" s="1"/>
  <c r="Y7" i="42" s="1"/>
  <c r="S26" i="8"/>
  <c r="S52" s="1"/>
  <c r="S80" s="1"/>
  <c r="Y6" i="42" s="1"/>
  <c r="S25" i="8"/>
  <c r="S51" s="1"/>
  <c r="S79" s="1"/>
  <c r="Y5" i="42" s="1"/>
  <c r="T39" i="8"/>
  <c r="T68" s="1"/>
  <c r="T96" s="1"/>
  <c r="Z22" i="42" s="1"/>
  <c r="T42" i="8"/>
  <c r="T40"/>
  <c r="T41"/>
  <c r="T38"/>
  <c r="T28"/>
  <c r="T31"/>
  <c r="T32"/>
  <c r="T58" s="1"/>
  <c r="T86" s="1"/>
  <c r="Z12" i="42" s="1"/>
  <c r="T30" i="8"/>
  <c r="T29"/>
  <c r="T55" s="1"/>
  <c r="T83" s="1"/>
  <c r="Z9" i="42" s="1"/>
  <c r="Q106" i="8"/>
  <c r="Q143" s="1"/>
  <c r="P144"/>
  <c r="Q107"/>
  <c r="R93"/>
  <c r="X19" i="42" s="1"/>
  <c r="S56" i="8"/>
  <c r="S84" s="1"/>
  <c r="Y10" i="42" s="1"/>
  <c r="S63" i="8"/>
  <c r="S91" s="1"/>
  <c r="Y17" i="42" s="1"/>
  <c r="S60" i="8"/>
  <c r="S88" s="1"/>
  <c r="Y14" i="42" s="1"/>
  <c r="S67" i="8"/>
  <c r="S95" s="1"/>
  <c r="Y21" i="42" s="1"/>
  <c r="S57" i="8"/>
  <c r="S85" s="1"/>
  <c r="Y11" i="42" s="1"/>
  <c r="S64" i="8"/>
  <c r="S92" s="1"/>
  <c r="Y18" i="42" s="1"/>
  <c r="S59" i="8"/>
  <c r="S87" s="1"/>
  <c r="Y13" i="42" s="1"/>
  <c r="S66" i="8"/>
  <c r="S94" s="1"/>
  <c r="Y20" i="42" s="1"/>
  <c r="O169" i="8"/>
  <c r="O158"/>
  <c r="O164"/>
  <c r="O153"/>
  <c r="N176"/>
  <c r="N177" s="1"/>
  <c r="O161"/>
  <c r="O172"/>
  <c r="O148"/>
  <c r="O100"/>
  <c r="O167"/>
  <c r="O155"/>
  <c r="O149"/>
  <c r="O156"/>
  <c r="O146"/>
  <c r="S54"/>
  <c r="S82" s="1"/>
  <c r="Y8" i="42" s="1"/>
  <c r="O139" i="8"/>
  <c r="O174"/>
  <c r="Q70"/>
  <c r="O170"/>
  <c r="O159"/>
  <c r="O150"/>
  <c r="O165"/>
  <c r="O152"/>
  <c r="O154"/>
  <c r="O173"/>
  <c r="S18"/>
  <c r="O168"/>
  <c r="O171"/>
  <c r="O151"/>
  <c r="O147"/>
  <c r="O160"/>
  <c r="S65"/>
  <c r="P117"/>
  <c r="P120"/>
  <c r="P114"/>
  <c r="P133"/>
  <c r="P121"/>
  <c r="P137"/>
  <c r="P136"/>
  <c r="P123"/>
  <c r="P113"/>
  <c r="P116"/>
  <c r="P98"/>
  <c r="P130"/>
  <c r="P129"/>
  <c r="P128"/>
  <c r="P119"/>
  <c r="P124"/>
  <c r="P161" s="1"/>
  <c r="P135"/>
  <c r="P111"/>
  <c r="P126"/>
  <c r="P134"/>
  <c r="P171" s="1"/>
  <c r="P125"/>
  <c r="P118"/>
  <c r="P115"/>
  <c r="P152" s="1"/>
  <c r="P109"/>
  <c r="P131"/>
  <c r="P127"/>
  <c r="P112"/>
  <c r="P110"/>
  <c r="P132"/>
  <c r="P108"/>
  <c r="P145" s="1"/>
  <c r="P122"/>
  <c r="R50"/>
  <c r="R78" s="1"/>
  <c r="R44"/>
  <c r="O162"/>
  <c r="O163"/>
  <c r="P147" l="1"/>
  <c r="R106"/>
  <c r="R143" s="1"/>
  <c r="X4" i="42"/>
  <c r="U29" i="8"/>
  <c r="U55" s="1"/>
  <c r="U83" s="1"/>
  <c r="AA9" i="42" s="1"/>
  <c r="U31" i="8"/>
  <c r="U28"/>
  <c r="U30"/>
  <c r="U32"/>
  <c r="T23"/>
  <c r="T49" s="1"/>
  <c r="T77" s="1"/>
  <c r="Z3" i="42" s="1"/>
  <c r="T27" i="8"/>
  <c r="T53" s="1"/>
  <c r="T81" s="1"/>
  <c r="Z7" i="42" s="1"/>
  <c r="T25" i="8"/>
  <c r="T51" s="1"/>
  <c r="T79" s="1"/>
  <c r="Z5" i="42" s="1"/>
  <c r="T26" i="8"/>
  <c r="T52" s="1"/>
  <c r="T80" s="1"/>
  <c r="Z6" i="42" s="1"/>
  <c r="T24" i="8"/>
  <c r="U42"/>
  <c r="U41"/>
  <c r="U40"/>
  <c r="U38"/>
  <c r="U39"/>
  <c r="U68" s="1"/>
  <c r="U96" s="1"/>
  <c r="AA22" i="42" s="1"/>
  <c r="U33" i="8"/>
  <c r="U36"/>
  <c r="U62" s="1"/>
  <c r="U90" s="1"/>
  <c r="AA16" i="42" s="1"/>
  <c r="U37" i="8"/>
  <c r="U34"/>
  <c r="U35"/>
  <c r="U61" s="1"/>
  <c r="U89" s="1"/>
  <c r="AA15" i="42" s="1"/>
  <c r="Q144" i="8"/>
  <c r="R107"/>
  <c r="S93"/>
  <c r="Y19" i="42" s="1"/>
  <c r="T60" i="8"/>
  <c r="T88" s="1"/>
  <c r="Z14" i="42" s="1"/>
  <c r="T67" i="8"/>
  <c r="T95" s="1"/>
  <c r="Z21" i="42" s="1"/>
  <c r="T56" i="8"/>
  <c r="T84" s="1"/>
  <c r="Z10" i="42" s="1"/>
  <c r="T63" i="8"/>
  <c r="T91" s="1"/>
  <c r="Z17" i="42" s="1"/>
  <c r="T59" i="8"/>
  <c r="T87" s="1"/>
  <c r="Z13" i="42" s="1"/>
  <c r="T66" i="8"/>
  <c r="T94" s="1"/>
  <c r="Z20" i="42" s="1"/>
  <c r="T57" i="8"/>
  <c r="T85" s="1"/>
  <c r="Z11" i="42" s="1"/>
  <c r="T64" i="8"/>
  <c r="T92" s="1"/>
  <c r="Z18" i="42" s="1"/>
  <c r="U58" i="8"/>
  <c r="U86" s="1"/>
  <c r="AA12" i="42" s="1"/>
  <c r="P158" i="8"/>
  <c r="P146"/>
  <c r="P159"/>
  <c r="P100"/>
  <c r="P164"/>
  <c r="P155"/>
  <c r="P153"/>
  <c r="P167"/>
  <c r="P160"/>
  <c r="P170"/>
  <c r="O176"/>
  <c r="O177" s="1"/>
  <c r="Q117"/>
  <c r="Q118"/>
  <c r="Q131"/>
  <c r="Q119"/>
  <c r="Q137"/>
  <c r="Q126"/>
  <c r="Q133"/>
  <c r="Q114"/>
  <c r="Q113"/>
  <c r="Q132"/>
  <c r="Q109"/>
  <c r="Q127"/>
  <c r="Q129"/>
  <c r="Q124"/>
  <c r="Q130"/>
  <c r="Q121"/>
  <c r="Q120"/>
  <c r="Q123"/>
  <c r="Q115"/>
  <c r="Q116"/>
  <c r="Q111"/>
  <c r="Q110"/>
  <c r="Q128"/>
  <c r="Q112"/>
  <c r="Q134"/>
  <c r="Q125"/>
  <c r="Q162" s="1"/>
  <c r="Q98"/>
  <c r="Q108"/>
  <c r="Q145" s="1"/>
  <c r="Q135"/>
  <c r="Q136"/>
  <c r="Q122"/>
  <c r="T54"/>
  <c r="T82" s="1"/>
  <c r="Z8" i="42" s="1"/>
  <c r="P168" i="8"/>
  <c r="P172"/>
  <c r="P166"/>
  <c r="P150"/>
  <c r="P154"/>
  <c r="R70"/>
  <c r="P139"/>
  <c r="P174"/>
  <c r="T18"/>
  <c r="P165"/>
  <c r="P157"/>
  <c r="S50"/>
  <c r="S78" s="1"/>
  <c r="S44"/>
  <c r="T65"/>
  <c r="P169"/>
  <c r="P162"/>
  <c r="P148"/>
  <c r="P149"/>
  <c r="P163"/>
  <c r="P156"/>
  <c r="P173"/>
  <c r="P151"/>
  <c r="S107" l="1"/>
  <c r="Y4" i="42"/>
  <c r="R144" i="8"/>
  <c r="U27"/>
  <c r="U53" s="1"/>
  <c r="U81" s="1"/>
  <c r="AA7" i="42" s="1"/>
  <c r="U24" i="8"/>
  <c r="U23"/>
  <c r="U49" s="1"/>
  <c r="U77" s="1"/>
  <c r="AA3" i="42" s="1"/>
  <c r="U25" i="8"/>
  <c r="U51" s="1"/>
  <c r="U79" s="1"/>
  <c r="AA5" i="42" s="1"/>
  <c r="U26" i="8"/>
  <c r="U52" s="1"/>
  <c r="U80" s="1"/>
  <c r="AA6" i="42" s="1"/>
  <c r="V38" i="8"/>
  <c r="V42"/>
  <c r="V41"/>
  <c r="V40"/>
  <c r="V39"/>
  <c r="V68" s="1"/>
  <c r="V96" s="1"/>
  <c r="AB22" i="42" s="1"/>
  <c r="V34" i="8"/>
  <c r="V33"/>
  <c r="V37"/>
  <c r="V36"/>
  <c r="V62" s="1"/>
  <c r="V90" s="1"/>
  <c r="AB16" i="42" s="1"/>
  <c r="V35" i="8"/>
  <c r="V61" s="1"/>
  <c r="V89" s="1"/>
  <c r="AB15" i="42" s="1"/>
  <c r="V30" i="8"/>
  <c r="V28"/>
  <c r="V32"/>
  <c r="V58" s="1"/>
  <c r="V86" s="1"/>
  <c r="AB12" i="42" s="1"/>
  <c r="V29" i="8"/>
  <c r="V55" s="1"/>
  <c r="V83" s="1"/>
  <c r="AB9" i="42" s="1"/>
  <c r="V31" i="8"/>
  <c r="S106"/>
  <c r="S143" s="1"/>
  <c r="T93"/>
  <c r="Z19" i="42" s="1"/>
  <c r="U59" i="8"/>
  <c r="U87" s="1"/>
  <c r="AA13" i="42" s="1"/>
  <c r="U66" i="8"/>
  <c r="U94" s="1"/>
  <c r="AA20" i="42" s="1"/>
  <c r="U60" i="8"/>
  <c r="U88" s="1"/>
  <c r="AA14" i="42" s="1"/>
  <c r="U67" i="8"/>
  <c r="U95" s="1"/>
  <c r="AA21" i="42" s="1"/>
  <c r="U56" i="8"/>
  <c r="U84" s="1"/>
  <c r="AA10" i="42" s="1"/>
  <c r="U63" i="8"/>
  <c r="U91" s="1"/>
  <c r="AA17" i="42" s="1"/>
  <c r="U57" i="8"/>
  <c r="U85" s="1"/>
  <c r="AA11" i="42" s="1"/>
  <c r="U64" i="8"/>
  <c r="U92" s="1"/>
  <c r="AA18" i="42" s="1"/>
  <c r="Q172" i="8"/>
  <c r="Q100"/>
  <c r="Q171"/>
  <c r="Q147"/>
  <c r="Q169"/>
  <c r="Q149"/>
  <c r="Q158"/>
  <c r="Q160"/>
  <c r="Q161"/>
  <c r="Q155"/>
  <c r="Q157"/>
  <c r="Q173"/>
  <c r="P176"/>
  <c r="P177" s="1"/>
  <c r="Q159"/>
  <c r="Q165"/>
  <c r="Q152"/>
  <c r="Q167"/>
  <c r="Q146"/>
  <c r="Q170"/>
  <c r="Q168"/>
  <c r="S70"/>
  <c r="U54"/>
  <c r="U82" s="1"/>
  <c r="AA8" i="42" s="1"/>
  <c r="Q153" i="8"/>
  <c r="Q164"/>
  <c r="Q151"/>
  <c r="Q156"/>
  <c r="U65"/>
  <c r="U18"/>
  <c r="R113"/>
  <c r="R129"/>
  <c r="R108"/>
  <c r="R145" s="1"/>
  <c r="R121"/>
  <c r="R120"/>
  <c r="R114"/>
  <c r="R137"/>
  <c r="R119"/>
  <c r="R116"/>
  <c r="R124"/>
  <c r="R122"/>
  <c r="R125"/>
  <c r="R132"/>
  <c r="R126"/>
  <c r="R127"/>
  <c r="R109"/>
  <c r="R115"/>
  <c r="R128"/>
  <c r="R131"/>
  <c r="R117"/>
  <c r="R112"/>
  <c r="R110"/>
  <c r="R118"/>
  <c r="R111"/>
  <c r="R136"/>
  <c r="R98"/>
  <c r="R135"/>
  <c r="R130"/>
  <c r="R133"/>
  <c r="R170" s="1"/>
  <c r="R123"/>
  <c r="R134"/>
  <c r="T50"/>
  <c r="T78" s="1"/>
  <c r="Z4" i="42" s="1"/>
  <c r="T44" i="8"/>
  <c r="Q174"/>
  <c r="Q139"/>
  <c r="Q163"/>
  <c r="Q148"/>
  <c r="Q166"/>
  <c r="Q150"/>
  <c r="Q154"/>
  <c r="W29" l="1"/>
  <c r="W55" s="1"/>
  <c r="W83" s="1"/>
  <c r="AC9" i="42" s="1"/>
  <c r="W30" i="8"/>
  <c r="W32"/>
  <c r="W58" s="1"/>
  <c r="W86" s="1"/>
  <c r="AC12" i="42" s="1"/>
  <c r="W28" i="8"/>
  <c r="W31"/>
  <c r="W35"/>
  <c r="W61" s="1"/>
  <c r="W89" s="1"/>
  <c r="AC15" i="42" s="1"/>
  <c r="W33" i="8"/>
  <c r="W36"/>
  <c r="W37"/>
  <c r="W34"/>
  <c r="V26"/>
  <c r="V52" s="1"/>
  <c r="V80" s="1"/>
  <c r="AB6" i="42" s="1"/>
  <c r="V23" i="8"/>
  <c r="V24"/>
  <c r="V25"/>
  <c r="V51" s="1"/>
  <c r="V79" s="1"/>
  <c r="AB5" i="42" s="1"/>
  <c r="V27" i="8"/>
  <c r="V53" s="1"/>
  <c r="V81" s="1"/>
  <c r="AB7" i="42" s="1"/>
  <c r="W38" i="8"/>
  <c r="W40"/>
  <c r="W41"/>
  <c r="W39"/>
  <c r="W68" s="1"/>
  <c r="W96" s="1"/>
  <c r="AC22" i="42" s="1"/>
  <c r="W42" i="8"/>
  <c r="T106"/>
  <c r="T143" s="1"/>
  <c r="T107"/>
  <c r="S144"/>
  <c r="U93"/>
  <c r="AA19" i="42" s="1"/>
  <c r="V56" i="8"/>
  <c r="V84" s="1"/>
  <c r="AB10" i="42" s="1"/>
  <c r="V63" i="8"/>
  <c r="V91" s="1"/>
  <c r="AB17" i="42" s="1"/>
  <c r="V57" i="8"/>
  <c r="V85" s="1"/>
  <c r="AB11" i="42" s="1"/>
  <c r="V64" i="8"/>
  <c r="V92" s="1"/>
  <c r="AB18" i="42" s="1"/>
  <c r="V60" i="8"/>
  <c r="V88" s="1"/>
  <c r="AB14" i="42" s="1"/>
  <c r="V67" i="8"/>
  <c r="V95" s="1"/>
  <c r="AB21" i="42" s="1"/>
  <c r="W62" i="8"/>
  <c r="W90" s="1"/>
  <c r="AC16" i="42" s="1"/>
  <c r="V49" i="8"/>
  <c r="V77" s="1"/>
  <c r="AB3" i="42" s="1"/>
  <c r="V59" i="8"/>
  <c r="V87" s="1"/>
  <c r="AB13" i="42" s="1"/>
  <c r="V66" i="8"/>
  <c r="V94" s="1"/>
  <c r="AB20" i="42" s="1"/>
  <c r="R100" i="8"/>
  <c r="R152"/>
  <c r="R164"/>
  <c r="R167"/>
  <c r="R162"/>
  <c r="R159"/>
  <c r="R155"/>
  <c r="R171"/>
  <c r="R160"/>
  <c r="Q176"/>
  <c r="Q177" s="1"/>
  <c r="R148"/>
  <c r="R146"/>
  <c r="R149"/>
  <c r="R169"/>
  <c r="R157"/>
  <c r="V65"/>
  <c r="V54"/>
  <c r="V82" s="1"/>
  <c r="AB8" i="42" s="1"/>
  <c r="R173" i="8"/>
  <c r="R153"/>
  <c r="R150"/>
  <c r="R147"/>
  <c r="R165"/>
  <c r="R163"/>
  <c r="R161"/>
  <c r="R151"/>
  <c r="R166"/>
  <c r="R174"/>
  <c r="R139"/>
  <c r="U50"/>
  <c r="U78" s="1"/>
  <c r="U44"/>
  <c r="R172"/>
  <c r="R168"/>
  <c r="T70"/>
  <c r="V18"/>
  <c r="S128"/>
  <c r="S119"/>
  <c r="S122"/>
  <c r="S137"/>
  <c r="S136"/>
  <c r="S130"/>
  <c r="S98"/>
  <c r="S120"/>
  <c r="S127"/>
  <c r="S110"/>
  <c r="S126"/>
  <c r="S115"/>
  <c r="S121"/>
  <c r="S113"/>
  <c r="S118"/>
  <c r="S114"/>
  <c r="S132"/>
  <c r="S124"/>
  <c r="S116"/>
  <c r="S131"/>
  <c r="S133"/>
  <c r="S135"/>
  <c r="S112"/>
  <c r="S123"/>
  <c r="S129"/>
  <c r="S109"/>
  <c r="S111"/>
  <c r="S108"/>
  <c r="S145" s="1"/>
  <c r="S134"/>
  <c r="S125"/>
  <c r="S162" s="1"/>
  <c r="S117"/>
  <c r="S154" s="1"/>
  <c r="R154"/>
  <c r="R156"/>
  <c r="R158"/>
  <c r="S166" l="1"/>
  <c r="U107"/>
  <c r="AA4" i="42"/>
  <c r="S170" i="8"/>
  <c r="AA31"/>
  <c r="Y85" s="1"/>
  <c r="AE11" i="42" s="1"/>
  <c r="AA28" i="8"/>
  <c r="X28"/>
  <c r="X30"/>
  <c r="AA30"/>
  <c r="Y84" s="1"/>
  <c r="AE10" i="42" s="1"/>
  <c r="X32" i="8"/>
  <c r="X58" s="1"/>
  <c r="AA29"/>
  <c r="X31"/>
  <c r="X29"/>
  <c r="X55" s="1"/>
  <c r="X83" s="1"/>
  <c r="AA32"/>
  <c r="Y86" s="1"/>
  <c r="AE12" i="42" s="1"/>
  <c r="X39" i="8"/>
  <c r="X68" s="1"/>
  <c r="X96" s="1"/>
  <c r="AD22" i="42" s="1"/>
  <c r="AA40" i="8"/>
  <c r="Y94" s="1"/>
  <c r="AE20" i="42" s="1"/>
  <c r="X38" i="8"/>
  <c r="AA38"/>
  <c r="Y92" s="1"/>
  <c r="AE18" i="42" s="1"/>
  <c r="X41" i="8"/>
  <c r="AA39"/>
  <c r="Y93" s="1"/>
  <c r="AE19" i="42" s="1"/>
  <c r="AA41" i="8"/>
  <c r="X40"/>
  <c r="X42"/>
  <c r="AA42"/>
  <c r="Y96" s="1"/>
  <c r="AE22" i="42" s="1"/>
  <c r="AA33" i="8"/>
  <c r="Y87" s="1"/>
  <c r="AE13" i="42" s="1"/>
  <c r="X36" i="8"/>
  <c r="X62" s="1"/>
  <c r="X34"/>
  <c r="AA35"/>
  <c r="Y89" s="1"/>
  <c r="AE15" i="42" s="1"/>
  <c r="AA36" i="8"/>
  <c r="Y90" s="1"/>
  <c r="AE16" i="42" s="1"/>
  <c r="X37" i="8"/>
  <c r="X33"/>
  <c r="AA34"/>
  <c r="Y88" s="1"/>
  <c r="AE14" i="42" s="1"/>
  <c r="X35" i="8"/>
  <c r="X61" s="1"/>
  <c r="AA37"/>
  <c r="W24"/>
  <c r="W25"/>
  <c r="W51" s="1"/>
  <c r="W79" s="1"/>
  <c r="AC5" i="42" s="1"/>
  <c r="W26" i="8"/>
  <c r="W52" s="1"/>
  <c r="W80" s="1"/>
  <c r="AC6" i="42" s="1"/>
  <c r="W23" i="8"/>
  <c r="W49" s="1"/>
  <c r="W77" s="1"/>
  <c r="AC3" i="42" s="1"/>
  <c r="W27" i="8"/>
  <c r="W53" s="1"/>
  <c r="W81" s="1"/>
  <c r="AC7" i="42" s="1"/>
  <c r="T144" i="8"/>
  <c r="U106"/>
  <c r="U143" s="1"/>
  <c r="V93"/>
  <c r="AB19" i="42" s="1"/>
  <c r="W56" i="8"/>
  <c r="W84" s="1"/>
  <c r="AC10" i="42" s="1"/>
  <c r="W63" i="8"/>
  <c r="W91" s="1"/>
  <c r="AC17" i="42" s="1"/>
  <c r="Y83" i="8"/>
  <c r="AE9" i="42" s="1"/>
  <c r="W57" i="8"/>
  <c r="W85" s="1"/>
  <c r="AC11" i="42" s="1"/>
  <c r="W64" i="8"/>
  <c r="W92" s="1"/>
  <c r="AC18" i="42" s="1"/>
  <c r="W60" i="8"/>
  <c r="W88" s="1"/>
  <c r="AC14" i="42" s="1"/>
  <c r="W67" i="8"/>
  <c r="W95" s="1"/>
  <c r="AC21" i="42" s="1"/>
  <c r="W59" i="8"/>
  <c r="W87" s="1"/>
  <c r="AC13" i="42" s="1"/>
  <c r="W66" i="8"/>
  <c r="W94" s="1"/>
  <c r="AC20" i="42" s="1"/>
  <c r="S171" i="8"/>
  <c r="S100"/>
  <c r="S168"/>
  <c r="S157"/>
  <c r="S148"/>
  <c r="S151"/>
  <c r="S153"/>
  <c r="S160"/>
  <c r="S169"/>
  <c r="S158"/>
  <c r="S164"/>
  <c r="S173"/>
  <c r="R176"/>
  <c r="R177" s="1"/>
  <c r="W65"/>
  <c r="S165"/>
  <c r="S146"/>
  <c r="S172"/>
  <c r="S161"/>
  <c r="S150"/>
  <c r="S147"/>
  <c r="S167"/>
  <c r="S156"/>
  <c r="W18"/>
  <c r="U70"/>
  <c r="S149"/>
  <c r="S155"/>
  <c r="S163"/>
  <c r="S159"/>
  <c r="S139"/>
  <c r="S174"/>
  <c r="V50"/>
  <c r="V78" s="1"/>
  <c r="AB4" i="42" s="1"/>
  <c r="V44" i="8"/>
  <c r="T111"/>
  <c r="T119"/>
  <c r="T108"/>
  <c r="T145" s="1"/>
  <c r="T109"/>
  <c r="T124"/>
  <c r="T132"/>
  <c r="T127"/>
  <c r="T115"/>
  <c r="T131"/>
  <c r="T128"/>
  <c r="T118"/>
  <c r="T135"/>
  <c r="T120"/>
  <c r="T117"/>
  <c r="T114"/>
  <c r="T122"/>
  <c r="T129"/>
  <c r="T137"/>
  <c r="T123"/>
  <c r="T126"/>
  <c r="T134"/>
  <c r="T98"/>
  <c r="T125"/>
  <c r="T113"/>
  <c r="T133"/>
  <c r="T136"/>
  <c r="T116"/>
  <c r="T112"/>
  <c r="T130"/>
  <c r="T167" s="1"/>
  <c r="T121"/>
  <c r="T110"/>
  <c r="W54"/>
  <c r="W82" s="1"/>
  <c r="AC8" i="42" s="1"/>
  <c r="S152" i="8"/>
  <c r="AA83" l="1"/>
  <c r="AD9" i="42"/>
  <c r="X23" i="8"/>
  <c r="X49" s="1"/>
  <c r="X27"/>
  <c r="X53" s="1"/>
  <c r="X81" s="1"/>
  <c r="AA27"/>
  <c r="Y81" s="1"/>
  <c r="AE7" i="42" s="1"/>
  <c r="AA25" i="8"/>
  <c r="Y79" s="1"/>
  <c r="AE5" i="42" s="1"/>
  <c r="X25" i="8"/>
  <c r="X51" s="1"/>
  <c r="AA23"/>
  <c r="Y77" s="1"/>
  <c r="AE3" i="42" s="1"/>
  <c r="AA24" i="8"/>
  <c r="Y78" s="1"/>
  <c r="AE4" i="42" s="1"/>
  <c r="X24" i="8"/>
  <c r="AA26"/>
  <c r="Y80" s="1"/>
  <c r="AE6" i="42" s="1"/>
  <c r="X26" i="8"/>
  <c r="X52" s="1"/>
  <c r="X80" s="1"/>
  <c r="V106"/>
  <c r="V143" s="1"/>
  <c r="U144"/>
  <c r="AA55"/>
  <c r="W93"/>
  <c r="AC19" i="42" s="1"/>
  <c r="AA58" i="8"/>
  <c r="X86"/>
  <c r="AA62"/>
  <c r="X90"/>
  <c r="V107"/>
  <c r="AA61"/>
  <c r="X89"/>
  <c r="AA96"/>
  <c r="T100"/>
  <c r="X57"/>
  <c r="X64"/>
  <c r="X92" s="1"/>
  <c r="AD18" i="42" s="1"/>
  <c r="X60" i="8"/>
  <c r="X67"/>
  <c r="X95" s="1"/>
  <c r="X56"/>
  <c r="X63"/>
  <c r="X59"/>
  <c r="X66"/>
  <c r="T147"/>
  <c r="T153"/>
  <c r="T173"/>
  <c r="T165"/>
  <c r="T158"/>
  <c r="S176"/>
  <c r="S177" s="1"/>
  <c r="T149"/>
  <c r="T162"/>
  <c r="T154"/>
  <c r="T169"/>
  <c r="T156"/>
  <c r="T163"/>
  <c r="T170"/>
  <c r="T139"/>
  <c r="T174"/>
  <c r="U108"/>
  <c r="U145" s="1"/>
  <c r="U109"/>
  <c r="U114"/>
  <c r="U113"/>
  <c r="U117"/>
  <c r="U132"/>
  <c r="U127"/>
  <c r="U119"/>
  <c r="U137"/>
  <c r="U115"/>
  <c r="U116"/>
  <c r="U126"/>
  <c r="U135"/>
  <c r="U122"/>
  <c r="U124"/>
  <c r="U110"/>
  <c r="U125"/>
  <c r="U136"/>
  <c r="U112"/>
  <c r="U120"/>
  <c r="U157" s="1"/>
  <c r="U123"/>
  <c r="U129"/>
  <c r="U134"/>
  <c r="U130"/>
  <c r="U111"/>
  <c r="U98"/>
  <c r="U121"/>
  <c r="U131"/>
  <c r="U128"/>
  <c r="U118"/>
  <c r="U133"/>
  <c r="V70"/>
  <c r="X18"/>
  <c r="T160"/>
  <c r="T151"/>
  <c r="T155"/>
  <c r="T164"/>
  <c r="X54"/>
  <c r="X82" s="1"/>
  <c r="AD8" i="42" s="1"/>
  <c r="Y82" i="8"/>
  <c r="AE8" i="42" s="1"/>
  <c r="Y95" i="8"/>
  <c r="AE21" i="42" s="1"/>
  <c r="T150" i="8"/>
  <c r="T159"/>
  <c r="T172"/>
  <c r="T152"/>
  <c r="T146"/>
  <c r="W50"/>
  <c r="W78" s="1"/>
  <c r="AC4" i="42" s="1"/>
  <c r="W44" i="8"/>
  <c r="Y91"/>
  <c r="AE17" i="42" s="1"/>
  <c r="X65" i="8"/>
  <c r="X93" s="1"/>
  <c r="AD19" i="42" s="1"/>
  <c r="T171" i="8"/>
  <c r="T166"/>
  <c r="T157"/>
  <c r="T168"/>
  <c r="T161"/>
  <c r="T148"/>
  <c r="AA95" l="1"/>
  <c r="AD21" i="42"/>
  <c r="AA86" i="8"/>
  <c r="AD12" i="42"/>
  <c r="AA89" i="8"/>
  <c r="AD15" i="42"/>
  <c r="AA90" i="8"/>
  <c r="AD16" i="42"/>
  <c r="AA80" i="8"/>
  <c r="AD6" i="42"/>
  <c r="AA81" i="8"/>
  <c r="AD7" i="42"/>
  <c r="V144" i="8"/>
  <c r="W106"/>
  <c r="W143" s="1"/>
  <c r="AA93"/>
  <c r="W107"/>
  <c r="AA57"/>
  <c r="X85"/>
  <c r="AA56"/>
  <c r="X84"/>
  <c r="AA59"/>
  <c r="X87"/>
  <c r="AA51"/>
  <c r="X79"/>
  <c r="AA63"/>
  <c r="X91"/>
  <c r="Y106"/>
  <c r="Y143" s="1"/>
  <c r="AA49"/>
  <c r="X77"/>
  <c r="AD3" i="42" s="1"/>
  <c r="AA92" i="8"/>
  <c r="X94"/>
  <c r="AA60"/>
  <c r="X88"/>
  <c r="Y107"/>
  <c r="U100"/>
  <c r="AA52"/>
  <c r="AA67"/>
  <c r="AA53"/>
  <c r="U168"/>
  <c r="U148"/>
  <c r="T176"/>
  <c r="T177" s="1"/>
  <c r="U152"/>
  <c r="U165"/>
  <c r="U162"/>
  <c r="U172"/>
  <c r="U155"/>
  <c r="U166"/>
  <c r="U173"/>
  <c r="U159"/>
  <c r="U146"/>
  <c r="AA82"/>
  <c r="AA54"/>
  <c r="Y114"/>
  <c r="Y120"/>
  <c r="Y116"/>
  <c r="Y117"/>
  <c r="Y124"/>
  <c r="Y137"/>
  <c r="Y111"/>
  <c r="Y128"/>
  <c r="Y136"/>
  <c r="Y98"/>
  <c r="Y122"/>
  <c r="Y112"/>
  <c r="Y127"/>
  <c r="Y135"/>
  <c r="Y119"/>
  <c r="Y109"/>
  <c r="Y121"/>
  <c r="Y134"/>
  <c r="Y130"/>
  <c r="Y115"/>
  <c r="Y125"/>
  <c r="Y162" s="1"/>
  <c r="Y118"/>
  <c r="Y131"/>
  <c r="Y110"/>
  <c r="Y147" s="1"/>
  <c r="Y126"/>
  <c r="Y123"/>
  <c r="Y129"/>
  <c r="Y113"/>
  <c r="Y150" s="1"/>
  <c r="Y133"/>
  <c r="Y132"/>
  <c r="Y108"/>
  <c r="U169"/>
  <c r="U170"/>
  <c r="U158"/>
  <c r="U171"/>
  <c r="U149"/>
  <c r="U161"/>
  <c r="U153"/>
  <c r="U164"/>
  <c r="U151"/>
  <c r="W70"/>
  <c r="X50"/>
  <c r="X78" s="1"/>
  <c r="AD4" i="42" s="1"/>
  <c r="X44" i="8"/>
  <c r="AA44" s="1"/>
  <c r="V127"/>
  <c r="V137"/>
  <c r="V128"/>
  <c r="V129"/>
  <c r="V120"/>
  <c r="V133"/>
  <c r="V112"/>
  <c r="V121"/>
  <c r="V119"/>
  <c r="V117"/>
  <c r="V108"/>
  <c r="V145" s="1"/>
  <c r="V116"/>
  <c r="V114"/>
  <c r="V124"/>
  <c r="V109"/>
  <c r="V131"/>
  <c r="V98"/>
  <c r="V113"/>
  <c r="V111"/>
  <c r="V122"/>
  <c r="V159" s="1"/>
  <c r="V115"/>
  <c r="V125"/>
  <c r="V134"/>
  <c r="V118"/>
  <c r="V135"/>
  <c r="V123"/>
  <c r="V110"/>
  <c r="V147" s="1"/>
  <c r="V126"/>
  <c r="V136"/>
  <c r="V132"/>
  <c r="V130"/>
  <c r="U167"/>
  <c r="U147"/>
  <c r="U163"/>
  <c r="U156"/>
  <c r="U150"/>
  <c r="U174"/>
  <c r="U139"/>
  <c r="U160"/>
  <c r="U154"/>
  <c r="V146" l="1"/>
  <c r="AA91"/>
  <c r="AD17" i="42"/>
  <c r="AA85" i="8"/>
  <c r="AD11" i="42"/>
  <c r="AA94" i="8"/>
  <c r="AD20" i="42"/>
  <c r="AA88" i="8"/>
  <c r="AD14" i="42"/>
  <c r="AA87" i="8"/>
  <c r="AD13" i="42"/>
  <c r="AA79" i="8"/>
  <c r="AD5" i="42"/>
  <c r="AA84" i="8"/>
  <c r="AD10" i="42"/>
  <c r="Y163" i="8"/>
  <c r="V162"/>
  <c r="W144"/>
  <c r="Y145"/>
  <c r="Y144"/>
  <c r="X106"/>
  <c r="X143" s="1"/>
  <c r="AA77"/>
  <c r="X107"/>
  <c r="V100"/>
  <c r="Y168"/>
  <c r="Y149"/>
  <c r="Y169"/>
  <c r="Y160"/>
  <c r="V173"/>
  <c r="V167"/>
  <c r="Y152"/>
  <c r="V165"/>
  <c r="V153"/>
  <c r="V158"/>
  <c r="V163"/>
  <c r="Y146"/>
  <c r="Y165"/>
  <c r="Y154"/>
  <c r="V171"/>
  <c r="U176"/>
  <c r="U177" s="1"/>
  <c r="V155"/>
  <c r="V151"/>
  <c r="Y170"/>
  <c r="Y158"/>
  <c r="V149"/>
  <c r="V166"/>
  <c r="Y164"/>
  <c r="Y173"/>
  <c r="Y161"/>
  <c r="Y151"/>
  <c r="X70"/>
  <c r="AA70" s="1"/>
  <c r="AA50"/>
  <c r="V157"/>
  <c r="Y155"/>
  <c r="Y171"/>
  <c r="Y172"/>
  <c r="Y174"/>
  <c r="Y157"/>
  <c r="W130"/>
  <c r="W112"/>
  <c r="W128"/>
  <c r="W132"/>
  <c r="W137"/>
  <c r="W119"/>
  <c r="W135"/>
  <c r="W123"/>
  <c r="W125"/>
  <c r="W113"/>
  <c r="W150" s="1"/>
  <c r="W122"/>
  <c r="W136"/>
  <c r="W110"/>
  <c r="W131"/>
  <c r="W114"/>
  <c r="W98"/>
  <c r="W109"/>
  <c r="W129"/>
  <c r="W118"/>
  <c r="W120"/>
  <c r="W108"/>
  <c r="W145" s="1"/>
  <c r="W115"/>
  <c r="W127"/>
  <c r="W116"/>
  <c r="W111"/>
  <c r="W148" s="1"/>
  <c r="W126"/>
  <c r="W134"/>
  <c r="W133"/>
  <c r="W170" s="1"/>
  <c r="W117"/>
  <c r="W121"/>
  <c r="W124"/>
  <c r="V174"/>
  <c r="V139"/>
  <c r="V148"/>
  <c r="V168"/>
  <c r="V172"/>
  <c r="V152"/>
  <c r="V156"/>
  <c r="V164"/>
  <c r="V169"/>
  <c r="V160"/>
  <c r="V150"/>
  <c r="V161"/>
  <c r="V154"/>
  <c r="V170"/>
  <c r="Y166"/>
  <c r="Y167"/>
  <c r="Y156"/>
  <c r="Y159"/>
  <c r="Y148"/>
  <c r="Y153"/>
  <c r="X144" l="1"/>
  <c r="W100"/>
  <c r="W151"/>
  <c r="W157"/>
  <c r="W163"/>
  <c r="W166"/>
  <c r="W168"/>
  <c r="Y176"/>
  <c r="V176"/>
  <c r="V177" s="1"/>
  <c r="W158"/>
  <c r="W161"/>
  <c r="W171"/>
  <c r="W154"/>
  <c r="W164"/>
  <c r="X117"/>
  <c r="X112"/>
  <c r="X128"/>
  <c r="X98"/>
  <c r="X127"/>
  <c r="X109"/>
  <c r="X118"/>
  <c r="X125"/>
  <c r="X113"/>
  <c r="X123"/>
  <c r="X134"/>
  <c r="X131"/>
  <c r="X120"/>
  <c r="X136"/>
  <c r="X114"/>
  <c r="X132"/>
  <c r="X130"/>
  <c r="X124"/>
  <c r="X161" s="1"/>
  <c r="X116"/>
  <c r="X126"/>
  <c r="X163" s="1"/>
  <c r="X121"/>
  <c r="X111"/>
  <c r="X115"/>
  <c r="X152" s="1"/>
  <c r="X133"/>
  <c r="X170" s="1"/>
  <c r="X119"/>
  <c r="X108"/>
  <c r="X145" s="1"/>
  <c r="X110"/>
  <c r="X137"/>
  <c r="X129"/>
  <c r="X122"/>
  <c r="X135"/>
  <c r="X172" s="1"/>
  <c r="AA78"/>
  <c r="W155"/>
  <c r="W159"/>
  <c r="W172"/>
  <c r="W165"/>
  <c r="W153"/>
  <c r="W173"/>
  <c r="W160"/>
  <c r="W169"/>
  <c r="W139"/>
  <c r="W174"/>
  <c r="W146"/>
  <c r="W147"/>
  <c r="W162"/>
  <c r="W167"/>
  <c r="W152"/>
  <c r="W156"/>
  <c r="W149"/>
  <c r="X169" l="1"/>
  <c r="X158"/>
  <c r="X166"/>
  <c r="X156"/>
  <c r="X151"/>
  <c r="X155"/>
  <c r="X159"/>
  <c r="X147"/>
  <c r="X150"/>
  <c r="X165"/>
  <c r="X168"/>
  <c r="X162"/>
  <c r="W176"/>
  <c r="W177" s="1"/>
  <c r="B98"/>
  <c r="AA100"/>
  <c r="X139"/>
  <c r="X174"/>
  <c r="X100"/>
  <c r="AA98"/>
  <c r="X167"/>
  <c r="X157"/>
  <c r="X164"/>
  <c r="X154"/>
  <c r="X148"/>
  <c r="X173"/>
  <c r="X160"/>
  <c r="X146"/>
  <c r="X149"/>
  <c r="X153"/>
  <c r="X171"/>
  <c r="X176" l="1"/>
  <c r="X177" s="1"/>
</calcChain>
</file>

<file path=xl/comments1.xml><?xml version="1.0" encoding="utf-8"?>
<comments xmlns="http://schemas.openxmlformats.org/spreadsheetml/2006/main">
  <authors>
    <author>Tina Jayaweera</author>
  </authors>
  <commentList>
    <comment ref="B22" authorId="0">
      <text>
        <r>
          <rPr>
            <b/>
            <sz val="9"/>
            <color indexed="81"/>
            <rFont val="Tahoma"/>
            <family val="2"/>
          </rPr>
          <t>Tina Jayaweera:</t>
        </r>
        <r>
          <rPr>
            <sz val="9"/>
            <color indexed="81"/>
            <rFont val="Tahoma"/>
            <family val="2"/>
          </rPr>
          <t xml:space="preserve">
Estimate of # of barn lights per farm</t>
        </r>
      </text>
    </comment>
  </commentList>
</comments>
</file>

<file path=xl/comments2.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9"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9"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9"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9"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s>
  <commentList>
    <comment ref="J5"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5"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 authorId="0">
      <text>
        <r>
          <rPr>
            <b/>
            <sz val="8"/>
            <color indexed="81"/>
            <rFont val="Tahoma"/>
            <family val="2"/>
          </rPr>
          <t xml:space="preserve"> :ProCost</t>
        </r>
        <r>
          <rPr>
            <sz val="8"/>
            <color indexed="81"/>
            <rFont val="Tahoma"/>
            <family val="2"/>
          </rPr>
          <t xml:space="preserve">
Physical life of the measure in years.  Must be &gt;=1.</t>
        </r>
      </text>
    </comment>
    <comment ref="F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 authorId="0">
      <text>
        <r>
          <rPr>
            <b/>
            <sz val="8"/>
            <color indexed="81"/>
            <rFont val="Tahoma"/>
            <family val="2"/>
          </rPr>
          <t xml:space="preserve"> :</t>
        </r>
        <r>
          <rPr>
            <sz val="8"/>
            <color indexed="81"/>
            <rFont val="Tahoma"/>
            <family val="2"/>
          </rPr>
          <t xml:space="preserve">
Annual gas savings, or increases, in therms.</t>
        </r>
      </text>
    </comment>
    <comment ref="Q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4.xml><?xml version="1.0" encoding="utf-8"?>
<comments xmlns="http://schemas.openxmlformats.org/spreadsheetml/2006/main">
  <authors>
    <author xml:space="preserve"> </author>
  </authors>
  <commentList>
    <comment ref="J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5.xml><?xml version="1.0" encoding="utf-8"?>
<comments xmlns="http://schemas.openxmlformats.org/spreadsheetml/2006/main">
  <authors>
    <author>Christian</author>
  </authors>
  <commentList>
    <comment ref="H9" authorId="0">
      <text>
        <r>
          <rPr>
            <b/>
            <sz val="9"/>
            <color indexed="81"/>
            <rFont val="Tahoma"/>
            <family val="2"/>
          </rPr>
          <t>Christian:</t>
        </r>
        <r>
          <rPr>
            <sz val="9"/>
            <color indexed="81"/>
            <rFont val="Tahoma"/>
            <family val="2"/>
          </rPr>
          <t xml:space="preserve">
Here, assume material savings but not labor savings, since photocell failure could eliminate labor savings.</t>
        </r>
      </text>
    </comment>
  </commentList>
</comments>
</file>

<file path=xl/comments6.xml><?xml version="1.0" encoding="utf-8"?>
<comments xmlns="http://schemas.openxmlformats.org/spreadsheetml/2006/main">
  <authors>
    <author>Christian</author>
  </authors>
  <commentList>
    <comment ref="H4" authorId="0">
      <text>
        <r>
          <rPr>
            <b/>
            <sz val="9"/>
            <color indexed="81"/>
            <rFont val="Tahoma"/>
            <family val="2"/>
          </rPr>
          <t>Christian:</t>
        </r>
        <r>
          <rPr>
            <sz val="9"/>
            <color indexed="81"/>
            <rFont val="Tahoma"/>
            <family val="2"/>
          </rPr>
          <t xml:space="preserve">
As represented by L70 rating</t>
        </r>
      </text>
    </comment>
  </commentList>
</comments>
</file>

<file path=xl/comments7.xml><?xml version="1.0" encoding="utf-8"?>
<comments xmlns="http://schemas.openxmlformats.org/spreadsheetml/2006/main">
  <authors>
    <author>Christian</author>
  </authors>
  <commentList>
    <comment ref="G9" authorId="0">
      <text>
        <r>
          <rPr>
            <b/>
            <sz val="9"/>
            <color indexed="81"/>
            <rFont val="Tahoma"/>
            <family val="2"/>
          </rPr>
          <t>Christian:</t>
        </r>
        <r>
          <rPr>
            <sz val="9"/>
            <color indexed="81"/>
            <rFont val="Tahoma"/>
            <family val="2"/>
          </rPr>
          <t xml:space="preserve">
Assume an LED rated lifetime in the middle of manufacturer estimates (50k, 70k, 100k).</t>
        </r>
      </text>
    </comment>
  </commentList>
</comments>
</file>

<file path=xl/sharedStrings.xml><?xml version="1.0" encoding="utf-8"?>
<sst xmlns="http://schemas.openxmlformats.org/spreadsheetml/2006/main" count="1448" uniqueCount="637">
  <si>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</si>
  <si>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</si>
  <si>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</si>
  <si>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</si>
  <si>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</si>
  <si>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</si>
  <si>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</si>
  <si>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</si>
  <si>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</si>
  <si>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</si>
  <si>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</si>
  <si>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</si>
  <si>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</si>
  <si>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</si>
  <si>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</si>
  <si>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</si>
  <si>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</si>
  <si>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</si>
  <si>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</si>
  <si>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</si>
  <si>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</si>
  <si>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TRC Net Levelized Cost (Net of All Benefits) in mills/kWh</t>
  </si>
  <si>
    <t>Busbar Savings</t>
  </si>
  <si>
    <t>Vintage</t>
  </si>
  <si>
    <t>Methodology</t>
  </si>
  <si>
    <t>Retrofit</t>
  </si>
  <si>
    <t>Retro</t>
  </si>
  <si>
    <t>Measure Bundle</t>
  </si>
  <si>
    <t>Report Year</t>
  </si>
  <si>
    <t>Output Range</t>
  </si>
  <si>
    <t>Total Regional Stock</t>
  </si>
  <si>
    <t>Applicability</t>
  </si>
  <si>
    <t>MAX</t>
  </si>
  <si>
    <t>Achievability =&gt;</t>
  </si>
  <si>
    <t>SUPPLY CURVE SAVINGS BY BUNDLE</t>
  </si>
  <si>
    <t>kWh per home</t>
  </si>
  <si>
    <t>lvlcost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</si>
  <si>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</si>
  <si>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</si>
  <si>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</si>
  <si>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</si>
  <si>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</si>
  <si>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</si>
  <si>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</si>
  <si>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</si>
  <si>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</si>
  <si>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</si>
  <si>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</si>
  <si>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</si>
  <si>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</si>
  <si>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</si>
  <si>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</si>
  <si>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</si>
  <si>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</si>
  <si>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</si>
  <si>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</si>
  <si>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</si>
  <si>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</si>
  <si>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</si>
  <si>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</si>
  <si>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</si>
  <si>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</si>
  <si>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</si>
  <si>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</si>
  <si>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</si>
  <si>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</si>
  <si>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</si>
  <si>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</si>
  <si>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</si>
  <si>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</si>
  <si>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</si>
  <si>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</si>
  <si>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</si>
  <si>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</si>
  <si>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</si>
  <si>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</si>
  <si>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</si>
  <si>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</si>
  <si>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</si>
  <si>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</si>
  <si>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</si>
  <si>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</si>
  <si>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</si>
  <si>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</si>
  <si>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</si>
  <si>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</si>
  <si>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</si>
  <si>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</si>
  <si>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</si>
  <si>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</si>
  <si>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</si>
  <si>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</si>
  <si>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</si>
  <si>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</si>
  <si>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</si>
  <si>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</si>
  <si>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</si>
  <si>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</si>
  <si>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</si>
  <si>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</si>
  <si>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</si>
  <si>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</si>
  <si>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</si>
  <si>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</si>
  <si>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</si>
  <si>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</si>
  <si>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</si>
  <si>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</si>
  <si>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Region</t>
  </si>
  <si>
    <t>Showerhead Retrofit with 2.0 GPM or lower showerheads</t>
  </si>
  <si>
    <t>Measure:</t>
  </si>
  <si>
    <t>Item</t>
  </si>
  <si>
    <t>Measures Described</t>
  </si>
  <si>
    <t>Energy Savings Calculation Basis</t>
  </si>
  <si>
    <t>Applicable Stock</t>
  </si>
  <si>
    <t>Baseline Saturation</t>
  </si>
  <si>
    <t>Baseline HVAC Loads</t>
  </si>
  <si>
    <t>Permutations</t>
  </si>
  <si>
    <t>Costs</t>
  </si>
  <si>
    <t>Measure Life</t>
  </si>
  <si>
    <t>Savings Shape</t>
  </si>
  <si>
    <t>Achievability Ramp Rate</t>
  </si>
  <si>
    <t>Retro or LO</t>
  </si>
  <si>
    <t>Early Retrofit Parameters</t>
  </si>
  <si>
    <t>R or L</t>
  </si>
  <si>
    <t>Savings 2
(kWh)</t>
  </si>
  <si>
    <t>Remaining
Life (yrs)</t>
  </si>
  <si>
    <t>Salvage Value ($)</t>
  </si>
  <si>
    <t>R</t>
  </si>
  <si>
    <t>aMW</t>
  </si>
  <si>
    <t>Existing</t>
  </si>
  <si>
    <t>Total</t>
  </si>
  <si>
    <t>Montana</t>
  </si>
  <si>
    <t>Idaho</t>
  </si>
  <si>
    <t>Oregon</t>
  </si>
  <si>
    <t>Washington</t>
  </si>
  <si>
    <t>='[7P Forecasts D2.xlsx]Ag Forecast (Base Case)'!$BD$20</t>
  </si>
  <si>
    <t>state</t>
  </si>
  <si>
    <t>Acres Treated Max</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</si>
  <si>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</si>
  <si>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</si>
  <si>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</si>
  <si>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</si>
  <si>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</si>
  <si>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</si>
  <si>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</si>
  <si>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</si>
  <si>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</si>
  <si>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</si>
  <si>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</si>
  <si>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</si>
  <si>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</si>
  <si>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</si>
  <si>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</si>
  <si>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</si>
  <si>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</si>
  <si>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</si>
  <si>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</si>
  <si>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</si>
  <si>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</si>
  <si>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</si>
  <si>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</si>
  <si>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</si>
  <si>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</si>
  <si>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</si>
  <si>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</si>
  <si>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</si>
  <si>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</si>
  <si>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</si>
  <si>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</si>
  <si>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</si>
  <si>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</si>
  <si>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</si>
  <si>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</si>
  <si>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</si>
  <si>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</si>
  <si>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</si>
  <si>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</si>
  <si>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</si>
  <si>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</si>
  <si>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</si>
  <si>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</si>
  <si>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</si>
  <si>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</si>
  <si>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</si>
  <si>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</si>
  <si>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</si>
  <si>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</si>
  <si>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</si>
  <si>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</si>
  <si>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</si>
  <si>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</si>
  <si>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</si>
  <si>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</si>
  <si>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</si>
  <si>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</si>
  <si>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</si>
  <si>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</si>
  <si>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</si>
  <si>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</si>
  <si>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</si>
  <si>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</si>
  <si>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</si>
  <si>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</si>
  <si>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</si>
  <si>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</si>
  <si>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</si>
  <si>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</si>
  <si>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</si>
  <si>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</si>
  <si>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</si>
  <si>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</si>
  <si>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</si>
  <si>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</si>
  <si>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</si>
  <si>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</si>
  <si>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</si>
  <si>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</si>
  <si>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</si>
  <si>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</si>
  <si>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</si>
  <si>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</si>
  <si>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</si>
  <si>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</si>
  <si>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</si>
  <si>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</si>
  <si>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</si>
  <si>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</si>
  <si>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</si>
  <si>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</si>
  <si>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</si>
  <si>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Category</t>
  </si>
  <si>
    <t>Measure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</si>
  <si>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</si>
  <si>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</si>
  <si>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</si>
  <si>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</si>
  <si>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</si>
  <si>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</si>
  <si>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</si>
  <si>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</si>
  <si>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</si>
  <si>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</si>
  <si>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</si>
  <si>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</si>
  <si>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</si>
  <si>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</si>
  <si>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</si>
  <si>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</si>
  <si>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</si>
  <si>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</si>
  <si>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</si>
  <si>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</si>
  <si>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</si>
  <si>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</si>
  <si>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</si>
  <si>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</si>
  <si>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</si>
  <si>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</si>
  <si>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</si>
  <si>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</si>
  <si>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</si>
  <si>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</si>
  <si>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</si>
  <si>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</si>
  <si>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</si>
  <si>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</si>
  <si>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</si>
  <si>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</si>
  <si>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</si>
  <si>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</si>
  <si>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</si>
  <si>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</si>
  <si>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</si>
  <si>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</si>
  <si>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</si>
  <si>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</si>
  <si>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</si>
  <si>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</si>
  <si>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</si>
  <si>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</si>
  <si>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</si>
  <si>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</si>
  <si>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</si>
  <si>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</si>
  <si>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</si>
  <si>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</si>
  <si>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</si>
  <si>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</si>
  <si>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</si>
  <si>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</si>
  <si>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</si>
  <si>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</si>
  <si>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</si>
  <si>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</si>
  <si>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</si>
  <si>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</si>
  <si>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</si>
  <si>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</si>
  <si>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</si>
  <si>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</si>
  <si>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</si>
  <si>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</si>
  <si>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</si>
  <si>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</si>
  <si>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</si>
  <si>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</si>
  <si>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</si>
  <si>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</si>
  <si>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</si>
  <si>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</si>
  <si>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</si>
  <si>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</si>
  <si>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</si>
  <si>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</si>
  <si>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</si>
  <si>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</si>
  <si>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</si>
  <si>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</si>
  <si>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</si>
  <si>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</si>
  <si>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</si>
  <si>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</si>
  <si>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</si>
  <si>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</si>
  <si>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</si>
  <si>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</si>
  <si>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</si>
  <si>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</si>
  <si>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</si>
  <si>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</si>
  <si>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</si>
  <si>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</si>
  <si>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</si>
  <si>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</si>
  <si>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</si>
  <si>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</si>
  <si>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</si>
  <si>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</si>
  <si>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</si>
  <si>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Shaped Savings Results; By Category and sorted by TRC BC ratio</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</si>
  <si>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</si>
  <si>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</si>
  <si>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</si>
  <si>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</si>
  <si>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</si>
  <si>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</si>
  <si>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</si>
  <si>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</si>
  <si>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</si>
  <si>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</si>
  <si>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</si>
  <si>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</si>
  <si>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</si>
  <si>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</si>
  <si>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</si>
  <si>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</si>
  <si>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</si>
  <si>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</si>
  <si>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</si>
  <si>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</si>
  <si>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</si>
  <si>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</si>
  <si>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</si>
  <si>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</si>
  <si>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</si>
  <si>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</si>
  <si>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</si>
  <si>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</si>
  <si>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</si>
  <si>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</si>
  <si>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</si>
  <si>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savingsYear</t>
  </si>
  <si>
    <t>BPA Sector</t>
  </si>
  <si>
    <t>BPA EndUse</t>
  </si>
  <si>
    <t>BPA Category</t>
  </si>
  <si>
    <t>BPA TAP</t>
  </si>
  <si>
    <t>SumOfkWhBusbar</t>
  </si>
  <si>
    <t>SumOfaMWBusbar</t>
  </si>
  <si>
    <t>Agricultural</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</si>
  <si>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</si>
  <si>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</si>
  <si>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</si>
  <si>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</si>
  <si>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</si>
  <si>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</si>
  <si>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Methods &amp; Sources</t>
  </si>
  <si>
    <t>Note</t>
  </si>
  <si>
    <t>7P Updates</t>
  </si>
  <si>
    <t>NA</t>
  </si>
  <si>
    <t>Savings Calculations</t>
  </si>
  <si>
    <t>Base Case</t>
  </si>
  <si>
    <t>Efficient Case</t>
  </si>
  <si>
    <t>Scenario</t>
  </si>
  <si>
    <t>Unit Energy Savings (kWh/yr)</t>
  </si>
  <si>
    <t>Periodic Cost ($)</t>
  </si>
  <si>
    <t>Cost Period (yrs)</t>
  </si>
  <si>
    <t>Replacement Lamp Lifetime (yrs)</t>
  </si>
  <si>
    <t>100W HID lamp</t>
  </si>
  <si>
    <t>45-54W LED lamp &amp; NEW Photocell</t>
  </si>
  <si>
    <t>150W HID lamp</t>
  </si>
  <si>
    <t>175W MH lamp</t>
  </si>
  <si>
    <t>175W MV lamp</t>
  </si>
  <si>
    <t>45-54W LED lamp &amp; Existing Photocell</t>
  </si>
  <si>
    <t>100W HID fixture</t>
  </si>
  <si>
    <t>35-44W LED fixture &amp; NEW Photocell</t>
  </si>
  <si>
    <t>150W HID fixture</t>
  </si>
  <si>
    <t>175W MH fixture</t>
  </si>
  <si>
    <t>175W MV fixture</t>
  </si>
  <si>
    <t>200W HID fixture</t>
  </si>
  <si>
    <t>25-34W LED fixture &amp; NEW Photocell</t>
  </si>
  <si>
    <r>
      <t>Notes</t>
    </r>
    <r>
      <rPr>
        <sz val="10"/>
        <rFont val="Arial"/>
        <family val="2"/>
      </rPr>
      <t>:</t>
    </r>
  </si>
  <si>
    <t>1)</t>
  </si>
  <si>
    <t>Suitable energy efficient lamp replacements were determined using subject matter expert responses and manufacturer suggestions.</t>
  </si>
  <si>
    <t>2)</t>
  </si>
  <si>
    <t>All costs are adjusted for 2006 dollars using the adjustment factor on the Assumptions tab.</t>
  </si>
  <si>
    <t>3)</t>
  </si>
  <si>
    <t>Initial Incremental cost is equal to:  (Efficient Bulb Cost - Baseline Bulb Cost) + Incremental Install Cost</t>
  </si>
  <si>
    <t>4)</t>
  </si>
  <si>
    <t>Periodic Cost is equal to:  - (Total Bulb Replacement Time*Labor Cost per Crew*Number of Crew + Bulb Cost + Non-Bulb Costs)</t>
  </si>
  <si>
    <t>5)</t>
  </si>
  <si>
    <t>HID refers to High Intensity Discharge which includes high pressure sodium and metal halide lamps.</t>
  </si>
  <si>
    <t>6)</t>
  </si>
  <si>
    <t>For the 175W MV baseline lamp, a 100W HPS lamp is assumed as the Current Practice baseline. This is based on SME interviews and phasing out of MV lamps across the country. Savings for the 175W MV lamp also reflect the 100W HPS lamp as the baseline.</t>
  </si>
  <si>
    <t>Lamp/Fixture Type</t>
  </si>
  <si>
    <t>Material Cost</t>
  </si>
  <si>
    <t>Labor Cost</t>
  </si>
  <si>
    <t>Incremental Material Cost (Compared to 100W HID)</t>
  </si>
  <si>
    <t>Incremental Material Cost (Compared to 150W HID)</t>
  </si>
  <si>
    <t>Incremental Material Cost (Compared to 175W MH)</t>
  </si>
  <si>
    <t>Incremental Material Cost (Compared to 200W HID)</t>
  </si>
  <si>
    <t>Incremental Labor Cost</t>
  </si>
  <si>
    <t>45-54W LED lamp</t>
  </si>
  <si>
    <t>35-44W LED fixture</t>
  </si>
  <si>
    <t>25-34W LED fixture</t>
  </si>
  <si>
    <t>100W HID (MH &amp; HPS) lamp</t>
  </si>
  <si>
    <t>150W HID (MH &amp; HPS) lamp</t>
  </si>
  <si>
    <t>175W Metal Halide lamp</t>
  </si>
  <si>
    <t>200W HID (MH &amp; HPS) lamp</t>
  </si>
  <si>
    <t>From RTF workbook AgAreaLights_v1_5</t>
  </si>
  <si>
    <t>Parameters and Assumptions</t>
  </si>
  <si>
    <t>Parameter</t>
  </si>
  <si>
    <t>Value</t>
  </si>
  <si>
    <t>Source / Justification</t>
  </si>
  <si>
    <t>Hours of lamp operation per day</t>
  </si>
  <si>
    <t>hours</t>
  </si>
  <si>
    <t>-Assumes dusk-til-dawn operation.  Twelve hrs. most common response from subject matter experts (SMEs).</t>
  </si>
  <si>
    <t>Per year</t>
  </si>
  <si>
    <t>-Equals (hours of lamp operation per day)*(365 days/yr)</t>
  </si>
  <si>
    <t>Labor per crew member, including overhead</t>
  </si>
  <si>
    <t>per hour</t>
  </si>
  <si>
    <t>-Line crew labor cost quoted by SME at $37/hour plus 30% overhead.</t>
  </si>
  <si>
    <t>Cost adjustment factor</t>
  </si>
  <si>
    <t>Electronic photocell (15-yr life)</t>
  </si>
  <si>
    <t>per bulb</t>
  </si>
  <si>
    <t>-Cost provided by Tacoma Power at 1/22/2014 RTF meeting.</t>
  </si>
  <si>
    <t>Avg. crew size</t>
  </si>
  <si>
    <t>persons</t>
  </si>
  <si>
    <t>-Most common response from SMEs.</t>
  </si>
  <si>
    <t>Replacement Bulb Parameters</t>
  </si>
  <si>
    <t>Simple screw-in replacement or re-wire around ballast</t>
  </si>
  <si>
    <t>Man-hours for install</t>
  </si>
  <si>
    <t>hour(s)</t>
  </si>
  <si>
    <t>-See note 2.</t>
  </si>
  <si>
    <t>Replacement bulb requiring new ballast or fixture</t>
  </si>
  <si>
    <t xml:space="preserve"> Time Requirements</t>
  </si>
  <si>
    <t>Avg. travel time per replacement</t>
  </si>
  <si>
    <t>-See note 3.</t>
  </si>
  <si>
    <t>Same-type bulb installation time (e.g., replace HPS w/ HPS)</t>
  </si>
  <si>
    <t>Total same-type bulb replacement time</t>
  </si>
  <si>
    <t>-Equals (Same-type installation time) + (Avg. travel time per replacement)</t>
  </si>
  <si>
    <t>Total different-type self-ballasted bulb installation time (e.g., replace HPS w/ LED or self-ballasted induction)</t>
  </si>
  <si>
    <t>-Equals (Different-type installation time) + (Avg. travel time per replacement)</t>
  </si>
  <si>
    <t>Total different-type remote-ballasted lamp or whole fixture installation time</t>
  </si>
  <si>
    <t>Notes:</t>
  </si>
  <si>
    <t>According to several SMEs the bulb is the most common failure point, so the bulb cost is the major consideration in this costing model.  While other components such as ballasts or starters could fail, the failure rate of these components is unclear.  Some SMEs have seen ballasts last as long as 30-40 years, so the conservative assumption is made that the MV and HPS ballasts will not fail during the measure lifetimes.  It should be noted, however, that some rural utilities will replace the entire fixture, because drive times are so long and costly it doesn't make sense to diagnose the failure point (i.e. bad bulb, bad ballast) in the field.  These utilities may incur a greater cost than is reflected here.</t>
  </si>
  <si>
    <t xml:space="preserve">For replacing a HPS or MV bulb with another bulb of the same type, the most frequent expert response was that this would take about 15 minutes of installation time. For replacing a HPS or MV with a different type of energy efficient bulb, a simple replacement procedure (e.g. screw-in replacement or re-wire around ballast) would take about 30 minutes, and replacements requiring a new fixture could take about an hour.  Therefore, the installation time for a different type of energy efficient bulb is the weighted average of these two scenarios.  Feedback from SMEs suggested that most efficient replacements are simple replacement types (screw-in or bypass ballast), so the default assumption is 100% simple replacement.  </t>
  </si>
  <si>
    <t>Average travel time is based on the expert assumption of replacing 10-20 standard lamps per day.  Assuming an 8 hour work day, this equates to about 10-30 minutes of travel time per bulb.  Therefore, an average travel time of 20 minutes or 0.33 hr/bulb is used.</t>
  </si>
  <si>
    <t>HPS and MV refer to high pressure sodium and mercury vapor lamps, respectively.</t>
  </si>
  <si>
    <t>Average Fixture Data</t>
  </si>
  <si>
    <t>Lamp Type</t>
  </si>
  <si>
    <t>Nominal Lamp Wattage</t>
  </si>
  <si>
    <t>Ballast Wattage (% of Nominal Lamp Wattage)</t>
  </si>
  <si>
    <t>Total Fixture Wattage</t>
  </si>
  <si>
    <t>Average Lifetime (hrs)</t>
  </si>
  <si>
    <t>Annual Energy Use (kWh/yr)</t>
  </si>
  <si>
    <t>Replacement Frequency (yrs)</t>
  </si>
  <si>
    <t>100W HID</t>
  </si>
  <si>
    <t>150W HID</t>
  </si>
  <si>
    <t>175W Metal Halide</t>
  </si>
  <si>
    <t>200W HID</t>
  </si>
  <si>
    <t xml:space="preserve">45-54W LED </t>
  </si>
  <si>
    <t>lamp replacement</t>
  </si>
  <si>
    <t xml:space="preserve">35-44W LED </t>
  </si>
  <si>
    <t>fixture replacement</t>
  </si>
  <si>
    <t xml:space="preserve">25-34W LED </t>
  </si>
  <si>
    <t>Ballast power consumption is based on average magnetic and electronic ballast wattages taken from manufacturer data.</t>
  </si>
  <si>
    <t>Although LED product lifetimes range from 50,000 to 100,000, assume the lifetime nearest to the overall average, or 70,000.</t>
  </si>
  <si>
    <t>Initial Incremental Cost (2012$)</t>
  </si>
  <si>
    <t>Adjusted labor cost, including overhead (2012 $)</t>
  </si>
  <si>
    <t>Data are collected in 2012</t>
  </si>
  <si>
    <t>-Labor cost adjusted to 2012 dollars according to the adjustment factor given below.</t>
  </si>
  <si>
    <t>StreetLight</t>
  </si>
  <si>
    <t>Lamp/Fixture Manufacturer Data</t>
  </si>
  <si>
    <t>Manufacturer</t>
  </si>
  <si>
    <t>Model</t>
  </si>
  <si>
    <t>Nominal Wattage</t>
  </si>
  <si>
    <t>Technology Type</t>
  </si>
  <si>
    <t>Lamp/Fixture?</t>
  </si>
  <si>
    <t>Avg. Lifetime (hrs)</t>
  </si>
  <si>
    <t>Cost (2013 $)</t>
  </si>
  <si>
    <t>Data Source</t>
  </si>
  <si>
    <t>Additional Notes</t>
  </si>
  <si>
    <t>evluma</t>
  </si>
  <si>
    <t>Clearlight Beacon LED</t>
  </si>
  <si>
    <t>LED</t>
  </si>
  <si>
    <t>Lamp</t>
  </si>
  <si>
    <t>Service Concepts and General Pacific. GP quote was via phone, 11/27/13)</t>
  </si>
  <si>
    <t>Approved by BPA for use with lighting calculator. Input wattage includes internal driver and is supported by LM-79 testing. Manufacturer lifetime estimate supported by LM-80 results when run through TM-21 protocol.</t>
  </si>
  <si>
    <t>AreaMax LED Area Light</t>
  </si>
  <si>
    <t>Fixture</t>
  </si>
  <si>
    <t>Phone conversation, Jim Maunder (Ravalli Electric)</t>
  </si>
  <si>
    <t>Ravalli purchased these fixtures for a pilot program. This is the fixture cost that they paid.</t>
  </si>
  <si>
    <t>MaxLite</t>
  </si>
  <si>
    <t>MLAR30LED50</t>
  </si>
  <si>
    <t>warehouse-lighting.com</t>
  </si>
  <si>
    <t>Philips</t>
  </si>
  <si>
    <t>C100S54/ALTO HPS</t>
  </si>
  <si>
    <t>HPS</t>
  </si>
  <si>
    <t>1000bulbs.com</t>
  </si>
  <si>
    <t>GE</t>
  </si>
  <si>
    <t>LU100/MED HPS</t>
  </si>
  <si>
    <t>ProLighting.com</t>
  </si>
  <si>
    <t>Sylvania</t>
  </si>
  <si>
    <t>67514 - LU100 - HPS</t>
  </si>
  <si>
    <t>85369 Clear HPS</t>
  </si>
  <si>
    <t>Athalon</t>
  </si>
  <si>
    <t>MH100/U/MED/ATH</t>
  </si>
  <si>
    <t>MH</t>
  </si>
  <si>
    <t>LightingSupply.com</t>
  </si>
  <si>
    <t>28135-2</t>
  </si>
  <si>
    <t>36876-1 Clear HPS</t>
  </si>
  <si>
    <t>LU150/MED HPS</t>
  </si>
  <si>
    <t>PLT</t>
  </si>
  <si>
    <t> 991393</t>
  </si>
  <si>
    <t>37720-0 (pulse start)</t>
  </si>
  <si>
    <t>Generic</t>
  </si>
  <si>
    <t>MH150W/U/PS/TCP</t>
  </si>
  <si>
    <t>Venture</t>
  </si>
  <si>
    <t>MH-44810 (probe start)</t>
  </si>
  <si>
    <t>ED28 Clear MV</t>
  </si>
  <si>
    <t>MV</t>
  </si>
  <si>
    <t>eLightBulbs.com</t>
  </si>
  <si>
    <t>69445 MV</t>
  </si>
  <si>
    <t>HF175PD</t>
  </si>
  <si>
    <t>M175/U</t>
  </si>
  <si>
    <t>TCP</t>
  </si>
  <si>
    <t>44206 HPS</t>
  </si>
  <si>
    <t>LU200/ECO</t>
  </si>
  <si>
    <t>Plusrite</t>
  </si>
  <si>
    <t>Ballast Manufacturer Data</t>
  </si>
  <si>
    <t>Ballast Type</t>
  </si>
  <si>
    <t>Bulb Type</t>
  </si>
  <si>
    <t>Output Wattage</t>
  </si>
  <si>
    <t>Input Wattage</t>
  </si>
  <si>
    <t>Difference (W)</t>
  </si>
  <si>
    <t>Difference (%)</t>
  </si>
  <si>
    <t>Sola</t>
  </si>
  <si>
    <t>E-SRN00F100</t>
  </si>
  <si>
    <t>Magnetic</t>
  </si>
  <si>
    <t>Howard</t>
  </si>
  <si>
    <t>S0100-02C-111</t>
  </si>
  <si>
    <t>V90B1322-NPF</t>
  </si>
  <si>
    <t>Advance</t>
  </si>
  <si>
    <t>71A8007001DB</t>
  </si>
  <si>
    <t>E-MZA00W100</t>
  </si>
  <si>
    <t>M0100-71C-512-DK</t>
  </si>
  <si>
    <t>V90D5932K</t>
  </si>
  <si>
    <t>E-SRN00F150</t>
  </si>
  <si>
    <t>71A8107001DB</t>
  </si>
  <si>
    <t>71A8107500D</t>
  </si>
  <si>
    <t>M0150-71C-511-DK</t>
  </si>
  <si>
    <t>E-MCA00W151</t>
  </si>
  <si>
    <t>V90D7130K</t>
  </si>
  <si>
    <t>E-SCA00W200</t>
  </si>
  <si>
    <t>E-SCA0DD200</t>
  </si>
  <si>
    <t>71A8970001D</t>
  </si>
  <si>
    <t>M-175-4T-CWA-K</t>
  </si>
  <si>
    <t>E-871-W-117</t>
  </si>
  <si>
    <t>BIGS</t>
  </si>
  <si>
    <t>Remote-ballasted induction light</t>
  </si>
  <si>
    <t>Electronic</t>
  </si>
  <si>
    <t>Induction</t>
  </si>
  <si>
    <t>Phone discussion with BIGS Lighting Solutions (12/9/2013)</t>
  </si>
  <si>
    <t>2017 Efficacy Adjustment for LED Streetlight</t>
  </si>
  <si>
    <t>2017 Cost Adjustment for LED Streelight</t>
  </si>
  <si>
    <t>From RTF workbook AgAreaLights_v1_5, updating LED costs based on PNNL study</t>
  </si>
  <si>
    <t>S-All-Lgt-Streetlight-All-All-U</t>
  </si>
  <si>
    <t>Only select most likely measure permutation. Based on streetlight work, unlikely that 25-34W LED will provide sufficient lumens for 100+W HID fixture; 100W HPS replaced by ~40W LED, so you this for all, given increase in efficacy</t>
  </si>
  <si>
    <t>35-44W LED fixture &amp; NEW Photocell_Replacing_175W MH fixture</t>
  </si>
  <si>
    <t>35-44W LED fixture &amp; NEW Photocell_Replacing_150W HID fixture</t>
  </si>
  <si>
    <t>35-44W LED fixture &amp; NEW Photocell_Replacing_100W HID fixture</t>
  </si>
  <si>
    <t>35-44W LED fixture &amp; NEW Photocell_Replacing_175W MV fixture</t>
  </si>
  <si>
    <t>35-44W LED fixture &amp; NEW Photocell_Replacing_200W HID fixture</t>
  </si>
  <si>
    <t>Lighting</t>
  </si>
  <si>
    <t>REG_TOTAL_STOCK_# FARMS</t>
  </si>
  <si>
    <t>Lamps/Ballasts/Fixtures</t>
  </si>
  <si>
    <t>approx # of lamps</t>
  </si>
  <si>
    <t>Area Lights</t>
  </si>
  <si>
    <t>Utility-owned lamp fixtures on site of barns; similar to streetlights</t>
  </si>
  <si>
    <t>New measure from 6P</t>
  </si>
  <si>
    <t>AgAreaLights_v1_5</t>
  </si>
  <si>
    <t>RTF workbook, savings based on delta W * HOU</t>
  </si>
  <si>
    <t>all barn lights</t>
  </si>
  <si>
    <t>assume 1.3 barn lights per farm</t>
  </si>
  <si>
    <t># Units</t>
  </si>
  <si>
    <t>based on programmatic achievements of ~10% of stock</t>
  </si>
  <si>
    <t>Different baseline W (100 - 200W) HID</t>
  </si>
  <si>
    <t>relative saturation of various permutations unknown, assume equal split</t>
  </si>
  <si>
    <t>Primarily based on web search</t>
  </si>
  <si>
    <t>based on hours</t>
  </si>
  <si>
    <t>streetlight (dusk to dawn)</t>
  </si>
  <si>
    <t># farms from 2012 Census of Ag</t>
  </si>
  <si>
    <t>Ramp Rate</t>
  </si>
  <si>
    <t>Resource Type</t>
  </si>
  <si>
    <t>Measure Category</t>
  </si>
  <si>
    <t>Sector</t>
  </si>
  <si>
    <t>End Use</t>
  </si>
  <si>
    <t>kW per unit</t>
  </si>
  <si>
    <t>kWh per unit</t>
  </si>
  <si>
    <t>TRC Net Levelized Cost (Net of All Benefits)</t>
  </si>
  <si>
    <t>segment</t>
  </si>
  <si>
    <t>Agriculture</t>
  </si>
  <si>
    <t>Retro6Slow</t>
  </si>
  <si>
    <t>Modeling as retro for ease of analytics (given varying baseline EUL)</t>
  </si>
  <si>
    <t>Friday, 23 January , 2015 at 4:35 PM</t>
  </si>
  <si>
    <t>End Use:</t>
  </si>
</sst>
</file>

<file path=xl/styles.xml><?xml version="1.0" encoding="utf-8"?>
<styleSheet xmlns="http://schemas.openxmlformats.org/spreadsheetml/2006/main">
  <numFmts count="17">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_);_(* \(#,##0.0\);_(* &quot;-&quot;?_);_(@_)"/>
    <numFmt numFmtId="169" formatCode="&quot;$&quot;#,##0.00"/>
    <numFmt numFmtId="170" formatCode="mmm\-yyyy"/>
    <numFmt numFmtId="171" formatCode="0.0;[Red]\-0.0"/>
    <numFmt numFmtId="172" formatCode="\ "/>
    <numFmt numFmtId="173" formatCode="0.000"/>
    <numFmt numFmtId="174" formatCode="#,##0;[Red]\-#,##0"/>
    <numFmt numFmtId="175" formatCode="&quot;$&quot;#,##0.00;\(&quot;$&quot;#,##0.00\)"/>
  </numFmts>
  <fonts count="74">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sz val="10"/>
      <name val="Arial"/>
      <family val="2"/>
    </font>
    <font>
      <sz val="10"/>
      <name val="MS Sans Serif"/>
      <family val="2"/>
    </font>
    <font>
      <sz val="11"/>
      <color indexed="8"/>
      <name val="Calibri"/>
      <family val="2"/>
    </font>
    <font>
      <b/>
      <i/>
      <sz val="11"/>
      <name val="Arial"/>
      <family val="2"/>
    </font>
    <font>
      <sz val="11"/>
      <color indexed="8"/>
      <name val="Calibri"/>
      <family val="2"/>
    </font>
    <font>
      <b/>
      <sz val="13"/>
      <color indexed="62"/>
      <name val="Calibri"/>
      <family val="2"/>
    </font>
    <font>
      <u/>
      <sz val="10"/>
      <color indexed="12"/>
      <name val="Arial"/>
      <family val="2"/>
    </font>
    <font>
      <u/>
      <sz val="7"/>
      <color indexed="12"/>
      <name val="Arial"/>
      <family val="2"/>
    </font>
    <font>
      <b/>
      <sz val="11"/>
      <color indexed="8"/>
      <name val="Calibri"/>
      <family val="2"/>
    </font>
    <font>
      <sz val="11"/>
      <color indexed="10"/>
      <name val="Calibri"/>
      <family val="2"/>
    </font>
    <font>
      <u/>
      <sz val="10"/>
      <color theme="10"/>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9"/>
      <color indexed="81"/>
      <name val="Tahoma"/>
      <family val="2"/>
    </font>
    <font>
      <sz val="10"/>
      <color indexed="10"/>
      <name val="Arial"/>
      <family val="2"/>
    </font>
    <font>
      <b/>
      <sz val="10"/>
      <color theme="0"/>
      <name val="Calibri"/>
      <family val="2"/>
      <scheme val="minor"/>
    </font>
    <font>
      <sz val="10"/>
      <color theme="1"/>
      <name val="Calibri"/>
      <family val="2"/>
      <scheme val="minor"/>
    </font>
    <font>
      <b/>
      <sz val="9"/>
      <color indexed="81"/>
      <name val="Tahoma"/>
      <family val="2"/>
    </font>
    <font>
      <b/>
      <sz val="10"/>
      <color theme="0"/>
      <name val="Arial"/>
      <family val="2"/>
    </font>
    <font>
      <sz val="10"/>
      <color rgb="FFFF0000"/>
      <name val="Arial"/>
      <family val="2"/>
    </font>
    <font>
      <b/>
      <u/>
      <sz val="12"/>
      <name val="Arial"/>
      <family val="2"/>
    </font>
    <font>
      <b/>
      <sz val="12"/>
      <name val="Arial"/>
      <family val="2"/>
    </font>
    <font>
      <u/>
      <sz val="10"/>
      <name val="Arial"/>
      <family val="2"/>
    </font>
    <font>
      <u/>
      <sz val="12"/>
      <name val="Arial"/>
      <family val="2"/>
    </font>
    <font>
      <sz val="9"/>
      <color theme="1"/>
      <name val="Arial"/>
      <family val="2"/>
    </font>
  </fonts>
  <fills count="79">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26"/>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6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top/>
      <bottom/>
      <diagonal/>
    </border>
    <border>
      <left style="thin">
        <color indexed="64"/>
      </left>
      <right/>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535">
    <xf numFmtId="0" fontId="0" fillId="0" borderId="0">
      <alignment readingOrder="1"/>
    </xf>
    <xf numFmtId="44" fontId="7" fillId="0" borderId="0" applyFont="0" applyFill="0" applyBorder="0" applyAlignment="0" applyProtection="0"/>
    <xf numFmtId="0" fontId="5" fillId="0" borderId="0"/>
    <xf numFmtId="0" fontId="7" fillId="0" borderId="0"/>
    <xf numFmtId="0" fontId="7" fillId="9" borderId="0" applyNumberFormat="0" applyAlignment="0">
      <alignment horizontal="right"/>
    </xf>
    <xf numFmtId="0" fontId="7" fillId="8" borderId="0" applyNumberFormat="0" applyAlignment="0"/>
    <xf numFmtId="167" fontId="17" fillId="0" borderId="0"/>
    <xf numFmtId="0" fontId="18" fillId="0" borderId="0">
      <alignment horizontal="center" wrapText="1"/>
    </xf>
    <xf numFmtId="9" fontId="7" fillId="0" borderId="0" applyFont="0" applyFill="0" applyBorder="0" applyAlignment="0" applyProtection="0"/>
    <xf numFmtId="0" fontId="20" fillId="0" borderId="0"/>
    <xf numFmtId="9" fontId="20" fillId="0" borderId="0" applyFont="0" applyFill="0" applyBorder="0" applyAlignment="0" applyProtection="0"/>
    <xf numFmtId="43" fontId="20" fillId="0" borderId="0" applyFont="0" applyFill="0" applyBorder="0" applyAlignment="0" applyProtection="0"/>
    <xf numFmtId="0" fontId="7" fillId="0" borderId="0">
      <alignment readingOrder="1"/>
    </xf>
    <xf numFmtId="0" fontId="21" fillId="0" borderId="0"/>
    <xf numFmtId="0" fontId="22"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0" fontId="7" fillId="8" borderId="0" applyNumberFormat="0" applyAlignment="0"/>
    <xf numFmtId="0" fontId="26" fillId="0" borderId="20" applyNumberFormat="0" applyFill="0" applyAlignment="0" applyProtection="0"/>
    <xf numFmtId="0" fontId="26" fillId="0" borderId="20" applyNumberFormat="0" applyFill="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7" fillId="0" borderId="0"/>
    <xf numFmtId="0" fontId="25" fillId="0" borderId="0"/>
    <xf numFmtId="0" fontId="7" fillId="0" borderId="0">
      <alignment readingOrder="1"/>
    </xf>
    <xf numFmtId="0" fontId="7" fillId="0" borderId="0"/>
    <xf numFmtId="0" fontId="25" fillId="16" borderId="14" applyNumberFormat="0" applyFont="0" applyAlignment="0" applyProtection="0"/>
    <xf numFmtId="0" fontId="25" fillId="16" borderId="14"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alignment readingOrder="1"/>
    </xf>
    <xf numFmtId="0" fontId="5" fillId="0" borderId="0"/>
    <xf numFmtId="0" fontId="23" fillId="17" borderId="0" applyNumberFormat="0" applyBorder="0" applyAlignment="0" applyProtection="0"/>
    <xf numFmtId="0" fontId="23" fillId="18" borderId="0" applyNumberFormat="0" applyBorder="0" applyAlignment="0" applyProtection="0"/>
    <xf numFmtId="0" fontId="35" fillId="19" borderId="0" applyNumberFormat="0" applyBorder="0" applyAlignment="0" applyProtection="0"/>
    <xf numFmtId="0" fontId="23" fillId="20" borderId="0" applyNumberFormat="0" applyBorder="0" applyAlignment="0" applyProtection="0"/>
    <xf numFmtId="0" fontId="35" fillId="21" borderId="0" applyNumberFormat="0" applyBorder="0" applyAlignment="0" applyProtection="0"/>
    <xf numFmtId="0" fontId="23" fillId="22" borderId="0" applyNumberFormat="0" applyBorder="0" applyAlignment="0" applyProtection="0"/>
    <xf numFmtId="0" fontId="23" fillId="20" borderId="0" applyNumberFormat="0" applyBorder="0" applyAlignment="0" applyProtection="0"/>
    <xf numFmtId="0" fontId="35" fillId="16"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35" fillId="19" borderId="0" applyNumberFormat="0" applyBorder="0" applyAlignment="0" applyProtection="0"/>
    <xf numFmtId="0" fontId="23" fillId="24" borderId="0" applyNumberFormat="0" applyBorder="0" applyAlignment="0" applyProtection="0"/>
    <xf numFmtId="0" fontId="35" fillId="24" borderId="0" applyNumberFormat="0" applyBorder="0" applyAlignment="0" applyProtection="0"/>
    <xf numFmtId="0" fontId="23" fillId="21" borderId="0" applyNumberFormat="0" applyBorder="0" applyAlignment="0" applyProtection="0"/>
    <xf numFmtId="0" fontId="35" fillId="21"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5" fillId="26" borderId="0" applyNumberFormat="0" applyBorder="0" applyAlignment="0" applyProtection="0"/>
    <xf numFmtId="0" fontId="23" fillId="27" borderId="0" applyNumberFormat="0" applyBorder="0" applyAlignment="0" applyProtection="0"/>
    <xf numFmtId="0" fontId="23" fillId="20" borderId="0" applyNumberFormat="0" applyBorder="0" applyAlignment="0" applyProtection="0"/>
    <xf numFmtId="0" fontId="35" fillId="27" borderId="0" applyNumberFormat="0" applyBorder="0" applyAlignment="0" applyProtection="0"/>
    <xf numFmtId="0" fontId="23" fillId="28" borderId="0" applyNumberFormat="0" applyBorder="0" applyAlignment="0" applyProtection="0"/>
    <xf numFmtId="0" fontId="23" fillId="20" borderId="0" applyNumberFormat="0" applyBorder="0" applyAlignment="0" applyProtection="0"/>
    <xf numFmtId="0" fontId="35" fillId="29"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35" fillId="26" borderId="0" applyNumberFormat="0" applyBorder="0" applyAlignment="0" applyProtection="0"/>
    <xf numFmtId="0" fontId="23" fillId="25" borderId="0" applyNumberFormat="0" applyBorder="0" applyAlignment="0" applyProtection="0"/>
    <xf numFmtId="0" fontId="35" fillId="25" borderId="0" applyNumberFormat="0" applyBorder="0" applyAlignment="0" applyProtection="0"/>
    <xf numFmtId="0" fontId="23" fillId="30" borderId="0" applyNumberFormat="0" applyBorder="0" applyAlignment="0" applyProtection="0"/>
    <xf numFmtId="0" fontId="23" fillId="21" borderId="0" applyNumberFormat="0" applyBorder="0" applyAlignment="0" applyProtection="0"/>
    <xf numFmtId="0" fontId="35" fillId="21"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27" borderId="0" applyNumberFormat="0" applyBorder="0" applyAlignment="0" applyProtection="0"/>
    <xf numFmtId="0" fontId="36" fillId="20"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0"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4"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4" fillId="37" borderId="0" applyNumberFormat="0" applyBorder="0" applyAlignment="0" applyProtection="0"/>
    <xf numFmtId="0" fontId="36" fillId="38"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4"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4" fillId="43" borderId="0" applyNumberFormat="0" applyBorder="0" applyAlignment="0" applyProtection="0"/>
    <xf numFmtId="0" fontId="36" fillId="44" borderId="0" applyNumberFormat="0" applyBorder="0" applyAlignment="0" applyProtection="0"/>
    <xf numFmtId="0" fontId="36" fillId="20" borderId="0" applyNumberFormat="0" applyBorder="0" applyAlignment="0" applyProtection="0"/>
    <xf numFmtId="0" fontId="36" fillId="44" borderId="0" applyNumberFormat="0" applyBorder="0" applyAlignment="0" applyProtection="0"/>
    <xf numFmtId="0" fontId="12" fillId="45" borderId="0" applyNumberFormat="0" applyBorder="0" applyAlignment="0" applyProtection="0"/>
    <xf numFmtId="0" fontId="12" fillId="45" borderId="0" applyNumberFormat="0" applyBorder="0" applyAlignment="0" applyProtection="0"/>
    <xf numFmtId="0" fontId="14" fillId="46" borderId="0" applyNumberFormat="0" applyBorder="0" applyAlignment="0" applyProtection="0"/>
    <xf numFmtId="0" fontId="36" fillId="33"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12" fillId="48" borderId="0" applyNumberFormat="0" applyBorder="0" applyAlignment="0" applyProtection="0"/>
    <xf numFmtId="0" fontId="12" fillId="36" borderId="0" applyNumberFormat="0" applyBorder="0" applyAlignment="0" applyProtection="0"/>
    <xf numFmtId="0" fontId="14" fillId="49"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4" fillId="52"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0" fontId="37" fillId="20" borderId="0" applyNumberFormat="0" applyBorder="0" applyAlignment="0" applyProtection="0"/>
    <xf numFmtId="0" fontId="38" fillId="26" borderId="23" applyNumberFormat="0" applyAlignment="0" applyProtection="0"/>
    <xf numFmtId="0" fontId="38" fillId="18" borderId="23" applyNumberFormat="0" applyAlignment="0" applyProtection="0"/>
    <xf numFmtId="0" fontId="38" fillId="18" borderId="23" applyNumberFormat="0" applyAlignment="0" applyProtection="0"/>
    <xf numFmtId="0" fontId="39" fillId="54" borderId="24" applyNumberFormat="0" applyAlignment="0" applyProtection="0"/>
    <xf numFmtId="0" fontId="39" fillId="54" borderId="24" applyNumberFormat="0" applyAlignment="0" applyProtection="0"/>
    <xf numFmtId="41" fontId="4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9" borderId="0" applyNumberFormat="0" applyAlignment="0">
      <alignment horizontal="right"/>
    </xf>
    <xf numFmtId="0" fontId="7" fillId="9" borderId="0" applyNumberFormat="0" applyAlignment="0">
      <alignment horizontal="right"/>
    </xf>
    <xf numFmtId="0" fontId="7" fillId="9" borderId="0" applyNumberFormat="0" applyAlignment="0">
      <alignment horizontal="right"/>
    </xf>
    <xf numFmtId="0" fontId="7" fillId="9" borderId="0" applyNumberFormat="0" applyAlignment="0">
      <alignment horizontal="right"/>
    </xf>
    <xf numFmtId="0" fontId="7" fillId="9" borderId="0" applyNumberFormat="0" applyAlignment="0">
      <alignment horizontal="right"/>
    </xf>
    <xf numFmtId="0" fontId="41" fillId="55"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4" fillId="0" borderId="25" applyNumberFormat="0" applyFill="0" applyAlignment="0" applyProtection="0"/>
    <xf numFmtId="0" fontId="45" fillId="0" borderId="26" applyNumberFormat="0" applyFill="0" applyAlignment="0" applyProtection="0"/>
    <xf numFmtId="0" fontId="45" fillId="0" borderId="26" applyNumberFormat="0" applyFill="0" applyAlignment="0" applyProtection="0"/>
    <xf numFmtId="0" fontId="46" fillId="0" borderId="27" applyNumberFormat="0" applyFill="0" applyAlignment="0" applyProtection="0"/>
    <xf numFmtId="0" fontId="47" fillId="0" borderId="28" applyNumberFormat="0" applyFill="0" applyAlignment="0" applyProtection="0"/>
    <xf numFmtId="0" fontId="47" fillId="0" borderId="28"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21" borderId="23" applyNumberFormat="0" applyAlignment="0" applyProtection="0"/>
    <xf numFmtId="0" fontId="51" fillId="21" borderId="23" applyNumberFormat="0" applyAlignment="0" applyProtection="0"/>
    <xf numFmtId="0" fontId="52" fillId="0" borderId="29" applyNumberFormat="0" applyFill="0" applyAlignment="0" applyProtection="0"/>
    <xf numFmtId="0" fontId="52" fillId="0" borderId="29" applyNumberFormat="0" applyFill="0" applyAlignment="0" applyProtection="0"/>
    <xf numFmtId="0" fontId="53" fillId="29" borderId="0" applyNumberFormat="0" applyBorder="0" applyAlignment="0" applyProtection="0"/>
    <xf numFmtId="0" fontId="53" fillId="29" borderId="0" applyNumberFormat="0" applyBorder="0" applyAlignment="0" applyProtection="0"/>
    <xf numFmtId="0" fontId="23" fillId="0" borderId="0"/>
    <xf numFmtId="0" fontId="7" fillId="0" borderId="0"/>
    <xf numFmtId="0" fontId="23" fillId="0" borderId="0"/>
    <xf numFmtId="0" fontId="23" fillId="0" borderId="0"/>
    <xf numFmtId="0" fontId="7" fillId="0" borderId="0">
      <alignment readingOrder="1"/>
    </xf>
    <xf numFmtId="0" fontId="7" fillId="0" borderId="0"/>
    <xf numFmtId="0" fontId="7" fillId="0" borderId="0">
      <alignment readingOrder="1"/>
    </xf>
    <xf numFmtId="0" fontId="20" fillId="0" borderId="0"/>
    <xf numFmtId="0" fontId="20" fillId="0" borderId="0"/>
    <xf numFmtId="0" fontId="20" fillId="0" borderId="0"/>
    <xf numFmtId="0" fontId="4" fillId="0" borderId="0"/>
    <xf numFmtId="0" fontId="4" fillId="0" borderId="0"/>
    <xf numFmtId="0" fontId="20" fillId="0" borderId="0"/>
    <xf numFmtId="0" fontId="20" fillId="0" borderId="0"/>
    <xf numFmtId="0" fontId="4" fillId="0" borderId="0"/>
    <xf numFmtId="0" fontId="4"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7" fillId="0" borderId="0">
      <alignment readingOrder="1"/>
    </xf>
    <xf numFmtId="0" fontId="20" fillId="0" borderId="0"/>
    <xf numFmtId="0" fontId="7" fillId="0" borderId="0"/>
    <xf numFmtId="0" fontId="7" fillId="0" borderId="0"/>
    <xf numFmtId="0" fontId="7" fillId="0" borderId="0"/>
    <xf numFmtId="0" fontId="7" fillId="0" borderId="0"/>
    <xf numFmtId="0" fontId="7" fillId="0" borderId="0"/>
    <xf numFmtId="0" fontId="7" fillId="0" borderId="0">
      <alignment readingOrder="1"/>
    </xf>
    <xf numFmtId="0" fontId="7" fillId="0" borderId="0"/>
    <xf numFmtId="0" fontId="23" fillId="0" borderId="0"/>
    <xf numFmtId="0" fontId="20" fillId="0" borderId="0"/>
    <xf numFmtId="0" fontId="20" fillId="0" borderId="0"/>
    <xf numFmtId="0" fontId="20" fillId="0" borderId="0"/>
    <xf numFmtId="0" fontId="20" fillId="0" borderId="0"/>
    <xf numFmtId="0" fontId="7" fillId="0" borderId="0">
      <alignment readingOrder="1"/>
    </xf>
    <xf numFmtId="0" fontId="7" fillId="0" borderId="0">
      <alignment readingOrder="1"/>
    </xf>
    <xf numFmtId="0" fontId="7" fillId="0" borderId="0">
      <alignment readingOrder="1"/>
    </xf>
    <xf numFmtId="0" fontId="20" fillId="0" borderId="0"/>
    <xf numFmtId="0" fontId="20" fillId="0" borderId="0"/>
    <xf numFmtId="0" fontId="7" fillId="0" borderId="0">
      <alignment readingOrder="1"/>
    </xf>
    <xf numFmtId="0" fontId="23" fillId="0" borderId="0"/>
    <xf numFmtId="0" fontId="7" fillId="0" borderId="0">
      <alignment readingOrder="1"/>
    </xf>
    <xf numFmtId="0" fontId="20" fillId="0" borderId="0"/>
    <xf numFmtId="0" fontId="20" fillId="0" borderId="0"/>
    <xf numFmtId="0" fontId="7" fillId="0" borderId="0">
      <alignment readingOrder="1"/>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alignment readingOrder="1"/>
    </xf>
    <xf numFmtId="0" fontId="7" fillId="0" borderId="0"/>
    <xf numFmtId="0" fontId="54" fillId="0" borderId="0"/>
    <xf numFmtId="0" fontId="55" fillId="0" borderId="0"/>
    <xf numFmtId="0" fontId="55" fillId="0" borderId="0"/>
    <xf numFmtId="0" fontId="55" fillId="0" borderId="0"/>
    <xf numFmtId="0" fontId="7" fillId="0" borderId="0"/>
    <xf numFmtId="0" fontId="7" fillId="0" borderId="0"/>
    <xf numFmtId="0" fontId="7" fillId="0" borderId="0"/>
    <xf numFmtId="0" fontId="55" fillId="0" borderId="0"/>
    <xf numFmtId="0" fontId="55" fillId="0" borderId="0"/>
    <xf numFmtId="0" fontId="55" fillId="0" borderId="0"/>
    <xf numFmtId="0" fontId="7" fillId="0" borderId="0"/>
    <xf numFmtId="0" fontId="7" fillId="0" borderId="0"/>
    <xf numFmtId="0" fontId="7" fillId="0" borderId="0"/>
    <xf numFmtId="0" fontId="7" fillId="0" borderId="0">
      <alignment readingOrder="1"/>
    </xf>
    <xf numFmtId="0" fontId="7" fillId="0" borderId="0"/>
    <xf numFmtId="0" fontId="7" fillId="0" borderId="0"/>
    <xf numFmtId="0" fontId="2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0" fillId="0" borderId="0"/>
    <xf numFmtId="0" fontId="7" fillId="0" borderId="0" applyNumberFormat="0" applyFill="0" applyBorder="0" applyAlignment="0" applyProtection="0"/>
    <xf numFmtId="0" fontId="20" fillId="0" borderId="0"/>
    <xf numFmtId="0" fontId="20" fillId="0" borderId="0"/>
    <xf numFmtId="0" fontId="40" fillId="0" borderId="0"/>
    <xf numFmtId="0" fontId="20" fillId="0" borderId="0"/>
    <xf numFmtId="0" fontId="20" fillId="0" borderId="0"/>
    <xf numFmtId="0" fontId="7" fillId="0" borderId="0">
      <alignment readingOrder="1"/>
    </xf>
    <xf numFmtId="0" fontId="20" fillId="0" borderId="0"/>
    <xf numFmtId="0" fontId="20" fillId="0" borderId="0"/>
    <xf numFmtId="0" fontId="20" fillId="0" borderId="0"/>
    <xf numFmtId="0" fontId="20" fillId="0" borderId="0"/>
    <xf numFmtId="0" fontId="2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7" fillId="0" borderId="0"/>
    <xf numFmtId="0" fontId="20" fillId="0" borderId="0"/>
    <xf numFmtId="0" fontId="20" fillId="0" borderId="0"/>
    <xf numFmtId="0" fontId="7" fillId="0" borderId="0"/>
    <xf numFmtId="0" fontId="23" fillId="0" borderId="0"/>
    <xf numFmtId="0" fontId="23" fillId="0" borderId="0"/>
    <xf numFmtId="0" fontId="20" fillId="0" borderId="0"/>
    <xf numFmtId="0" fontId="22" fillId="0" borderId="0"/>
    <xf numFmtId="0" fontId="23" fillId="0" borderId="0"/>
    <xf numFmtId="0" fontId="23" fillId="0" borderId="0"/>
    <xf numFmtId="0" fontId="23" fillId="0" borderId="0"/>
    <xf numFmtId="0" fontId="23" fillId="0" borderId="0"/>
    <xf numFmtId="0" fontId="7" fillId="0" borderId="0">
      <alignment readingOrder="1"/>
    </xf>
    <xf numFmtId="0" fontId="7" fillId="0" borderId="0">
      <alignment readingOrder="1"/>
    </xf>
    <xf numFmtId="0" fontId="7" fillId="0" borderId="0">
      <alignment readingOrder="1"/>
    </xf>
    <xf numFmtId="0" fontId="7" fillId="16" borderId="14" applyNumberFormat="0" applyFont="0" applyAlignment="0" applyProtection="0"/>
    <xf numFmtId="0" fontId="56" fillId="26" borderId="30" applyNumberFormat="0" applyAlignment="0" applyProtection="0"/>
    <xf numFmtId="0" fontId="56" fillId="18" borderId="30" applyNumberFormat="0" applyAlignment="0" applyProtection="0"/>
    <xf numFmtId="0" fontId="56" fillId="18" borderId="30"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57" fillId="0" borderId="0" applyNumberFormat="0" applyFill="0" applyBorder="0" applyAlignment="0" applyProtection="0"/>
    <xf numFmtId="0" fontId="58" fillId="0" borderId="0"/>
    <xf numFmtId="0" fontId="59" fillId="0" borderId="0"/>
    <xf numFmtId="170" fontId="7" fillId="0" borderId="0" applyFill="0" applyBorder="0" applyAlignment="0" applyProtection="0">
      <alignment wrapText="1"/>
    </xf>
    <xf numFmtId="0" fontId="57"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29" fillId="0" borderId="31" applyNumberFormat="0" applyFill="0" applyAlignment="0" applyProtection="0"/>
    <xf numFmtId="0" fontId="29" fillId="0" borderId="32" applyNumberFormat="0" applyFill="0" applyAlignment="0" applyProtection="0"/>
    <xf numFmtId="0" fontId="56" fillId="0" borderId="32"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1" fillId="0" borderId="0">
      <alignment vertical="center"/>
    </xf>
    <xf numFmtId="0" fontId="12" fillId="0" borderId="0"/>
    <xf numFmtId="0" fontId="12" fillId="0" borderId="0"/>
    <xf numFmtId="0" fontId="7" fillId="0" borderId="0"/>
    <xf numFmtId="0" fontId="31" fillId="0" borderId="0" applyNumberFormat="0" applyFill="0" applyBorder="0" applyAlignment="0" applyProtection="0">
      <alignment readingOrder="1"/>
    </xf>
    <xf numFmtId="43" fontId="7" fillId="0" borderId="0" applyFont="0" applyFill="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9" borderId="0" applyNumberFormat="0" applyAlignment="0">
      <alignment horizontal="right"/>
    </xf>
    <xf numFmtId="0" fontId="7" fillId="8" borderId="0" applyNumberFormat="0" applyAlignment="0"/>
    <xf numFmtId="0" fontId="7" fillId="8" borderId="0" applyNumberFormat="0" applyAlignment="0"/>
    <xf numFmtId="0" fontId="7" fillId="8" borderId="0" applyNumberFormat="0" applyAlignment="0"/>
    <xf numFmtId="0" fontId="27" fillId="0" borderId="0" applyNumberFormat="0" applyFill="0" applyBorder="0" applyAlignment="0" applyProtection="0">
      <alignment vertical="top"/>
      <protection locked="0"/>
    </xf>
    <xf numFmtId="0" fontId="23" fillId="0" borderId="0"/>
    <xf numFmtId="0" fontId="23" fillId="0" borderId="0"/>
    <xf numFmtId="0" fontId="20" fillId="0" borderId="0"/>
    <xf numFmtId="0" fontId="20" fillId="0" borderId="0"/>
    <xf numFmtId="0" fontId="20" fillId="0" borderId="0"/>
    <xf numFmtId="0" fontId="20" fillId="0" borderId="0"/>
    <xf numFmtId="0" fontId="7" fillId="0" borderId="0">
      <alignment readingOrder="1"/>
    </xf>
    <xf numFmtId="0" fontId="20" fillId="0" borderId="0"/>
    <xf numFmtId="0" fontId="7" fillId="0" borderId="0"/>
    <xf numFmtId="0" fontId="73" fillId="0" borderId="0"/>
    <xf numFmtId="0" fontId="20" fillId="0" borderId="0"/>
    <xf numFmtId="0" fontId="23" fillId="0" borderId="0"/>
    <xf numFmtId="0" fontId="23" fillId="0" borderId="0"/>
    <xf numFmtId="0" fontId="23" fillId="0" borderId="0"/>
    <xf numFmtId="0" fontId="20" fillId="0" borderId="0"/>
    <xf numFmtId="0" fontId="20" fillId="0" borderId="0"/>
    <xf numFmtId="0" fontId="7" fillId="0" borderId="0"/>
    <xf numFmtId="0" fontId="7" fillId="0" borderId="0"/>
    <xf numFmtId="0" fontId="23" fillId="0" borderId="0"/>
    <xf numFmtId="0" fontId="20" fillId="0" borderId="0"/>
    <xf numFmtId="0" fontId="20" fillId="0" borderId="0"/>
    <xf numFmtId="0" fontId="23" fillId="0" borderId="0"/>
    <xf numFmtId="0" fontId="7" fillId="0" borderId="0">
      <alignment readingOrder="1"/>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xf numFmtId="0" fontId="7" fillId="0" borderId="0">
      <alignment readingOrder="1"/>
    </xf>
    <xf numFmtId="0" fontId="20" fillId="0" borderId="0"/>
    <xf numFmtId="0" fontId="20" fillId="0" borderId="0"/>
    <xf numFmtId="0" fontId="20" fillId="0" borderId="0"/>
    <xf numFmtId="0" fontId="22" fillId="0" borderId="0"/>
    <xf numFmtId="0" fontId="23" fillId="0" borderId="0"/>
    <xf numFmtId="0" fontId="23" fillId="0" borderId="0"/>
    <xf numFmtId="0" fontId="23" fillId="0" borderId="0"/>
    <xf numFmtId="0" fontId="23" fillId="0" borderId="0"/>
    <xf numFmtId="0" fontId="20" fillId="66" borderId="64" applyNumberFormat="0" applyFont="0" applyAlignment="0" applyProtection="0"/>
    <xf numFmtId="0" fontId="23" fillId="16" borderId="14" applyNumberFormat="0" applyFont="0" applyAlignment="0" applyProtection="0"/>
    <xf numFmtId="0" fontId="20" fillId="66" borderId="64" applyNumberFormat="0" applyFont="0" applyAlignment="0" applyProtection="0"/>
    <xf numFmtId="0" fontId="20" fillId="66" borderId="64" applyNumberFormat="0" applyFont="0" applyAlignment="0" applyProtection="0"/>
    <xf numFmtId="0" fontId="20" fillId="66" borderId="64" applyNumberFormat="0" applyFont="0" applyAlignment="0" applyProtection="0"/>
    <xf numFmtId="0" fontId="20" fillId="66" borderId="64"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cellStyleXfs>
  <cellXfs count="442">
    <xf numFmtId="0" fontId="0" fillId="0" borderId="0" xfId="0"/>
    <xf numFmtId="0" fontId="6" fillId="0" borderId="0" xfId="2" applyFont="1"/>
    <xf numFmtId="0" fontId="8" fillId="0" borderId="0" xfId="3" applyFont="1"/>
    <xf numFmtId="0" fontId="7" fillId="0" borderId="0" xfId="2" applyFont="1"/>
    <xf numFmtId="5" fontId="7" fillId="0" borderId="0" xfId="2" applyNumberFormat="1" applyFont="1"/>
    <xf numFmtId="164" fontId="7" fillId="0" borderId="0" xfId="2" applyNumberFormat="1" applyFont="1"/>
    <xf numFmtId="164" fontId="8" fillId="0" borderId="0" xfId="2" applyNumberFormat="1" applyFont="1"/>
    <xf numFmtId="0" fontId="0" fillId="0" borderId="0" xfId="0">
      <alignment readingOrder="1"/>
    </xf>
    <xf numFmtId="0" fontId="6" fillId="0" borderId="0" xfId="2"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7" fillId="0" borderId="0" xfId="2" applyFont="1" applyAlignment="1">
      <alignment horizontal="center"/>
    </xf>
    <xf numFmtId="0" fontId="9" fillId="2" borderId="1" xfId="2" applyFont="1" applyFill="1" applyBorder="1" applyAlignment="1">
      <alignment horizontal="centerContinuous"/>
    </xf>
    <xf numFmtId="0" fontId="10" fillId="2" borderId="1" xfId="2" applyFont="1" applyFill="1" applyBorder="1" applyAlignment="1">
      <alignment horizontal="centerContinuous"/>
    </xf>
    <xf numFmtId="0" fontId="10" fillId="2" borderId="2" xfId="2" applyFont="1" applyFill="1" applyBorder="1" applyAlignment="1">
      <alignment horizontal="centerContinuous"/>
    </xf>
    <xf numFmtId="0" fontId="11" fillId="2" borderId="3"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11" fillId="0" borderId="0" xfId="2" applyFont="1" applyFill="1" applyBorder="1" applyAlignment="1">
      <alignment horizontal="centerContinuous"/>
    </xf>
    <xf numFmtId="0" fontId="12" fillId="0" borderId="0" xfId="2" applyFont="1" applyFill="1" applyBorder="1" applyAlignment="1">
      <alignment horizontal="centerContinuous"/>
    </xf>
    <xf numFmtId="0" fontId="7" fillId="0" borderId="0" xfId="2" applyFont="1" applyFill="1" applyBorder="1"/>
    <xf numFmtId="0" fontId="12" fillId="5" borderId="5" xfId="2" applyFont="1" applyFill="1" applyBorder="1" applyAlignment="1">
      <alignment horizontal="center" wrapText="1"/>
    </xf>
    <xf numFmtId="0" fontId="12" fillId="5" borderId="5" xfId="0" applyFont="1" applyFill="1" applyBorder="1" applyAlignment="1">
      <alignment horizontal="center" wrapText="1"/>
    </xf>
    <xf numFmtId="0" fontId="12" fillId="0" borderId="0" xfId="2" applyFont="1" applyFill="1" applyBorder="1" applyAlignment="1">
      <alignment horizontal="center" wrapText="1"/>
    </xf>
    <xf numFmtId="0" fontId="14" fillId="7" borderId="6" xfId="0" applyFont="1" applyFill="1" applyBorder="1" applyAlignment="1">
      <alignment horizontal="left" readingOrder="1"/>
    </xf>
    <xf numFmtId="0" fontId="14" fillId="7" borderId="7" xfId="0" applyFont="1" applyFill="1" applyBorder="1" applyAlignment="1">
      <alignment horizontal="center" wrapText="1" readingOrder="1"/>
    </xf>
    <xf numFmtId="164" fontId="0" fillId="0" borderId="0" xfId="0" applyNumberFormat="1">
      <alignment readingOrder="1"/>
    </xf>
    <xf numFmtId="0" fontId="12" fillId="8" borderId="5" xfId="0" applyFont="1" applyFill="1" applyBorder="1" applyAlignment="1">
      <alignment horizontal="center" wrapText="1" readingOrder="1"/>
    </xf>
    <xf numFmtId="0" fontId="12" fillId="8" borderId="7" xfId="0" applyFont="1" applyFill="1" applyBorder="1" applyAlignment="1">
      <alignment horizontal="center" wrapText="1" readingOrder="1"/>
    </xf>
    <xf numFmtId="164" fontId="12" fillId="8" borderId="7" xfId="0" applyNumberFormat="1" applyFont="1" applyFill="1" applyBorder="1" applyAlignment="1">
      <alignment horizontal="center" wrapText="1" readingOrder="1"/>
    </xf>
    <xf numFmtId="164" fontId="11" fillId="0" borderId="0" xfId="0" applyNumberFormat="1" applyFont="1">
      <alignment readingOrder="1"/>
    </xf>
    <xf numFmtId="164" fontId="12" fillId="9" borderId="8" xfId="0" applyNumberFormat="1" applyFont="1" applyFill="1" applyBorder="1" applyAlignment="1">
      <alignment horizontal="centerContinuous" wrapText="1" readingOrder="1"/>
    </xf>
    <xf numFmtId="1" fontId="0" fillId="0" borderId="0" xfId="0" applyNumberFormat="1">
      <alignment readingOrder="1"/>
    </xf>
    <xf numFmtId="0" fontId="12" fillId="9" borderId="5" xfId="0" applyFont="1" applyFill="1" applyBorder="1" applyAlignment="1">
      <alignment horizontal="center" wrapText="1" readingOrder="1"/>
    </xf>
    <xf numFmtId="0" fontId="12" fillId="9" borderId="7" xfId="0" applyFont="1" applyFill="1" applyBorder="1" applyAlignment="1">
      <alignment horizontal="center" wrapText="1" readingOrder="1"/>
    </xf>
    <xf numFmtId="164" fontId="12" fillId="9" borderId="7" xfId="0" applyNumberFormat="1" applyFont="1" applyFill="1" applyBorder="1" applyAlignment="1">
      <alignment horizontal="center" wrapText="1" readingOrder="1"/>
    </xf>
    <xf numFmtId="164" fontId="12" fillId="9" borderId="9" xfId="0" applyNumberFormat="1" applyFont="1" applyFill="1" applyBorder="1" applyAlignment="1">
      <alignment horizontal="centerContinuous" wrapText="1" readingOrder="1"/>
    </xf>
    <xf numFmtId="164" fontId="12" fillId="9" borderId="10" xfId="0" applyNumberFormat="1" applyFont="1" applyFill="1" applyBorder="1" applyAlignment="1">
      <alignment horizontal="centerContinuous" wrapText="1" readingOrder="1"/>
    </xf>
    <xf numFmtId="0" fontId="13" fillId="0" borderId="0" xfId="0" applyFont="1">
      <alignment readingOrder="1"/>
    </xf>
    <xf numFmtId="49" fontId="0" fillId="0" borderId="0" xfId="0" applyNumberFormat="1">
      <alignment readingOrder="1"/>
    </xf>
    <xf numFmtId="9" fontId="13" fillId="0" borderId="0" xfId="0" applyNumberFormat="1" applyFont="1">
      <alignment readingOrder="1"/>
    </xf>
    <xf numFmtId="1" fontId="13"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68" fontId="0" fillId="0" borderId="0" xfId="0" applyNumberFormat="1">
      <alignment readingOrder="1"/>
    </xf>
    <xf numFmtId="0" fontId="0" fillId="12" borderId="0" xfId="0" applyFill="1">
      <alignment readingOrder="1"/>
    </xf>
    <xf numFmtId="0" fontId="0" fillId="0" borderId="0" xfId="0" applyFill="1">
      <alignment readingOrder="1"/>
    </xf>
    <xf numFmtId="0" fontId="0" fillId="0" borderId="0" xfId="0" quotePrefix="1" applyFill="1">
      <alignment readingOrder="1"/>
    </xf>
    <xf numFmtId="0" fontId="19" fillId="6" borderId="5" xfId="0" applyFont="1" applyFill="1" applyBorder="1"/>
    <xf numFmtId="9" fontId="7" fillId="13" borderId="0" xfId="8" applyFill="1" applyAlignment="1">
      <alignment horizontal="center" readingOrder="1"/>
    </xf>
    <xf numFmtId="0" fontId="19" fillId="14" borderId="1" xfId="0" applyFont="1" applyFill="1" applyBorder="1"/>
    <xf numFmtId="0" fontId="19" fillId="14" borderId="4" xfId="0" applyFont="1" applyFill="1" applyBorder="1"/>
    <xf numFmtId="0" fontId="19" fillId="14" borderId="3" xfId="0" applyFont="1" applyFill="1" applyBorder="1"/>
    <xf numFmtId="0" fontId="19" fillId="14" borderId="11" xfId="0" applyFont="1" applyFill="1" applyBorder="1"/>
    <xf numFmtId="0" fontId="19" fillId="14" borderId="12" xfId="0" applyFont="1" applyFill="1" applyBorder="1"/>
    <xf numFmtId="0" fontId="19" fillId="14" borderId="13" xfId="0" applyFont="1" applyFill="1" applyBorder="1"/>
    <xf numFmtId="0" fontId="19" fillId="14" borderId="5" xfId="0" applyFont="1" applyFill="1" applyBorder="1"/>
    <xf numFmtId="0" fontId="19" fillId="13" borderId="5" xfId="0" applyFont="1" applyFill="1" applyBorder="1"/>
    <xf numFmtId="164" fontId="19" fillId="13" borderId="5" xfId="0" applyNumberFormat="1" applyFont="1" applyFill="1" applyBorder="1"/>
    <xf numFmtId="164" fontId="0" fillId="15" borderId="0" xfId="0" applyNumberFormat="1" applyFill="1" applyAlignment="1">
      <alignment horizontal="center" readingOrder="1"/>
    </xf>
    <xf numFmtId="9" fontId="19" fillId="14" borderId="5" xfId="8" applyFont="1" applyFill="1" applyBorder="1"/>
    <xf numFmtId="1" fontId="0" fillId="13" borderId="0" xfId="0" applyNumberFormat="1" applyFill="1" applyAlignment="1">
      <alignment horizontal="center" readingOrder="1"/>
    </xf>
    <xf numFmtId="3" fontId="0" fillId="0" borderId="0" xfId="0" applyNumberFormat="1"/>
    <xf numFmtId="0" fontId="24" fillId="0" borderId="0" xfId="15" applyFont="1"/>
    <xf numFmtId="0" fontId="7" fillId="0" borderId="0" xfId="15" applyFont="1"/>
    <xf numFmtId="5" fontId="7" fillId="0" borderId="0" xfId="15" applyNumberFormat="1" applyFont="1" applyAlignment="1">
      <alignment horizontal="right"/>
    </xf>
    <xf numFmtId="164" fontId="7" fillId="0" borderId="0" xfId="15" applyNumberFormat="1" applyFont="1"/>
    <xf numFmtId="0" fontId="7" fillId="0" borderId="0" xfId="15"/>
    <xf numFmtId="0" fontId="13" fillId="0" borderId="0" xfId="15" applyFont="1"/>
    <xf numFmtId="44" fontId="7" fillId="0" borderId="0" xfId="1"/>
    <xf numFmtId="0" fontId="11" fillId="2" borderId="7" xfId="2" applyFont="1" applyFill="1" applyBorder="1" applyAlignment="1">
      <alignment horizontal="centerContinuous"/>
    </xf>
    <xf numFmtId="0" fontId="12" fillId="5" borderId="11" xfId="2" applyFont="1" applyFill="1" applyBorder="1" applyAlignment="1">
      <alignment horizontal="center" wrapText="1"/>
    </xf>
    <xf numFmtId="0" fontId="12" fillId="5" borderId="16" xfId="2" applyFont="1" applyFill="1" applyBorder="1" applyAlignment="1">
      <alignment horizontal="center" wrapText="1"/>
    </xf>
    <xf numFmtId="0" fontId="12" fillId="5" borderId="16" xfId="0" applyFont="1" applyFill="1" applyBorder="1" applyAlignment="1">
      <alignment horizontal="center" wrapText="1"/>
    </xf>
    <xf numFmtId="164" fontId="0" fillId="13" borderId="0" xfId="0" applyNumberFormat="1" applyFill="1" applyAlignment="1">
      <alignment horizontal="center" readingOrder="1"/>
    </xf>
    <xf numFmtId="0" fontId="20" fillId="0" borderId="0" xfId="12" applyFont="1"/>
    <xf numFmtId="0" fontId="32" fillId="11" borderId="21" xfId="12" applyFont="1" applyFill="1" applyBorder="1"/>
    <xf numFmtId="0" fontId="32" fillId="11" borderId="22" xfId="12" applyFont="1" applyFill="1" applyBorder="1"/>
    <xf numFmtId="0" fontId="32" fillId="11" borderId="8" xfId="12" applyFont="1" applyFill="1" applyBorder="1"/>
    <xf numFmtId="0" fontId="33" fillId="14" borderId="16" xfId="35" applyFont="1" applyFill="1" applyBorder="1" applyAlignment="1">
      <alignment horizontal="left" vertical="center" wrapText="1"/>
    </xf>
    <xf numFmtId="0" fontId="33" fillId="14" borderId="5" xfId="35" applyFont="1" applyFill="1" applyBorder="1" applyAlignment="1">
      <alignment horizontal="left" vertical="center" wrapText="1"/>
    </xf>
    <xf numFmtId="0" fontId="34" fillId="0" borderId="5" xfId="35" applyNumberFormat="1" applyFont="1" applyFill="1" applyBorder="1" applyAlignment="1">
      <alignment horizontal="left" vertical="center" wrapText="1"/>
    </xf>
    <xf numFmtId="0" fontId="34" fillId="0" borderId="5" xfId="35" applyFont="1" applyFill="1" applyBorder="1" applyAlignment="1">
      <alignment horizontal="left" vertical="center" wrapText="1"/>
    </xf>
    <xf numFmtId="0" fontId="20" fillId="0" borderId="5" xfId="35" applyFont="1" applyFill="1" applyBorder="1" applyAlignment="1">
      <alignment horizontal="left" vertical="center" wrapText="1"/>
    </xf>
    <xf numFmtId="0" fontId="34" fillId="0" borderId="5" xfId="35" applyFont="1" applyBorder="1" applyAlignment="1">
      <alignment horizontal="left" vertical="center" wrapText="1" readingOrder="1"/>
    </xf>
    <xf numFmtId="0" fontId="34" fillId="0" borderId="5" xfId="35" applyFont="1" applyBorder="1" applyAlignment="1">
      <alignment vertical="center" wrapText="1" readingOrder="1"/>
    </xf>
    <xf numFmtId="0" fontId="34" fillId="0" borderId="5" xfId="35" applyFont="1" applyBorder="1" applyAlignment="1">
      <alignment wrapText="1" readingOrder="1"/>
    </xf>
    <xf numFmtId="2" fontId="7" fillId="0" borderId="0" xfId="36" applyNumberFormat="1" applyFont="1"/>
    <xf numFmtId="0" fontId="10" fillId="58" borderId="7" xfId="2" applyFont="1" applyFill="1" applyBorder="1" applyAlignment="1">
      <alignment horizontal="center"/>
    </xf>
    <xf numFmtId="0" fontId="12" fillId="10" borderId="7" xfId="2" applyFont="1" applyFill="1" applyBorder="1" applyAlignment="1">
      <alignment horizontal="center" wrapText="1"/>
    </xf>
    <xf numFmtId="0" fontId="12" fillId="10" borderId="5" xfId="2" applyFont="1" applyFill="1" applyBorder="1" applyAlignment="1">
      <alignment horizontal="center" wrapText="1"/>
    </xf>
    <xf numFmtId="8" fontId="0" fillId="0" borderId="0" xfId="0" applyNumberFormat="1"/>
    <xf numFmtId="9" fontId="0" fillId="0" borderId="0" xfId="8" applyFont="1"/>
    <xf numFmtId="0" fontId="14" fillId="60" borderId="6" xfId="0" applyFont="1" applyFill="1" applyBorder="1" applyAlignment="1">
      <alignment horizontal="left" wrapText="1" readingOrder="1"/>
    </xf>
    <xf numFmtId="0" fontId="14" fillId="60" borderId="7" xfId="0" applyFont="1" applyFill="1" applyBorder="1" applyAlignment="1">
      <alignment horizontal="center" wrapText="1" readingOrder="1"/>
    </xf>
    <xf numFmtId="0" fontId="14" fillId="7" borderId="15" xfId="0" applyFont="1" applyFill="1" applyBorder="1" applyAlignment="1">
      <alignment horizontal="center" wrapText="1" readingOrder="1"/>
    </xf>
    <xf numFmtId="0" fontId="0" fillId="0" borderId="17" xfId="0" applyBorder="1">
      <alignment readingOrder="1"/>
    </xf>
    <xf numFmtId="0" fontId="0" fillId="0" borderId="18" xfId="0" applyBorder="1">
      <alignment readingOrder="1"/>
    </xf>
    <xf numFmtId="0" fontId="0" fillId="0" borderId="45" xfId="0" applyBorder="1">
      <alignment readingOrder="1"/>
    </xf>
    <xf numFmtId="0" fontId="0" fillId="0" borderId="43" xfId="0" applyBorder="1">
      <alignment readingOrder="1"/>
    </xf>
    <xf numFmtId="0" fontId="0" fillId="0" borderId="0" xfId="0" applyBorder="1">
      <alignment readingOrder="1"/>
    </xf>
    <xf numFmtId="0" fontId="0" fillId="0" borderId="44" xfId="0" applyBorder="1">
      <alignment readingOrder="1"/>
    </xf>
    <xf numFmtId="0" fontId="0" fillId="0" borderId="19" xfId="0" applyBorder="1">
      <alignment readingOrder="1"/>
    </xf>
    <xf numFmtId="0" fontId="0" fillId="0" borderId="47" xfId="0" applyBorder="1">
      <alignment readingOrder="1"/>
    </xf>
    <xf numFmtId="0" fontId="0" fillId="0" borderId="46" xfId="0" applyBorder="1">
      <alignment readingOrder="1"/>
    </xf>
    <xf numFmtId="0" fontId="12" fillId="61" borderId="21" xfId="0" applyFont="1" applyFill="1" applyBorder="1" applyAlignment="1">
      <alignment horizontal="centerContinuous" wrapText="1" readingOrder="1"/>
    </xf>
    <xf numFmtId="0" fontId="12" fillId="61" borderId="8" xfId="0" applyFont="1" applyFill="1" applyBorder="1" applyAlignment="1">
      <alignment horizontal="centerContinuous" wrapText="1" readingOrder="1"/>
    </xf>
    <xf numFmtId="164" fontId="12" fillId="61" borderId="21" xfId="0" applyNumberFormat="1" applyFont="1" applyFill="1" applyBorder="1" applyAlignment="1">
      <alignment horizontal="centerContinuous" wrapText="1" readingOrder="1"/>
    </xf>
    <xf numFmtId="164" fontId="12" fillId="61" borderId="22" xfId="0" applyNumberFormat="1" applyFont="1" applyFill="1" applyBorder="1" applyAlignment="1">
      <alignment horizontal="centerContinuous" wrapText="1" readingOrder="1"/>
    </xf>
    <xf numFmtId="164" fontId="12" fillId="61" borderId="8" xfId="0" applyNumberFormat="1" applyFont="1" applyFill="1" applyBorder="1" applyAlignment="1">
      <alignment horizontal="centerContinuous" wrapText="1" readingOrder="1"/>
    </xf>
    <xf numFmtId="164" fontId="12" fillId="61" borderId="15" xfId="0" applyNumberFormat="1" applyFont="1" applyFill="1" applyBorder="1" applyAlignment="1">
      <alignment horizontal="center" wrapText="1" readingOrder="1"/>
    </xf>
    <xf numFmtId="171" fontId="12" fillId="8" borderId="7" xfId="0" applyNumberFormat="1" applyFont="1" applyFill="1" applyBorder="1" applyAlignment="1">
      <alignment horizontal="center" wrapText="1" readingOrder="1"/>
    </xf>
    <xf numFmtId="164" fontId="63" fillId="0" borderId="0" xfId="0" applyNumberFormat="1" applyFont="1">
      <alignment readingOrder="1"/>
    </xf>
    <xf numFmtId="0" fontId="12" fillId="9" borderId="21" xfId="0" applyFont="1" applyFill="1" applyBorder="1" applyAlignment="1">
      <alignment horizontal="centerContinuous" wrapText="1" readingOrder="1"/>
    </xf>
    <xf numFmtId="0" fontId="12" fillId="9" borderId="22" xfId="0" applyFont="1" applyFill="1" applyBorder="1" applyAlignment="1">
      <alignment horizontal="centerContinuous" wrapText="1" readingOrder="1"/>
    </xf>
    <xf numFmtId="164" fontId="12" fillId="9" borderId="22" xfId="0" applyNumberFormat="1" applyFont="1" applyFill="1" applyBorder="1" applyAlignment="1">
      <alignment horizontal="centerContinuous" wrapText="1" readingOrder="1"/>
    </xf>
    <xf numFmtId="164" fontId="12" fillId="9" borderId="15" xfId="0" applyNumberFormat="1" applyFont="1" applyFill="1" applyBorder="1" applyAlignment="1">
      <alignment horizontal="center" wrapText="1" readingOrder="1"/>
    </xf>
    <xf numFmtId="164" fontId="12" fillId="9" borderId="21" xfId="0" applyNumberFormat="1" applyFont="1" applyFill="1" applyBorder="1" applyAlignment="1">
      <alignment horizontal="centerContinuous" wrapText="1" readingOrder="1"/>
    </xf>
    <xf numFmtId="164" fontId="13" fillId="0" borderId="0" xfId="0" applyNumberFormat="1" applyFont="1">
      <alignment readingOrder="1"/>
    </xf>
    <xf numFmtId="172" fontId="13" fillId="0" borderId="0" xfId="0" applyNumberFormat="1" applyFont="1">
      <alignment readingOrder="1"/>
    </xf>
    <xf numFmtId="172" fontId="0" fillId="0" borderId="0" xfId="0" applyNumberFormat="1">
      <alignment readingOrder="1"/>
    </xf>
    <xf numFmtId="172" fontId="63" fillId="0" borderId="0" xfId="0" applyNumberFormat="1" applyFont="1">
      <alignment readingOrder="1"/>
    </xf>
    <xf numFmtId="0" fontId="64" fillId="62" borderId="48" xfId="0" applyFont="1" applyFill="1" applyBorder="1"/>
    <xf numFmtId="0" fontId="64" fillId="62" borderId="49" xfId="0" applyFont="1" applyFill="1" applyBorder="1"/>
    <xf numFmtId="0" fontId="64" fillId="62" borderId="50" xfId="0" applyFont="1" applyFill="1" applyBorder="1"/>
    <xf numFmtId="0" fontId="65" fillId="63" borderId="48" xfId="0" applyFont="1" applyFill="1" applyBorder="1"/>
    <xf numFmtId="0" fontId="65" fillId="63" borderId="49" xfId="0" applyFont="1" applyFill="1" applyBorder="1"/>
    <xf numFmtId="3" fontId="65" fillId="63" borderId="49" xfId="0" applyNumberFormat="1" applyFont="1" applyFill="1" applyBorder="1"/>
    <xf numFmtId="173" fontId="65" fillId="63" borderId="50" xfId="0" applyNumberFormat="1" applyFont="1" applyFill="1" applyBorder="1"/>
    <xf numFmtId="0" fontId="65" fillId="0" borderId="51" xfId="0" applyFont="1" applyBorder="1"/>
    <xf numFmtId="0" fontId="65" fillId="0" borderId="52" xfId="0" applyFont="1" applyBorder="1"/>
    <xf numFmtId="3" fontId="65" fillId="0" borderId="52" xfId="0" applyNumberFormat="1" applyFont="1" applyBorder="1"/>
    <xf numFmtId="173" fontId="65" fillId="0" borderId="53" xfId="0" applyNumberFormat="1" applyFont="1" applyBorder="1"/>
    <xf numFmtId="0" fontId="65" fillId="63" borderId="51" xfId="0" applyFont="1" applyFill="1" applyBorder="1"/>
    <xf numFmtId="0" fontId="65" fillId="63" borderId="52" xfId="0" applyFont="1" applyFill="1" applyBorder="1"/>
    <xf numFmtId="3" fontId="65" fillId="63" borderId="52" xfId="0" applyNumberFormat="1" applyFont="1" applyFill="1" applyBorder="1"/>
    <xf numFmtId="173" fontId="65" fillId="63" borderId="53" xfId="0" applyNumberFormat="1" applyFont="1" applyFill="1" applyBorder="1"/>
    <xf numFmtId="0" fontId="65" fillId="0" borderId="48" xfId="0" applyFont="1" applyBorder="1"/>
    <xf numFmtId="0" fontId="65" fillId="0" borderId="49" xfId="0" applyFont="1" applyBorder="1"/>
    <xf numFmtId="3" fontId="65" fillId="0" borderId="49" xfId="0" applyNumberFormat="1" applyFont="1" applyBorder="1"/>
    <xf numFmtId="173" fontId="65" fillId="0" borderId="50" xfId="0" applyNumberFormat="1" applyFont="1" applyBorder="1"/>
    <xf numFmtId="2" fontId="0" fillId="0" borderId="0" xfId="0" applyNumberFormat="1"/>
    <xf numFmtId="0" fontId="23" fillId="0" borderId="14" xfId="369" applyFont="1" applyFill="1" applyBorder="1" applyAlignment="1">
      <alignment wrapText="1"/>
    </xf>
    <xf numFmtId="174" fontId="23" fillId="0" borderId="14" xfId="369" applyNumberFormat="1" applyFont="1" applyFill="1" applyBorder="1" applyAlignment="1">
      <alignment horizontal="right" wrapText="1"/>
    </xf>
    <xf numFmtId="175" fontId="23" fillId="0" borderId="14" xfId="369" applyNumberFormat="1" applyFont="1" applyFill="1" applyBorder="1" applyAlignment="1">
      <alignment horizontal="right" wrapText="1"/>
    </xf>
    <xf numFmtId="0" fontId="23" fillId="0" borderId="14" xfId="368" applyFont="1" applyFill="1" applyBorder="1" applyAlignment="1">
      <alignment wrapText="1"/>
    </xf>
    <xf numFmtId="174" fontId="23" fillId="0" borderId="14" xfId="368" applyNumberFormat="1" applyFont="1" applyFill="1" applyBorder="1" applyAlignment="1">
      <alignment horizontal="right" wrapText="1"/>
    </xf>
    <xf numFmtId="175" fontId="23" fillId="0" borderId="14" xfId="368" applyNumberFormat="1" applyFont="1" applyFill="1" applyBorder="1" applyAlignment="1">
      <alignment horizontal="right" wrapText="1"/>
    </xf>
    <xf numFmtId="174" fontId="23" fillId="0" borderId="0" xfId="368" applyNumberFormat="1" applyFont="1" applyFill="1" applyBorder="1" applyAlignment="1">
      <alignment horizontal="right" wrapText="1"/>
    </xf>
    <xf numFmtId="174" fontId="23" fillId="0" borderId="0" xfId="369" applyNumberFormat="1" applyFont="1" applyFill="1" applyBorder="1" applyAlignment="1">
      <alignment horizontal="right" wrapText="1"/>
    </xf>
    <xf numFmtId="169" fontId="23" fillId="0" borderId="14" xfId="369" applyNumberFormat="1" applyFont="1" applyFill="1" applyBorder="1" applyAlignment="1">
      <alignment horizontal="right" wrapText="1"/>
    </xf>
    <xf numFmtId="0" fontId="69" fillId="6" borderId="0" xfId="0" applyFont="1" applyFill="1" applyAlignment="1">
      <alignment readingOrder="1"/>
    </xf>
    <xf numFmtId="0" fontId="70" fillId="6" borderId="0" xfId="0" applyFont="1" applyFill="1" applyAlignment="1">
      <alignment readingOrder="1"/>
    </xf>
    <xf numFmtId="0" fontId="0" fillId="6" borderId="0" xfId="0" applyFill="1">
      <alignment readingOrder="1"/>
    </xf>
    <xf numFmtId="0" fontId="13" fillId="64" borderId="9" xfId="0" applyFont="1" applyFill="1" applyBorder="1" applyAlignment="1">
      <alignment horizontal="center" vertical="top" wrapText="1" readingOrder="1"/>
    </xf>
    <xf numFmtId="0" fontId="13" fillId="64" borderId="40" xfId="0" applyFont="1" applyFill="1" applyBorder="1" applyAlignment="1">
      <alignment horizontal="center" vertical="top" wrapText="1" readingOrder="1"/>
    </xf>
    <xf numFmtId="0" fontId="13" fillId="64" borderId="41" xfId="0" applyFont="1" applyFill="1" applyBorder="1" applyAlignment="1">
      <alignment horizontal="center" vertical="top" wrapText="1" readingOrder="1"/>
    </xf>
    <xf numFmtId="0" fontId="7" fillId="0" borderId="54" xfId="0" applyFont="1" applyBorder="1">
      <alignment readingOrder="1"/>
    </xf>
    <xf numFmtId="0" fontId="7" fillId="0" borderId="55" xfId="0" applyFont="1" applyBorder="1">
      <alignment readingOrder="1"/>
    </xf>
    <xf numFmtId="0" fontId="0" fillId="0" borderId="55" xfId="0" applyBorder="1">
      <alignment readingOrder="1"/>
    </xf>
    <xf numFmtId="3" fontId="0" fillId="0" borderId="55" xfId="0" applyNumberFormat="1" applyBorder="1">
      <alignment readingOrder="1"/>
    </xf>
    <xf numFmtId="44" fontId="0" fillId="0" borderId="55" xfId="0" applyNumberFormat="1" applyBorder="1">
      <alignment readingOrder="1"/>
    </xf>
    <xf numFmtId="2" fontId="0" fillId="0" borderId="55" xfId="0" applyNumberFormat="1" applyBorder="1">
      <alignment readingOrder="1"/>
    </xf>
    <xf numFmtId="2" fontId="0" fillId="0" borderId="56" xfId="0" applyNumberFormat="1" applyBorder="1">
      <alignment readingOrder="1"/>
    </xf>
    <xf numFmtId="0" fontId="7" fillId="0" borderId="42" xfId="0" applyFont="1" applyBorder="1">
      <alignment readingOrder="1"/>
    </xf>
    <xf numFmtId="0" fontId="7" fillId="0" borderId="5" xfId="0" applyFont="1" applyBorder="1">
      <alignment readingOrder="1"/>
    </xf>
    <xf numFmtId="0" fontId="0" fillId="0" borderId="5" xfId="0" applyBorder="1">
      <alignment readingOrder="1"/>
    </xf>
    <xf numFmtId="3" fontId="3" fillId="0" borderId="5" xfId="0" applyNumberFormat="1" applyFont="1" applyBorder="1">
      <alignment readingOrder="1"/>
    </xf>
    <xf numFmtId="44" fontId="0" fillId="0" borderId="5" xfId="0" applyNumberFormat="1" applyBorder="1">
      <alignment readingOrder="1"/>
    </xf>
    <xf numFmtId="2" fontId="0" fillId="0" borderId="5" xfId="0" applyNumberFormat="1" applyBorder="1">
      <alignment readingOrder="1"/>
    </xf>
    <xf numFmtId="2" fontId="0" fillId="0" borderId="37" xfId="0" applyNumberFormat="1" applyBorder="1">
      <alignment readingOrder="1"/>
    </xf>
    <xf numFmtId="0" fontId="7" fillId="0" borderId="42" xfId="0" applyFont="1" applyFill="1" applyBorder="1">
      <alignment readingOrder="1"/>
    </xf>
    <xf numFmtId="0" fontId="7" fillId="0" borderId="5" xfId="0" applyFont="1" applyFill="1" applyBorder="1">
      <alignment readingOrder="1"/>
    </xf>
    <xf numFmtId="0" fontId="0" fillId="0" borderId="5" xfId="0" applyFill="1" applyBorder="1">
      <alignment readingOrder="1"/>
    </xf>
    <xf numFmtId="3" fontId="3" fillId="0" borderId="5" xfId="0" applyNumberFormat="1" applyFont="1" applyFill="1" applyBorder="1">
      <alignment readingOrder="1"/>
    </xf>
    <xf numFmtId="44" fontId="0" fillId="0" borderId="5" xfId="0" applyNumberFormat="1" applyFill="1" applyBorder="1">
      <alignment readingOrder="1"/>
    </xf>
    <xf numFmtId="2" fontId="0" fillId="0" borderId="5" xfId="0" applyNumberFormat="1" applyFill="1" applyBorder="1">
      <alignment readingOrder="1"/>
    </xf>
    <xf numFmtId="2" fontId="0" fillId="0" borderId="37" xfId="0" applyNumberFormat="1" applyFill="1" applyBorder="1">
      <alignment readingOrder="1"/>
    </xf>
    <xf numFmtId="0" fontId="7" fillId="0" borderId="57" xfId="0" applyFont="1" applyFill="1" applyBorder="1">
      <alignment readingOrder="1"/>
    </xf>
    <xf numFmtId="0" fontId="7" fillId="0" borderId="2" xfId="0" applyFont="1" applyFill="1" applyBorder="1">
      <alignment readingOrder="1"/>
    </xf>
    <xf numFmtId="0" fontId="0" fillId="0" borderId="2" xfId="0" applyFill="1" applyBorder="1">
      <alignment readingOrder="1"/>
    </xf>
    <xf numFmtId="3" fontId="3" fillId="0" borderId="2" xfId="0" applyNumberFormat="1" applyFont="1" applyFill="1" applyBorder="1">
      <alignment readingOrder="1"/>
    </xf>
    <xf numFmtId="44" fontId="0" fillId="0" borderId="2" xfId="0" applyNumberFormat="1" applyFill="1" applyBorder="1">
      <alignment readingOrder="1"/>
    </xf>
    <xf numFmtId="2" fontId="0" fillId="0" borderId="2" xfId="0" applyNumberFormat="1" applyFill="1" applyBorder="1">
      <alignment readingOrder="1"/>
    </xf>
    <xf numFmtId="2" fontId="0" fillId="0" borderId="58" xfId="0" applyNumberFormat="1" applyFill="1" applyBorder="1">
      <alignment readingOrder="1"/>
    </xf>
    <xf numFmtId="0" fontId="7" fillId="0" borderId="54" xfId="0" applyFont="1" applyFill="1" applyBorder="1">
      <alignment readingOrder="1"/>
    </xf>
    <xf numFmtId="0" fontId="7" fillId="0" borderId="55" xfId="0" applyFont="1" applyFill="1" applyBorder="1">
      <alignment readingOrder="1"/>
    </xf>
    <xf numFmtId="0" fontId="0" fillId="0" borderId="55" xfId="0" applyFill="1" applyBorder="1">
      <alignment readingOrder="1"/>
    </xf>
    <xf numFmtId="44" fontId="0" fillId="0" borderId="55" xfId="0" applyNumberFormat="1" applyFill="1" applyBorder="1">
      <alignment readingOrder="1"/>
    </xf>
    <xf numFmtId="0" fontId="7" fillId="0" borderId="38" xfId="0" applyFont="1" applyFill="1" applyBorder="1">
      <alignment readingOrder="1"/>
    </xf>
    <xf numFmtId="0" fontId="7" fillId="0" borderId="36" xfId="0" applyFont="1" applyFill="1" applyBorder="1">
      <alignment readingOrder="1"/>
    </xf>
    <xf numFmtId="0" fontId="0" fillId="0" borderId="36" xfId="0" applyFill="1" applyBorder="1">
      <alignment readingOrder="1"/>
    </xf>
    <xf numFmtId="3" fontId="3" fillId="0" borderId="36" xfId="0" applyNumberFormat="1" applyFont="1" applyFill="1" applyBorder="1">
      <alignment readingOrder="1"/>
    </xf>
    <xf numFmtId="44" fontId="0" fillId="0" borderId="36" xfId="0" applyNumberFormat="1" applyFill="1" applyBorder="1">
      <alignment readingOrder="1"/>
    </xf>
    <xf numFmtId="2" fontId="0" fillId="0" borderId="36" xfId="0" applyNumberFormat="1" applyFill="1" applyBorder="1">
      <alignment readingOrder="1"/>
    </xf>
    <xf numFmtId="2" fontId="0" fillId="0" borderId="39" xfId="0" applyNumberFormat="1" applyFill="1" applyBorder="1">
      <alignment readingOrder="1"/>
    </xf>
    <xf numFmtId="0" fontId="7" fillId="0" borderId="59" xfId="0" applyFont="1" applyBorder="1">
      <alignment readingOrder="1"/>
    </xf>
    <xf numFmtId="0" fontId="7" fillId="0" borderId="16" xfId="0" applyFont="1" applyBorder="1">
      <alignment readingOrder="1"/>
    </xf>
    <xf numFmtId="0" fontId="0" fillId="0" borderId="16" xfId="0" applyFill="1" applyBorder="1">
      <alignment readingOrder="1"/>
    </xf>
    <xf numFmtId="3" fontId="0" fillId="0" borderId="16" xfId="0" applyNumberFormat="1" applyBorder="1">
      <alignment readingOrder="1"/>
    </xf>
    <xf numFmtId="44" fontId="0" fillId="0" borderId="16" xfId="0" applyNumberFormat="1" applyBorder="1">
      <alignment readingOrder="1"/>
    </xf>
    <xf numFmtId="2" fontId="0" fillId="0" borderId="16" xfId="0" applyNumberFormat="1" applyBorder="1">
      <alignment readingOrder="1"/>
    </xf>
    <xf numFmtId="2" fontId="0" fillId="0" borderId="60" xfId="0" applyNumberFormat="1" applyBorder="1">
      <alignment readingOrder="1"/>
    </xf>
    <xf numFmtId="2" fontId="0" fillId="0" borderId="56" xfId="0" applyNumberFormat="1" applyFill="1" applyBorder="1">
      <alignment readingOrder="1"/>
    </xf>
    <xf numFmtId="0" fontId="71" fillId="0" borderId="0" xfId="0" applyFont="1" applyAlignment="1">
      <alignment horizontal="right" readingOrder="1"/>
    </xf>
    <xf numFmtId="0" fontId="7" fillId="0" borderId="0" xfId="0" applyFont="1" applyAlignment="1">
      <alignment horizontal="right" vertical="top" readingOrder="1"/>
    </xf>
    <xf numFmtId="0" fontId="0" fillId="0" borderId="0" xfId="0">
      <alignment readingOrder="1"/>
    </xf>
    <xf numFmtId="0" fontId="0" fillId="0" borderId="0" xfId="0" applyAlignment="1">
      <alignment horizontal="right" vertical="top" readingOrder="1"/>
    </xf>
    <xf numFmtId="0" fontId="7" fillId="0" borderId="0" xfId="0" applyFont="1" applyAlignment="1">
      <alignment horizontal="right" readingOrder="1"/>
    </xf>
    <xf numFmtId="0" fontId="7" fillId="0" borderId="0" xfId="0" applyFont="1">
      <alignment readingOrder="1"/>
    </xf>
    <xf numFmtId="0" fontId="67" fillId="62" borderId="0" xfId="0" applyFont="1" applyFill="1" applyBorder="1">
      <alignment readingOrder="1"/>
    </xf>
    <xf numFmtId="0" fontId="67" fillId="62" borderId="61" xfId="0" applyFont="1" applyFill="1" applyBorder="1">
      <alignment readingOrder="1"/>
    </xf>
    <xf numFmtId="0" fontId="67" fillId="62" borderId="61" xfId="0" applyFont="1" applyFill="1" applyBorder="1" applyAlignment="1">
      <alignment wrapText="1" readingOrder="1"/>
    </xf>
    <xf numFmtId="0" fontId="3" fillId="0" borderId="1" xfId="0" applyFont="1" applyFill="1" applyBorder="1">
      <alignment readingOrder="1"/>
    </xf>
    <xf numFmtId="0" fontId="7" fillId="0" borderId="5" xfId="247" applyFont="1" applyBorder="1">
      <alignment readingOrder="1"/>
    </xf>
    <xf numFmtId="0" fontId="3" fillId="0" borderId="6" xfId="0" applyFont="1" applyFill="1" applyBorder="1">
      <alignment readingOrder="1"/>
    </xf>
    <xf numFmtId="0" fontId="7" fillId="0" borderId="0" xfId="213">
      <alignment readingOrder="1"/>
    </xf>
    <xf numFmtId="0" fontId="69" fillId="6" borderId="0" xfId="213" applyFont="1" applyFill="1">
      <alignment readingOrder="1"/>
    </xf>
    <xf numFmtId="0" fontId="13" fillId="0" borderId="1" xfId="247" applyFont="1" applyFill="1" applyBorder="1">
      <alignment readingOrder="1"/>
    </xf>
    <xf numFmtId="0" fontId="7" fillId="0" borderId="4" xfId="247" applyBorder="1">
      <alignment readingOrder="1"/>
    </xf>
    <xf numFmtId="0" fontId="13" fillId="0" borderId="4" xfId="247" applyFont="1" applyBorder="1" applyAlignment="1">
      <alignment horizontal="center" readingOrder="1"/>
    </xf>
    <xf numFmtId="0" fontId="13" fillId="0" borderId="4" xfId="247" applyFont="1" applyBorder="1">
      <alignment readingOrder="1"/>
    </xf>
    <xf numFmtId="0" fontId="7" fillId="0" borderId="3" xfId="247" applyBorder="1">
      <alignment readingOrder="1"/>
    </xf>
    <xf numFmtId="0" fontId="7" fillId="0" borderId="62" xfId="247" applyFont="1" applyFill="1" applyBorder="1">
      <alignment readingOrder="1"/>
    </xf>
    <xf numFmtId="0" fontId="7" fillId="0" borderId="0" xfId="247" applyBorder="1">
      <alignment readingOrder="1"/>
    </xf>
    <xf numFmtId="0" fontId="7" fillId="65" borderId="5" xfId="247" applyFont="1" applyFill="1" applyBorder="1">
      <alignment readingOrder="1"/>
    </xf>
    <xf numFmtId="0" fontId="7" fillId="0" borderId="0" xfId="247" applyFont="1" applyBorder="1">
      <alignment readingOrder="1"/>
    </xf>
    <xf numFmtId="0" fontId="7" fillId="0" borderId="0" xfId="247" quotePrefix="1" applyFont="1" applyBorder="1">
      <alignment readingOrder="1"/>
    </xf>
    <xf numFmtId="0" fontId="7" fillId="0" borderId="63" xfId="247" applyBorder="1">
      <alignment readingOrder="1"/>
    </xf>
    <xf numFmtId="0" fontId="7" fillId="0" borderId="62" xfId="247" applyFont="1" applyFill="1" applyBorder="1" applyAlignment="1">
      <alignment horizontal="left" indent="1" readingOrder="1"/>
    </xf>
    <xf numFmtId="0" fontId="7" fillId="65" borderId="5" xfId="247" applyFill="1" applyBorder="1">
      <alignment readingOrder="1"/>
    </xf>
    <xf numFmtId="0" fontId="7" fillId="0" borderId="0" xfId="247" applyFill="1" applyBorder="1">
      <alignment readingOrder="1"/>
    </xf>
    <xf numFmtId="44" fontId="7" fillId="65" borderId="5" xfId="153" applyFont="1" applyFill="1" applyBorder="1">
      <alignment readingOrder="1"/>
    </xf>
    <xf numFmtId="2" fontId="7" fillId="0" borderId="0" xfId="213" applyNumberFormat="1">
      <alignment readingOrder="1"/>
    </xf>
    <xf numFmtId="2" fontId="7" fillId="65" borderId="5" xfId="153" applyNumberFormat="1" applyFont="1" applyFill="1" applyBorder="1">
      <alignment readingOrder="1"/>
    </xf>
    <xf numFmtId="0" fontId="7" fillId="0" borderId="62" xfId="247" applyFont="1" applyFill="1" applyBorder="1" applyAlignment="1">
      <alignment horizontal="left" readingOrder="1"/>
    </xf>
    <xf numFmtId="44" fontId="7" fillId="0" borderId="0" xfId="153" applyFont="1" applyFill="1" applyBorder="1">
      <alignment readingOrder="1"/>
    </xf>
    <xf numFmtId="0" fontId="68" fillId="0" borderId="0" xfId="247" applyFont="1" applyBorder="1">
      <alignment readingOrder="1"/>
    </xf>
    <xf numFmtId="0" fontId="7" fillId="0" borderId="62" xfId="247" applyFont="1" applyFill="1" applyBorder="1" applyAlignment="1">
      <alignment horizontal="left" indent="2" readingOrder="1"/>
    </xf>
    <xf numFmtId="0" fontId="7" fillId="65" borderId="5" xfId="153" applyNumberFormat="1" applyFont="1" applyFill="1" applyBorder="1">
      <alignment readingOrder="1"/>
    </xf>
    <xf numFmtId="0" fontId="7" fillId="0" borderId="0" xfId="247" applyFont="1" applyFill="1" applyBorder="1">
      <alignment readingOrder="1"/>
    </xf>
    <xf numFmtId="0" fontId="7" fillId="0" borderId="0" xfId="153" applyNumberFormat="1" applyFont="1" applyFill="1" applyBorder="1">
      <alignment readingOrder="1"/>
    </xf>
    <xf numFmtId="0" fontId="7" fillId="0" borderId="0" xfId="247" quotePrefix="1" applyFont="1" applyFill="1" applyBorder="1">
      <alignment readingOrder="1"/>
    </xf>
    <xf numFmtId="0" fontId="7" fillId="0" borderId="11" xfId="247" applyFont="1" applyFill="1" applyBorder="1" applyAlignment="1">
      <alignment horizontal="left" indent="1" readingOrder="1"/>
    </xf>
    <xf numFmtId="0" fontId="7" fillId="0" borderId="12" xfId="247" applyBorder="1">
      <alignment readingOrder="1"/>
    </xf>
    <xf numFmtId="0" fontId="7" fillId="0" borderId="12" xfId="247" applyFill="1" applyBorder="1">
      <alignment readingOrder="1"/>
    </xf>
    <xf numFmtId="2" fontId="7" fillId="0" borderId="12" xfId="153" applyNumberFormat="1" applyFont="1" applyFill="1" applyBorder="1">
      <alignment readingOrder="1"/>
    </xf>
    <xf numFmtId="0" fontId="7" fillId="0" borderId="12" xfId="247" applyFont="1" applyFill="1" applyBorder="1">
      <alignment readingOrder="1"/>
    </xf>
    <xf numFmtId="0" fontId="7" fillId="0" borderId="12" xfId="247" applyFont="1" applyBorder="1">
      <alignment readingOrder="1"/>
    </xf>
    <xf numFmtId="0" fontId="68" fillId="0" borderId="12" xfId="247" applyFont="1" applyBorder="1">
      <alignment readingOrder="1"/>
    </xf>
    <xf numFmtId="0" fontId="7" fillId="0" borderId="13" xfId="247" applyBorder="1">
      <alignment readingOrder="1"/>
    </xf>
    <xf numFmtId="0" fontId="71" fillId="0" borderId="0" xfId="213" applyFont="1" applyAlignment="1">
      <alignment horizontal="right" vertical="top" readingOrder="1"/>
    </xf>
    <xf numFmtId="0" fontId="7" fillId="0" borderId="0" xfId="213" applyFont="1" applyAlignment="1">
      <alignment horizontal="right" vertical="top" readingOrder="1"/>
    </xf>
    <xf numFmtId="0" fontId="7" fillId="0" borderId="0" xfId="247" applyAlignment="1">
      <alignment vertical="top" readingOrder="1"/>
    </xf>
    <xf numFmtId="0" fontId="7" fillId="0" borderId="0" xfId="213" applyAlignment="1">
      <alignment horizontal="right" vertical="top" readingOrder="1"/>
    </xf>
    <xf numFmtId="0" fontId="69" fillId="6" borderId="0" xfId="247" applyFont="1" applyFill="1" applyBorder="1">
      <alignment readingOrder="1"/>
    </xf>
    <xf numFmtId="0" fontId="7" fillId="6" borderId="0" xfId="247" applyFill="1" applyBorder="1">
      <alignment readingOrder="1"/>
    </xf>
    <xf numFmtId="0" fontId="7" fillId="6" borderId="0" xfId="213" applyFill="1">
      <alignment readingOrder="1"/>
    </xf>
    <xf numFmtId="0" fontId="7" fillId="0" borderId="0" xfId="247">
      <alignment readingOrder="1"/>
    </xf>
    <xf numFmtId="0" fontId="13" fillId="0" borderId="0" xfId="247" applyFont="1" applyFill="1" applyBorder="1" applyAlignment="1">
      <alignment horizontal="center" vertical="center" wrapText="1" readingOrder="1"/>
    </xf>
    <xf numFmtId="0" fontId="13" fillId="64" borderId="5" xfId="247" applyFont="1" applyFill="1" applyBorder="1" applyAlignment="1">
      <alignment horizontal="center" vertical="top" wrapText="1" readingOrder="1"/>
    </xf>
    <xf numFmtId="0" fontId="13" fillId="64" borderId="6" xfId="247" applyFont="1" applyFill="1" applyBorder="1" applyAlignment="1">
      <alignment horizontal="center" vertical="top" wrapText="1" readingOrder="1"/>
    </xf>
    <xf numFmtId="3" fontId="13" fillId="64" borderId="6" xfId="247" applyNumberFormat="1" applyFont="1" applyFill="1" applyBorder="1" applyAlignment="1">
      <alignment horizontal="center" vertical="top" wrapText="1" readingOrder="1"/>
    </xf>
    <xf numFmtId="3" fontId="13" fillId="64" borderId="5" xfId="247" applyNumberFormat="1" applyFont="1" applyFill="1" applyBorder="1" applyAlignment="1">
      <alignment horizontal="center" vertical="top" wrapText="1" readingOrder="1"/>
    </xf>
    <xf numFmtId="0" fontId="7" fillId="0" borderId="5" xfId="247" applyFont="1" applyFill="1" applyBorder="1" applyAlignment="1">
      <alignment vertical="top" wrapText="1" readingOrder="1"/>
    </xf>
    <xf numFmtId="9" fontId="7" fillId="0" borderId="5" xfId="247" applyNumberFormat="1" applyFont="1" applyFill="1" applyBorder="1" applyAlignment="1">
      <alignment vertical="top" wrapText="1" readingOrder="1"/>
    </xf>
    <xf numFmtId="164" fontId="7" fillId="0" borderId="5" xfId="247" applyNumberFormat="1" applyFont="1" applyFill="1" applyBorder="1" applyAlignment="1">
      <alignment vertical="top" wrapText="1" readingOrder="1"/>
    </xf>
    <xf numFmtId="3" fontId="7" fillId="0" borderId="5" xfId="247" applyNumberFormat="1" applyFont="1" applyFill="1" applyBorder="1" applyAlignment="1">
      <alignment vertical="top" wrapText="1" readingOrder="1"/>
    </xf>
    <xf numFmtId="4" fontId="7" fillId="0" borderId="5" xfId="247" applyNumberFormat="1" applyFont="1" applyFill="1" applyBorder="1" applyAlignment="1">
      <alignment vertical="top" wrapText="1" readingOrder="1"/>
    </xf>
    <xf numFmtId="2" fontId="7" fillId="0" borderId="5" xfId="213" applyNumberFormat="1" applyBorder="1">
      <alignment readingOrder="1"/>
    </xf>
    <xf numFmtId="0" fontId="7" fillId="0" borderId="5" xfId="247" applyFill="1" applyBorder="1">
      <alignment readingOrder="1"/>
    </xf>
    <xf numFmtId="2" fontId="7" fillId="0" borderId="5" xfId="213" applyNumberFormat="1" applyFill="1" applyBorder="1">
      <alignment readingOrder="1"/>
    </xf>
    <xf numFmtId="0" fontId="7" fillId="0" borderId="5" xfId="247" applyBorder="1">
      <alignment readingOrder="1"/>
    </xf>
    <xf numFmtId="9" fontId="7" fillId="0" borderId="5" xfId="8" applyFont="1" applyBorder="1">
      <alignment readingOrder="1"/>
    </xf>
    <xf numFmtId="3" fontId="7" fillId="0" borderId="5" xfId="247" applyNumberFormat="1" applyFill="1" applyBorder="1">
      <alignment readingOrder="1"/>
    </xf>
    <xf numFmtId="0" fontId="7" fillId="0" borderId="0" xfId="213" applyAlignment="1">
      <alignment readingOrder="1"/>
    </xf>
    <xf numFmtId="0" fontId="7" fillId="0" borderId="0" xfId="213" applyFont="1" applyAlignment="1">
      <alignment wrapText="1" readingOrder="1"/>
    </xf>
    <xf numFmtId="0" fontId="7" fillId="0" borderId="0" xfId="213" applyAlignment="1">
      <alignment wrapText="1" readingOrder="1"/>
    </xf>
    <xf numFmtId="0" fontId="7" fillId="0" borderId="0" xfId="247" applyFont="1" applyFill="1" applyBorder="1" applyAlignment="1">
      <alignment vertical="center" wrapText="1" readingOrder="1"/>
    </xf>
    <xf numFmtId="0" fontId="7" fillId="0" borderId="0" xfId="213" applyFill="1" applyBorder="1">
      <alignment readingOrder="1"/>
    </xf>
    <xf numFmtId="0" fontId="72" fillId="0" borderId="0" xfId="247" applyFont="1" applyFill="1" applyBorder="1">
      <alignment readingOrder="1"/>
    </xf>
    <xf numFmtId="0" fontId="5" fillId="0" borderId="0" xfId="247" applyFont="1" applyFill="1" applyBorder="1">
      <alignment readingOrder="1"/>
    </xf>
    <xf numFmtId="0" fontId="13" fillId="0" borderId="0" xfId="247" applyFont="1" applyFill="1" applyBorder="1" applyAlignment="1">
      <alignment horizontal="center" vertical="center" readingOrder="1"/>
    </xf>
    <xf numFmtId="0" fontId="7" fillId="0" borderId="0" xfId="247" applyFont="1" applyFill="1" applyBorder="1" applyAlignment="1">
      <alignment vertical="top" readingOrder="1"/>
    </xf>
    <xf numFmtId="0" fontId="7" fillId="0" borderId="0" xfId="247" applyFill="1" applyBorder="1" applyAlignment="1">
      <alignment vertical="top" readingOrder="1"/>
    </xf>
    <xf numFmtId="0" fontId="7" fillId="0" borderId="0" xfId="247" applyFont="1" applyFill="1" applyBorder="1" applyAlignment="1">
      <alignment vertical="top" wrapText="1" readingOrder="1"/>
    </xf>
    <xf numFmtId="0" fontId="7" fillId="0" borderId="0" xfId="247" applyFill="1" applyBorder="1" applyAlignment="1">
      <alignment vertical="top" wrapText="1" readingOrder="1"/>
    </xf>
    <xf numFmtId="0" fontId="7" fillId="0" borderId="0" xfId="247" applyFill="1" applyBorder="1" applyAlignment="1">
      <alignment wrapText="1" readingOrder="1"/>
    </xf>
    <xf numFmtId="0" fontId="7" fillId="0" borderId="5" xfId="370" applyFont="1" applyFill="1" applyBorder="1" applyAlignment="1">
      <alignment wrapText="1"/>
    </xf>
    <xf numFmtId="3" fontId="7" fillId="0" borderId="5" xfId="370" applyNumberFormat="1" applyFont="1" applyFill="1" applyBorder="1" applyAlignment="1">
      <alignment wrapText="1"/>
    </xf>
    <xf numFmtId="1" fontId="0" fillId="0" borderId="5" xfId="0" applyNumberFormat="1" applyFill="1" applyBorder="1">
      <alignment readingOrder="1"/>
    </xf>
    <xf numFmtId="44" fontId="0" fillId="0" borderId="5" xfId="1" applyFont="1" applyFill="1" applyBorder="1">
      <alignment readingOrder="1"/>
    </xf>
    <xf numFmtId="164" fontId="0" fillId="0" borderId="5" xfId="0" applyNumberFormat="1" applyFill="1" applyBorder="1">
      <alignment readingOrder="1"/>
    </xf>
    <xf numFmtId="0" fontId="14" fillId="0" borderId="5" xfId="0" applyFont="1" applyFill="1" applyBorder="1" applyAlignment="1">
      <alignment horizontal="center" wrapText="1" readingOrder="1"/>
    </xf>
    <xf numFmtId="0" fontId="69" fillId="6" borderId="0" xfId="247" applyFont="1" applyFill="1" applyBorder="1" applyAlignment="1">
      <alignment vertical="center" readingOrder="1"/>
    </xf>
    <xf numFmtId="0" fontId="7" fillId="6" borderId="0" xfId="247" applyFill="1">
      <alignment readingOrder="1"/>
    </xf>
    <xf numFmtId="0" fontId="13" fillId="64" borderId="33" xfId="247" applyFont="1" applyFill="1" applyBorder="1" applyAlignment="1">
      <alignment horizontal="center" vertical="center" wrapText="1" readingOrder="1"/>
    </xf>
    <xf numFmtId="0" fontId="13" fillId="64" borderId="34" xfId="247" applyFont="1" applyFill="1" applyBorder="1" applyAlignment="1">
      <alignment horizontal="center" vertical="center" wrapText="1" readingOrder="1"/>
    </xf>
    <xf numFmtId="0" fontId="13" fillId="64" borderId="35" xfId="247" applyFont="1" applyFill="1" applyBorder="1" applyAlignment="1">
      <alignment horizontal="center" vertical="center" wrapText="1" readingOrder="1"/>
    </xf>
    <xf numFmtId="0" fontId="7" fillId="0" borderId="54" xfId="247" applyFont="1" applyBorder="1" applyAlignment="1">
      <alignment vertical="top" wrapText="1" readingOrder="1"/>
    </xf>
    <xf numFmtId="0" fontId="7" fillId="0" borderId="55" xfId="247" applyFont="1" applyBorder="1" applyAlignment="1">
      <alignment vertical="top" wrapText="1" readingOrder="1"/>
    </xf>
    <xf numFmtId="3" fontId="7" fillId="0" borderId="55" xfId="247" applyNumberFormat="1" applyBorder="1" applyAlignment="1">
      <alignment vertical="top" wrapText="1" readingOrder="1"/>
    </xf>
    <xf numFmtId="3" fontId="7" fillId="0" borderId="55" xfId="247" applyNumberFormat="1" applyFont="1" applyBorder="1" applyAlignment="1">
      <alignment vertical="top" wrapText="1" readingOrder="1"/>
    </xf>
    <xf numFmtId="0" fontId="7" fillId="0" borderId="55" xfId="213" applyBorder="1" applyAlignment="1">
      <alignment vertical="top" readingOrder="1"/>
    </xf>
    <xf numFmtId="44" fontId="7" fillId="0" borderId="55" xfId="153" applyFont="1" applyBorder="1" applyAlignment="1">
      <alignment vertical="top" wrapText="1" readingOrder="1"/>
    </xf>
    <xf numFmtId="0" fontId="0" fillId="0" borderId="18" xfId="0" applyBorder="1" applyAlignment="1">
      <alignment vertical="top" wrapText="1" readingOrder="1"/>
    </xf>
    <xf numFmtId="0" fontId="7" fillId="0" borderId="56" xfId="213" applyNumberFormat="1" applyBorder="1" applyAlignment="1">
      <alignment vertical="top" wrapText="1" readingOrder="1"/>
    </xf>
    <xf numFmtId="0" fontId="7" fillId="0" borderId="42" xfId="247" applyFont="1" applyBorder="1" applyAlignment="1">
      <alignment vertical="top" wrapText="1" readingOrder="1"/>
    </xf>
    <xf numFmtId="0" fontId="7" fillId="0" borderId="5" xfId="247" applyFont="1" applyBorder="1" applyAlignment="1">
      <alignment vertical="top" wrapText="1" readingOrder="1"/>
    </xf>
    <xf numFmtId="3" fontId="7" fillId="0" borderId="5" xfId="247" applyNumberFormat="1" applyBorder="1" applyAlignment="1">
      <alignment vertical="top" wrapText="1" readingOrder="1"/>
    </xf>
    <xf numFmtId="3" fontId="7" fillId="0" borderId="5" xfId="247" applyNumberFormat="1" applyFont="1" applyBorder="1" applyAlignment="1">
      <alignment vertical="top" wrapText="1" readingOrder="1"/>
    </xf>
    <xf numFmtId="0" fontId="7" fillId="0" borderId="5" xfId="213" applyBorder="1" applyAlignment="1">
      <alignment vertical="top" readingOrder="1"/>
    </xf>
    <xf numFmtId="44" fontId="7" fillId="0" borderId="5" xfId="153" applyFont="1" applyBorder="1" applyAlignment="1">
      <alignment vertical="top" wrapText="1" readingOrder="1"/>
    </xf>
    <xf numFmtId="0" fontId="7" fillId="0" borderId="5" xfId="195" applyFont="1" applyBorder="1" applyAlignment="1" applyProtection="1">
      <alignment vertical="top" wrapText="1" readingOrder="1"/>
    </xf>
    <xf numFmtId="0" fontId="7" fillId="0" borderId="37" xfId="213" applyNumberFormat="1" applyBorder="1" applyAlignment="1">
      <alignment vertical="top" wrapText="1" readingOrder="1"/>
    </xf>
    <xf numFmtId="0" fontId="7" fillId="0" borderId="38" xfId="247" applyFont="1" applyBorder="1" applyAlignment="1">
      <alignment vertical="top" wrapText="1" readingOrder="1"/>
    </xf>
    <xf numFmtId="0" fontId="7" fillId="0" borderId="36" xfId="247" applyFont="1" applyBorder="1" applyAlignment="1">
      <alignment vertical="top" wrapText="1" readingOrder="1"/>
    </xf>
    <xf numFmtId="3" fontId="7" fillId="0" borderId="36" xfId="247" applyNumberFormat="1" applyBorder="1" applyAlignment="1">
      <alignment vertical="top" wrapText="1" readingOrder="1"/>
    </xf>
    <xf numFmtId="3" fontId="7" fillId="0" borderId="36" xfId="247" applyNumberFormat="1" applyFont="1" applyBorder="1" applyAlignment="1">
      <alignment vertical="top" wrapText="1" readingOrder="1"/>
    </xf>
    <xf numFmtId="0" fontId="7" fillId="0" borderId="36" xfId="213" applyBorder="1" applyAlignment="1">
      <alignment vertical="top" readingOrder="1"/>
    </xf>
    <xf numFmtId="44" fontId="7" fillId="0" borderId="36" xfId="153" applyFont="1" applyBorder="1" applyAlignment="1">
      <alignment vertical="top" wrapText="1" readingOrder="1"/>
    </xf>
    <xf numFmtId="0" fontId="31" fillId="0" borderId="36" xfId="371" applyBorder="1" applyAlignment="1" applyProtection="1">
      <alignment vertical="top" wrapText="1" readingOrder="1"/>
    </xf>
    <xf numFmtId="0" fontId="7" fillId="0" borderId="39" xfId="213" applyNumberFormat="1" applyBorder="1" applyAlignment="1">
      <alignment vertical="top" wrapText="1" readingOrder="1"/>
    </xf>
    <xf numFmtId="0" fontId="7" fillId="0" borderId="0" xfId="213" applyBorder="1">
      <alignment readingOrder="1"/>
    </xf>
    <xf numFmtId="0" fontId="31" fillId="0" borderId="55" xfId="371" applyBorder="1" applyAlignment="1" applyProtection="1">
      <alignment vertical="top" readingOrder="1"/>
    </xf>
    <xf numFmtId="0" fontId="7" fillId="0" borderId="56" xfId="213" applyNumberFormat="1" applyBorder="1" applyAlignment="1">
      <alignment vertical="top" readingOrder="1"/>
    </xf>
    <xf numFmtId="0" fontId="31" fillId="0" borderId="5" xfId="371" applyBorder="1" applyAlignment="1" applyProtection="1">
      <alignment vertical="top" readingOrder="1"/>
    </xf>
    <xf numFmtId="0" fontId="7" fillId="0" borderId="37" xfId="213" applyNumberFormat="1" applyBorder="1" applyAlignment="1">
      <alignment vertical="top" readingOrder="1"/>
    </xf>
    <xf numFmtId="0" fontId="7" fillId="0" borderId="5" xfId="247" applyFont="1" applyBorder="1" applyAlignment="1">
      <alignment horizontal="left" vertical="top" wrapText="1" readingOrder="1"/>
    </xf>
    <xf numFmtId="0" fontId="7" fillId="0" borderId="36" xfId="247" applyFont="1" applyBorder="1" applyAlignment="1">
      <alignment horizontal="left" vertical="top" wrapText="1" readingOrder="1"/>
    </xf>
    <xf numFmtId="0" fontId="31" fillId="0" borderId="36" xfId="371" applyBorder="1" applyAlignment="1" applyProtection="1">
      <alignment vertical="top" readingOrder="1"/>
    </xf>
    <xf numFmtId="0" fontId="7" fillId="0" borderId="39" xfId="213" applyNumberFormat="1" applyBorder="1" applyAlignment="1">
      <alignment vertical="top" readingOrder="1"/>
    </xf>
    <xf numFmtId="0" fontId="7" fillId="0" borderId="0" xfId="247" applyFont="1" applyBorder="1" applyAlignment="1">
      <alignment vertical="top" wrapText="1" readingOrder="1"/>
    </xf>
    <xf numFmtId="3" fontId="7" fillId="0" borderId="0" xfId="247" applyNumberFormat="1" applyBorder="1" applyAlignment="1">
      <alignment vertical="top" wrapText="1" readingOrder="1"/>
    </xf>
    <xf numFmtId="3" fontId="7" fillId="0" borderId="0" xfId="247" applyNumberFormat="1" applyFont="1" applyBorder="1" applyAlignment="1">
      <alignment vertical="top" wrapText="1" readingOrder="1"/>
    </xf>
    <xf numFmtId="44" fontId="7" fillId="0" borderId="0" xfId="153" applyFont="1" applyBorder="1" applyAlignment="1">
      <alignment vertical="top" wrapText="1" readingOrder="1"/>
    </xf>
    <xf numFmtId="0" fontId="31" fillId="0" borderId="0" xfId="195" applyFont="1" applyBorder="1" applyAlignment="1" applyProtection="1">
      <alignment readingOrder="1"/>
    </xf>
    <xf numFmtId="0" fontId="69" fillId="6" borderId="0" xfId="247" applyFont="1" applyFill="1">
      <alignment readingOrder="1"/>
    </xf>
    <xf numFmtId="0" fontId="5" fillId="6" borderId="0" xfId="247" applyFont="1" applyFill="1">
      <alignment readingOrder="1"/>
    </xf>
    <xf numFmtId="0" fontId="13" fillId="13" borderId="9" xfId="247" applyFont="1" applyFill="1" applyBorder="1" applyAlignment="1">
      <alignment horizontal="center" vertical="center" readingOrder="1"/>
    </xf>
    <xf numFmtId="0" fontId="13" fillId="13" borderId="40" xfId="247" applyFont="1" applyFill="1" applyBorder="1" applyAlignment="1">
      <alignment horizontal="center" vertical="center" readingOrder="1"/>
    </xf>
    <xf numFmtId="0" fontId="13" fillId="13" borderId="40" xfId="247" applyFont="1" applyFill="1" applyBorder="1" applyAlignment="1">
      <alignment horizontal="center" vertical="center" wrapText="1" readingOrder="1"/>
    </xf>
    <xf numFmtId="0" fontId="13" fillId="13" borderId="41" xfId="247" applyFont="1" applyFill="1" applyBorder="1" applyAlignment="1">
      <alignment horizontal="center" vertical="center" wrapText="1" readingOrder="1"/>
    </xf>
    <xf numFmtId="0" fontId="7" fillId="0" borderId="54" xfId="247" applyFont="1" applyBorder="1" applyAlignment="1">
      <alignment vertical="top" readingOrder="1"/>
    </xf>
    <xf numFmtId="0" fontId="7" fillId="0" borderId="55" xfId="247" applyFont="1" applyBorder="1" applyAlignment="1">
      <alignment vertical="top" readingOrder="1"/>
    </xf>
    <xf numFmtId="0" fontId="7" fillId="0" borderId="55" xfId="247" applyBorder="1" applyAlignment="1">
      <alignment vertical="top" readingOrder="1"/>
    </xf>
    <xf numFmtId="9" fontId="7" fillId="0" borderId="55" xfId="336" applyFont="1" applyBorder="1" applyAlignment="1">
      <alignment vertical="top" readingOrder="1"/>
    </xf>
    <xf numFmtId="0" fontId="31" fillId="0" borderId="56" xfId="371" applyBorder="1" applyAlignment="1" applyProtection="1">
      <alignment readingOrder="1"/>
    </xf>
    <xf numFmtId="0" fontId="27" fillId="0" borderId="0" xfId="23" applyBorder="1" applyAlignment="1" applyProtection="1">
      <alignment vertical="top" wrapText="1" readingOrder="1"/>
    </xf>
    <xf numFmtId="0" fontId="7" fillId="0" borderId="42" xfId="247" applyFont="1" applyBorder="1" applyAlignment="1">
      <alignment vertical="top" readingOrder="1"/>
    </xf>
    <xf numFmtId="0" fontId="7" fillId="0" borderId="5" xfId="247" applyFont="1" applyBorder="1" applyAlignment="1">
      <alignment vertical="top" readingOrder="1"/>
    </xf>
    <xf numFmtId="0" fontId="7" fillId="0" borderId="5" xfId="247" applyBorder="1" applyAlignment="1">
      <alignment vertical="top" readingOrder="1"/>
    </xf>
    <xf numFmtId="9" fontId="7" fillId="0" borderId="5" xfId="336" applyFont="1" applyBorder="1" applyAlignment="1">
      <alignment vertical="top" readingOrder="1"/>
    </xf>
    <xf numFmtId="0" fontId="31" fillId="0" borderId="37" xfId="371" applyBorder="1" applyAlignment="1" applyProtection="1">
      <alignment readingOrder="1"/>
    </xf>
    <xf numFmtId="0" fontId="27" fillId="0" borderId="0" xfId="23" applyBorder="1" applyAlignment="1" applyProtection="1">
      <alignment wrapText="1" readingOrder="1"/>
    </xf>
    <xf numFmtId="0" fontId="7" fillId="0" borderId="16" xfId="247" applyFont="1" applyBorder="1" applyAlignment="1">
      <alignment vertical="top" readingOrder="1"/>
    </xf>
    <xf numFmtId="0" fontId="7" fillId="0" borderId="16" xfId="247" applyBorder="1" applyAlignment="1">
      <alignment vertical="top" readingOrder="1"/>
    </xf>
    <xf numFmtId="0" fontId="7" fillId="0" borderId="38" xfId="247" applyFont="1" applyBorder="1" applyAlignment="1">
      <alignment vertical="top" readingOrder="1"/>
    </xf>
    <xf numFmtId="0" fontId="7" fillId="0" borderId="36" xfId="247" applyFont="1" applyBorder="1" applyAlignment="1">
      <alignment vertical="top" readingOrder="1"/>
    </xf>
    <xf numFmtId="0" fontId="7" fillId="0" borderId="36" xfId="247" applyBorder="1" applyAlignment="1">
      <alignment vertical="top" readingOrder="1"/>
    </xf>
    <xf numFmtId="9" fontId="7" fillId="0" borderId="36" xfId="336" applyFont="1" applyBorder="1" applyAlignment="1">
      <alignment vertical="top" readingOrder="1"/>
    </xf>
    <xf numFmtId="0" fontId="31" fillId="0" borderId="39" xfId="371" applyBorder="1" applyAlignment="1" applyProtection="1">
      <alignment readingOrder="1"/>
    </xf>
    <xf numFmtId="0" fontId="7" fillId="0" borderId="55" xfId="247" applyBorder="1" applyAlignment="1">
      <alignment vertical="top" wrapText="1" readingOrder="1"/>
    </xf>
    <xf numFmtId="0" fontId="31" fillId="0" borderId="56" xfId="371" applyFill="1" applyBorder="1" applyAlignment="1" applyProtection="1">
      <alignment readingOrder="1"/>
    </xf>
    <xf numFmtId="0" fontId="7" fillId="0" borderId="5" xfId="247" applyBorder="1" applyAlignment="1">
      <alignment vertical="top" wrapText="1" readingOrder="1"/>
    </xf>
    <xf numFmtId="0" fontId="31" fillId="0" borderId="37" xfId="371" applyFill="1" applyBorder="1" applyAlignment="1" applyProtection="1">
      <alignment readingOrder="1"/>
    </xf>
    <xf numFmtId="0" fontId="7" fillId="0" borderId="36" xfId="247" applyBorder="1" applyAlignment="1">
      <alignment vertical="top" wrapText="1" readingOrder="1"/>
    </xf>
    <xf numFmtId="0" fontId="31" fillId="0" borderId="39" xfId="371" applyFill="1" applyBorder="1" applyAlignment="1" applyProtection="1">
      <alignment readingOrder="1"/>
    </xf>
    <xf numFmtId="0" fontId="7" fillId="0" borderId="59" xfId="247" applyBorder="1" applyAlignment="1">
      <alignment vertical="top" wrapText="1" readingOrder="1"/>
    </xf>
    <xf numFmtId="0" fontId="7" fillId="0" borderId="16" xfId="247" applyBorder="1" applyAlignment="1">
      <alignment vertical="top" wrapText="1" readingOrder="1"/>
    </xf>
    <xf numFmtId="9" fontId="7" fillId="0" borderId="16" xfId="336" applyFont="1" applyBorder="1" applyAlignment="1">
      <alignment vertical="top" readingOrder="1"/>
    </xf>
    <xf numFmtId="0" fontId="31" fillId="0" borderId="60" xfId="371" applyFill="1" applyBorder="1" applyAlignment="1" applyProtection="1">
      <alignment readingOrder="1"/>
    </xf>
    <xf numFmtId="0" fontId="7" fillId="0" borderId="57" xfId="247" applyBorder="1" applyAlignment="1">
      <alignment vertical="top" wrapText="1" readingOrder="1"/>
    </xf>
    <xf numFmtId="0" fontId="7" fillId="0" borderId="2" xfId="247" applyBorder="1" applyAlignment="1">
      <alignment vertical="top" wrapText="1" readingOrder="1"/>
    </xf>
    <xf numFmtId="0" fontId="7" fillId="0" borderId="2" xfId="247" applyBorder="1" applyAlignment="1">
      <alignment vertical="top" readingOrder="1"/>
    </xf>
    <xf numFmtId="9" fontId="7" fillId="0" borderId="2" xfId="336" applyFont="1" applyBorder="1" applyAlignment="1">
      <alignment vertical="top" readingOrder="1"/>
    </xf>
    <xf numFmtId="0" fontId="31" fillId="0" borderId="58" xfId="371" applyFill="1" applyBorder="1" applyAlignment="1" applyProtection="1">
      <alignment readingOrder="1"/>
    </xf>
    <xf numFmtId="0" fontId="7" fillId="0" borderId="9" xfId="247" applyFont="1" applyBorder="1" applyAlignment="1">
      <alignment vertical="top" wrapText="1" readingOrder="1"/>
    </xf>
    <xf numFmtId="0" fontId="7" fillId="0" borderId="40" xfId="247" applyFont="1" applyBorder="1" applyAlignment="1">
      <alignment vertical="top" wrapText="1" readingOrder="1"/>
    </xf>
    <xf numFmtId="0" fontId="7" fillId="0" borderId="40" xfId="247" applyBorder="1" applyAlignment="1">
      <alignment vertical="top" wrapText="1" readingOrder="1"/>
    </xf>
    <xf numFmtId="0" fontId="7" fillId="0" borderId="40" xfId="247" applyBorder="1" applyAlignment="1">
      <alignment vertical="top" readingOrder="1"/>
    </xf>
    <xf numFmtId="9" fontId="7" fillId="0" borderId="40" xfId="336" applyFont="1" applyBorder="1" applyAlignment="1">
      <alignment vertical="top" readingOrder="1"/>
    </xf>
    <xf numFmtId="0" fontId="0" fillId="0" borderId="41" xfId="0" applyBorder="1">
      <alignment readingOrder="1"/>
    </xf>
    <xf numFmtId="0" fontId="71" fillId="0" borderId="0" xfId="213" applyFont="1" applyAlignment="1">
      <alignment horizontal="right" readingOrder="1"/>
    </xf>
    <xf numFmtId="0" fontId="0" fillId="0" borderId="0" xfId="0">
      <alignment readingOrder="1"/>
    </xf>
    <xf numFmtId="0" fontId="7" fillId="11" borderId="0" xfId="213" applyFill="1">
      <alignment readingOrder="1"/>
    </xf>
    <xf numFmtId="2" fontId="7" fillId="11" borderId="0" xfId="213" applyNumberFormat="1" applyFill="1">
      <alignment readingOrder="1"/>
    </xf>
    <xf numFmtId="9" fontId="7" fillId="11" borderId="0" xfId="213" applyNumberFormat="1" applyFill="1">
      <alignment readingOrder="1"/>
    </xf>
    <xf numFmtId="1" fontId="0" fillId="0" borderId="0" xfId="0" applyNumberFormat="1"/>
    <xf numFmtId="9" fontId="0" fillId="0" borderId="0" xfId="8" applyFont="1">
      <alignment readingOrder="1"/>
    </xf>
    <xf numFmtId="9" fontId="34" fillId="0" borderId="5" xfId="35" applyNumberFormat="1" applyFont="1" applyBorder="1" applyAlignment="1">
      <alignment horizontal="left" vertical="center" wrapText="1" readingOrder="1"/>
    </xf>
    <xf numFmtId="169" fontId="2" fillId="0" borderId="1" xfId="0" applyNumberFormat="1" applyFont="1" applyFill="1" applyBorder="1">
      <alignment readingOrder="1"/>
    </xf>
    <xf numFmtId="169" fontId="2" fillId="10" borderId="1" xfId="0" applyNumberFormat="1" applyFont="1" applyFill="1" applyBorder="1" applyAlignment="1">
      <alignment horizontal="center" readingOrder="1"/>
    </xf>
    <xf numFmtId="169" fontId="2" fillId="0" borderId="2" xfId="0" applyNumberFormat="1" applyFont="1" applyFill="1" applyBorder="1">
      <alignment readingOrder="1"/>
    </xf>
    <xf numFmtId="169" fontId="2" fillId="10" borderId="2" xfId="0" applyNumberFormat="1" applyFont="1" applyFill="1" applyBorder="1" applyAlignment="1">
      <alignment horizontal="center" readingOrder="1"/>
    </xf>
    <xf numFmtId="169" fontId="2" fillId="0" borderId="6" xfId="0" applyNumberFormat="1" applyFont="1" applyFill="1" applyBorder="1">
      <alignment readingOrder="1"/>
    </xf>
    <xf numFmtId="169" fontId="2" fillId="10" borderId="6" xfId="0" applyNumberFormat="1" applyFont="1" applyFill="1" applyBorder="1" applyAlignment="1">
      <alignment horizontal="center" readingOrder="1"/>
    </xf>
    <xf numFmtId="169" fontId="2" fillId="10" borderId="5" xfId="0" applyNumberFormat="1" applyFont="1" applyFill="1" applyBorder="1" applyAlignment="1">
      <alignment horizontal="center" readingOrder="1"/>
    </xf>
    <xf numFmtId="0" fontId="0" fillId="0" borderId="0" xfId="0">
      <alignment readingOrder="1"/>
    </xf>
    <xf numFmtId="0" fontId="19" fillId="14" borderId="5" xfId="213" applyFont="1" applyFill="1" applyBorder="1"/>
    <xf numFmtId="0" fontId="19" fillId="14" borderId="1" xfId="213" applyFont="1" applyFill="1" applyBorder="1"/>
    <xf numFmtId="0" fontId="19" fillId="14" borderId="4" xfId="213" applyFont="1" applyFill="1" applyBorder="1"/>
    <xf numFmtId="0" fontId="19" fillId="14" borderId="3" xfId="213" applyFont="1" applyFill="1" applyBorder="1"/>
    <xf numFmtId="164" fontId="12" fillId="9" borderId="9" xfId="213" applyNumberFormat="1" applyFont="1" applyFill="1" applyBorder="1" applyAlignment="1">
      <alignment horizontal="centerContinuous" wrapText="1" readingOrder="1"/>
    </xf>
    <xf numFmtId="164" fontId="12" fillId="9" borderId="10" xfId="213" applyNumberFormat="1" applyFont="1" applyFill="1" applyBorder="1" applyAlignment="1">
      <alignment horizontal="centerContinuous" wrapText="1" readingOrder="1"/>
    </xf>
    <xf numFmtId="164" fontId="12" fillId="9" borderId="8" xfId="213" applyNumberFormat="1" applyFont="1" applyFill="1" applyBorder="1" applyAlignment="1">
      <alignment horizontal="centerContinuous" wrapText="1" readingOrder="1"/>
    </xf>
    <xf numFmtId="164" fontId="12" fillId="9" borderId="7" xfId="213" applyNumberFormat="1" applyFont="1" applyFill="1" applyBorder="1" applyAlignment="1">
      <alignment horizontal="center" wrapText="1" readingOrder="1"/>
    </xf>
    <xf numFmtId="0" fontId="7" fillId="0" borderId="0" xfId="213"/>
    <xf numFmtId="0" fontId="19" fillId="14" borderId="11" xfId="213" applyFont="1" applyFill="1" applyBorder="1"/>
    <xf numFmtId="0" fontId="19" fillId="14" borderId="12" xfId="213" applyFont="1" applyFill="1" applyBorder="1"/>
    <xf numFmtId="0" fontId="19" fillId="14" borderId="13" xfId="213" applyFont="1" applyFill="1" applyBorder="1"/>
    <xf numFmtId="164" fontId="12" fillId="8" borderId="7" xfId="213" applyNumberFormat="1" applyFont="1" applyFill="1" applyBorder="1" applyAlignment="1">
      <alignment horizontal="center" wrapText="1" readingOrder="1"/>
    </xf>
    <xf numFmtId="0" fontId="19" fillId="6" borderId="5" xfId="213" applyFont="1" applyFill="1" applyBorder="1"/>
    <xf numFmtId="2" fontId="7" fillId="10" borderId="0" xfId="213" applyNumberFormat="1" applyFill="1" applyAlignment="1">
      <alignment horizontal="center" readingOrder="1"/>
    </xf>
    <xf numFmtId="1" fontId="7" fillId="10" borderId="0" xfId="213" applyNumberFormat="1" applyFill="1" applyAlignment="1">
      <alignment horizontal="center" readingOrder="1"/>
    </xf>
    <xf numFmtId="164" fontId="7" fillId="0" borderId="0" xfId="213" applyNumberFormat="1">
      <alignment readingOrder="1"/>
    </xf>
    <xf numFmtId="43" fontId="0" fillId="10" borderId="0" xfId="372" applyFont="1" applyFill="1" applyAlignment="1">
      <alignment horizontal="center" readingOrder="1"/>
    </xf>
    <xf numFmtId="1" fontId="7" fillId="0" borderId="0" xfId="213" applyNumberFormat="1"/>
    <xf numFmtId="0" fontId="0" fillId="0" borderId="0" xfId="0">
      <alignment readingOrder="1"/>
    </xf>
    <xf numFmtId="0" fontId="0" fillId="11" borderId="0" xfId="0" applyFill="1" applyAlignment="1">
      <alignment horizontal="left" vertical="center" readingOrder="1"/>
    </xf>
    <xf numFmtId="0" fontId="12" fillId="3" borderId="1" xfId="2" applyFont="1" applyFill="1" applyBorder="1" applyAlignment="1">
      <alignment horizontal="center"/>
    </xf>
    <xf numFmtId="0" fontId="12" fillId="3" borderId="4" xfId="2" applyFont="1" applyFill="1" applyBorder="1" applyAlignment="1">
      <alignment horizontal="center"/>
    </xf>
    <xf numFmtId="0" fontId="12" fillId="3" borderId="3" xfId="2" applyFont="1" applyFill="1" applyBorder="1" applyAlignment="1">
      <alignment horizontal="center"/>
    </xf>
    <xf numFmtId="0" fontId="9" fillId="4" borderId="2" xfId="0" applyFont="1" applyFill="1" applyBorder="1" applyAlignment="1">
      <alignment horizontal="center"/>
    </xf>
    <xf numFmtId="0" fontId="13" fillId="0" borderId="2" xfId="0" applyFont="1" applyBorder="1" applyAlignment="1">
      <alignment horizontal="center"/>
    </xf>
    <xf numFmtId="0" fontId="13" fillId="59" borderId="5" xfId="2" applyFont="1" applyFill="1" applyBorder="1" applyAlignment="1">
      <alignment horizontal="center"/>
    </xf>
    <xf numFmtId="0" fontId="12" fillId="3" borderId="6" xfId="2" applyFont="1" applyFill="1" applyBorder="1" applyAlignment="1">
      <alignment horizontal="center"/>
    </xf>
    <xf numFmtId="0" fontId="12" fillId="3" borderId="15" xfId="2" applyFont="1" applyFill="1" applyBorder="1" applyAlignment="1">
      <alignment horizontal="center"/>
    </xf>
    <xf numFmtId="0" fontId="12" fillId="3" borderId="7" xfId="2" applyFont="1" applyFill="1" applyBorder="1" applyAlignment="1">
      <alignment horizontal="center"/>
    </xf>
    <xf numFmtId="0" fontId="9" fillId="4" borderId="5" xfId="0" applyFont="1" applyFill="1" applyBorder="1" applyAlignment="1">
      <alignment horizontal="center"/>
    </xf>
    <xf numFmtId="0" fontId="13" fillId="0" borderId="5" xfId="0" applyFont="1" applyBorder="1" applyAlignment="1">
      <alignment horizontal="center"/>
    </xf>
    <xf numFmtId="0" fontId="7" fillId="0" borderId="0" xfId="0" applyFont="1">
      <alignment readingOrder="1"/>
    </xf>
    <xf numFmtId="0" fontId="7" fillId="0" borderId="0" xfId="0" applyFont="1" applyAlignment="1">
      <alignment horizontal="left" vertical="top" wrapText="1" readingOrder="1"/>
    </xf>
    <xf numFmtId="0" fontId="0" fillId="0" borderId="0" xfId="0">
      <alignment readingOrder="1"/>
    </xf>
    <xf numFmtId="0" fontId="7" fillId="0" borderId="0" xfId="247" applyFont="1" applyAlignment="1">
      <alignment horizontal="left" vertical="top" wrapText="1" readingOrder="1"/>
    </xf>
    <xf numFmtId="0" fontId="7" fillId="0" borderId="0" xfId="247" applyFont="1" applyAlignment="1">
      <alignment vertical="top" wrapText="1" readingOrder="1"/>
    </xf>
    <xf numFmtId="0" fontId="7" fillId="0" borderId="0" xfId="247" applyFont="1" applyFill="1" applyBorder="1" applyAlignment="1">
      <alignment vertical="top" wrapText="1" readingOrder="1"/>
    </xf>
    <xf numFmtId="0" fontId="7" fillId="0" borderId="0" xfId="213" applyFont="1">
      <alignment readingOrder="1"/>
    </xf>
    <xf numFmtId="0" fontId="0" fillId="14" borderId="0" xfId="0" applyFill="1">
      <alignment readingOrder="1"/>
    </xf>
    <xf numFmtId="0" fontId="0" fillId="14" borderId="0" xfId="0" applyFill="1" applyAlignment="1">
      <alignment vertical="center" wrapText="1" readingOrder="1"/>
    </xf>
  </cellXfs>
  <cellStyles count="535">
    <cellStyle name="20% - Accent1 2" xfId="37"/>
    <cellStyle name="20% - Accent1 2 2" xfId="38"/>
    <cellStyle name="20% - Accent1 3" xfId="39"/>
    <cellStyle name="20% - Accent1 3 2" xfId="373"/>
    <cellStyle name="20% - Accent1 4" xfId="374"/>
    <cellStyle name="20% - Accent1 4 2" xfId="375"/>
    <cellStyle name="20% - Accent1 5" xfId="376"/>
    <cellStyle name="20% - Accent2 2" xfId="40"/>
    <cellStyle name="20% - Accent2 2 2" xfId="377"/>
    <cellStyle name="20% - Accent2 3" xfId="41"/>
    <cellStyle name="20% - Accent2 3 2" xfId="378"/>
    <cellStyle name="20% - Accent2 4" xfId="379"/>
    <cellStyle name="20% - Accent2 4 2" xfId="380"/>
    <cellStyle name="20% - Accent2 5" xfId="381"/>
    <cellStyle name="20% - Accent3 2" xfId="42"/>
    <cellStyle name="20% - Accent3 2 2" xfId="43"/>
    <cellStyle name="20% - Accent3 3" xfId="44"/>
    <cellStyle name="20% - Accent3 3 2" xfId="382"/>
    <cellStyle name="20% - Accent3 4" xfId="383"/>
    <cellStyle name="20% - Accent3 4 2" xfId="384"/>
    <cellStyle name="20% - Accent3 5" xfId="385"/>
    <cellStyle name="20% - Accent4 2" xfId="45"/>
    <cellStyle name="20% - Accent4 2 2" xfId="46"/>
    <cellStyle name="20% - Accent4 3" xfId="47"/>
    <cellStyle name="20% - Accent4 3 2" xfId="386"/>
    <cellStyle name="20% - Accent4 4" xfId="387"/>
    <cellStyle name="20% - Accent4 4 2" xfId="388"/>
    <cellStyle name="20% - Accent4 5" xfId="389"/>
    <cellStyle name="20% - Accent5 2" xfId="48"/>
    <cellStyle name="20% - Accent5 2 2" xfId="390"/>
    <cellStyle name="20% - Accent5 3" xfId="49"/>
    <cellStyle name="20% - Accent5 3 2" xfId="391"/>
    <cellStyle name="20% - Accent5 4" xfId="392"/>
    <cellStyle name="20% - Accent5 4 2" xfId="393"/>
    <cellStyle name="20% - Accent5 5" xfId="394"/>
    <cellStyle name="20% - Accent6 2" xfId="50"/>
    <cellStyle name="20% - Accent6 2 2" xfId="395"/>
    <cellStyle name="20% - Accent6 3" xfId="51"/>
    <cellStyle name="20% - Accent6 3 2" xfId="396"/>
    <cellStyle name="20% - Accent6 4" xfId="397"/>
    <cellStyle name="20% - Accent6 4 2" xfId="398"/>
    <cellStyle name="20% - Accent6 5" xfId="399"/>
    <cellStyle name="40% - Accent1 2" xfId="52"/>
    <cellStyle name="40% - Accent1 2 2" xfId="53"/>
    <cellStyle name="40% - Accent1 3" xfId="54"/>
    <cellStyle name="40% - Accent1 3 2" xfId="400"/>
    <cellStyle name="40% - Accent1 4" xfId="401"/>
    <cellStyle name="40% - Accent1 4 2" xfId="402"/>
    <cellStyle name="40% - Accent1 5" xfId="403"/>
    <cellStyle name="40% - Accent2 2" xfId="55"/>
    <cellStyle name="40% - Accent2 2 2" xfId="56"/>
    <cellStyle name="40% - Accent2 3" xfId="57"/>
    <cellStyle name="40% - Accent2 3 2" xfId="404"/>
    <cellStyle name="40% - Accent2 4" xfId="405"/>
    <cellStyle name="40% - Accent2 4 2" xfId="406"/>
    <cellStyle name="40% - Accent2 5" xfId="407"/>
    <cellStyle name="40% - Accent3 2" xfId="58"/>
    <cellStyle name="40% - Accent3 2 2" xfId="59"/>
    <cellStyle name="40% - Accent3 3" xfId="60"/>
    <cellStyle name="40% - Accent3 3 2" xfId="408"/>
    <cellStyle name="40% - Accent3 4" xfId="409"/>
    <cellStyle name="40% - Accent3 4 2" xfId="410"/>
    <cellStyle name="40% - Accent3 5" xfId="411"/>
    <cellStyle name="40% - Accent4 2" xfId="61"/>
    <cellStyle name="40% - Accent4 2 2" xfId="62"/>
    <cellStyle name="40% - Accent4 3" xfId="63"/>
    <cellStyle name="40% - Accent4 3 2" xfId="412"/>
    <cellStyle name="40% - Accent4 4" xfId="413"/>
    <cellStyle name="40% - Accent4 4 2" xfId="414"/>
    <cellStyle name="40% - Accent4 5" xfId="415"/>
    <cellStyle name="40% - Accent5 2" xfId="64"/>
    <cellStyle name="40% - Accent5 2 2" xfId="416"/>
    <cellStyle name="40% - Accent5 3" xfId="65"/>
    <cellStyle name="40% - Accent5 3 2" xfId="417"/>
    <cellStyle name="40% - Accent5 4" xfId="418"/>
    <cellStyle name="40% - Accent5 4 2" xfId="419"/>
    <cellStyle name="40% - Accent5 5" xfId="420"/>
    <cellStyle name="40% - Accent6 2" xfId="66"/>
    <cellStyle name="40% - Accent6 2 2" xfId="67"/>
    <cellStyle name="40% - Accent6 3" xfId="68"/>
    <cellStyle name="40% - Accent6 3 2" xfId="421"/>
    <cellStyle name="40% - Accent6 4" xfId="422"/>
    <cellStyle name="40% - Accent6 4 2" xfId="423"/>
    <cellStyle name="40% - Accent6 5" xfId="424"/>
    <cellStyle name="60% - Accent1 2" xfId="69"/>
    <cellStyle name="60% - Accent1 2 2" xfId="70"/>
    <cellStyle name="60% - Accent1 3" xfId="71"/>
    <cellStyle name="60% - Accent2 2" xfId="72"/>
    <cellStyle name="60% - Accent2 2 2" xfId="73"/>
    <cellStyle name="60% - Accent2 3" xfId="74"/>
    <cellStyle name="60% - Accent3 2" xfId="75"/>
    <cellStyle name="60% - Accent3 2 2" xfId="76"/>
    <cellStyle name="60% - Accent3 3" xfId="77"/>
    <cellStyle name="60% - Accent4 2" xfId="78"/>
    <cellStyle name="60% - Accent4 2 2" xfId="79"/>
    <cellStyle name="60% - Accent4 3" xfId="80"/>
    <cellStyle name="60% - Accent5 2" xfId="81"/>
    <cellStyle name="60% - Accent5 3" xfId="82"/>
    <cellStyle name="60% - Accent6 2" xfId="83"/>
    <cellStyle name="60% - Accent6 2 2" xfId="84"/>
    <cellStyle name="60% - Accent6 3" xfId="85"/>
    <cellStyle name="Accent1 - 20%" xfId="86"/>
    <cellStyle name="Accent1 - 40%" xfId="87"/>
    <cellStyle name="Accent1 - 60%" xfId="88"/>
    <cellStyle name="Accent1 2" xfId="89"/>
    <cellStyle name="Accent1 2 2" xfId="90"/>
    <cellStyle name="Accent1 3" xfId="91"/>
    <cellStyle name="Accent2 - 20%" xfId="92"/>
    <cellStyle name="Accent2 - 40%" xfId="93"/>
    <cellStyle name="Accent2 - 60%" xfId="94"/>
    <cellStyle name="Accent2 2" xfId="95"/>
    <cellStyle name="Accent2 3" xfId="96"/>
    <cellStyle name="Accent3 - 20%" xfId="97"/>
    <cellStyle name="Accent3 - 40%" xfId="98"/>
    <cellStyle name="Accent3 - 60%" xfId="99"/>
    <cellStyle name="Accent3 2" xfId="100"/>
    <cellStyle name="Accent3 2 2" xfId="101"/>
    <cellStyle name="Accent3 3" xfId="102"/>
    <cellStyle name="Accent4 - 20%" xfId="103"/>
    <cellStyle name="Accent4 - 40%" xfId="104"/>
    <cellStyle name="Accent4 - 60%" xfId="105"/>
    <cellStyle name="Accent4 2" xfId="106"/>
    <cellStyle name="Accent4 2 2" xfId="107"/>
    <cellStyle name="Accent4 3" xfId="108"/>
    <cellStyle name="Accent5 - 20%" xfId="109"/>
    <cellStyle name="Accent5 - 40%" xfId="110"/>
    <cellStyle name="Accent5 - 60%" xfId="111"/>
    <cellStyle name="Accent5 2" xfId="112"/>
    <cellStyle name="Accent5 3" xfId="113"/>
    <cellStyle name="Accent6 - 20%" xfId="114"/>
    <cellStyle name="Accent6 - 40%" xfId="115"/>
    <cellStyle name="Accent6 - 60%" xfId="116"/>
    <cellStyle name="Accent6 2" xfId="117"/>
    <cellStyle name="Accent6 3" xfId="118"/>
    <cellStyle name="Bad 2" xfId="119"/>
    <cellStyle name="Bad 2 2" xfId="120"/>
    <cellStyle name="Bad 3" xfId="121"/>
    <cellStyle name="Calculation 2" xfId="122"/>
    <cellStyle name="Calculation 2 2" xfId="123"/>
    <cellStyle name="Calculation 3" xfId="124"/>
    <cellStyle name="Check Cell 2" xfId="125"/>
    <cellStyle name="Check Cell 3" xfId="126"/>
    <cellStyle name="Comma [0] 2" xfId="127"/>
    <cellStyle name="Comma 10" xfId="372"/>
    <cellStyle name="Comma 11" xfId="425"/>
    <cellStyle name="Comma 2" xfId="16"/>
    <cellStyle name="Comma 2 2" xfId="128"/>
    <cellStyle name="Comma 2 2 2" xfId="129"/>
    <cellStyle name="Comma 2 2 3" xfId="130"/>
    <cellStyle name="Comma 2 2 3 2" xfId="426"/>
    <cellStyle name="Comma 2 2 4" xfId="427"/>
    <cellStyle name="Comma 2 2 4 2" xfId="428"/>
    <cellStyle name="Comma 2 2 5" xfId="429"/>
    <cellStyle name="Comma 2 2 5 2" xfId="430"/>
    <cellStyle name="Comma 2 2 6" xfId="431"/>
    <cellStyle name="Comma 2 2 6 2" xfId="432"/>
    <cellStyle name="Comma 2 2 7" xfId="433"/>
    <cellStyle name="Comma 2 2 8" xfId="434"/>
    <cellStyle name="Comma 2 3" xfId="131"/>
    <cellStyle name="Comma 2 3 2" xfId="435"/>
    <cellStyle name="Comma 2 4" xfId="132"/>
    <cellStyle name="Comma 2 5" xfId="133"/>
    <cellStyle name="Comma 3" xfId="11"/>
    <cellStyle name="Comma 3 10" xfId="436"/>
    <cellStyle name="Comma 3 2" xfId="134"/>
    <cellStyle name="Comma 3 2 2" xfId="135"/>
    <cellStyle name="Comma 3 2 3" xfId="136"/>
    <cellStyle name="Comma 3 3" xfId="137"/>
    <cellStyle name="Comma 3 3 2" xfId="138"/>
    <cellStyle name="Comma 3 3 3" xfId="139"/>
    <cellStyle name="Comma 3 3 4" xfId="140"/>
    <cellStyle name="Comma 3 4" xfId="141"/>
    <cellStyle name="Comma 3 4 2" xfId="437"/>
    <cellStyle name="Comma 3 5" xfId="438"/>
    <cellStyle name="Comma 3 5 2" xfId="439"/>
    <cellStyle name="Comma 3 6" xfId="440"/>
    <cellStyle name="Comma 3 6 2" xfId="441"/>
    <cellStyle name="Comma 3 7" xfId="442"/>
    <cellStyle name="Comma 3 8" xfId="443"/>
    <cellStyle name="Comma 3 9" xfId="444"/>
    <cellStyle name="Comma 4" xfId="142"/>
    <cellStyle name="Comma 4 2" xfId="143"/>
    <cellStyle name="Comma 4 2 2" xfId="144"/>
    <cellStyle name="Comma 4 3" xfId="145"/>
    <cellStyle name="Comma 5" xfId="146"/>
    <cellStyle name="Comma 5 2" xfId="147"/>
    <cellStyle name="Comma 5 3" xfId="148"/>
    <cellStyle name="Comma 6" xfId="149"/>
    <cellStyle name="Comma 7" xfId="150"/>
    <cellStyle name="Comma 8" xfId="151"/>
    <cellStyle name="Comma 9" xfId="445"/>
    <cellStyle name="Currency" xfId="1" builtinId="4"/>
    <cellStyle name="Currency 2" xfId="17"/>
    <cellStyle name="Currency 2 2" xfId="152"/>
    <cellStyle name="Currency 2 2 2" xfId="153"/>
    <cellStyle name="Currency 2 2 3" xfId="154"/>
    <cellStyle name="Currency 2 3" xfId="155"/>
    <cellStyle name="Currency 2 4" xfId="156"/>
    <cellStyle name="Currency 2 5" xfId="157"/>
    <cellStyle name="Currency 3" xfId="18"/>
    <cellStyle name="Currency 3 2" xfId="158"/>
    <cellStyle name="Currency 3 2 2" xfId="159"/>
    <cellStyle name="Currency 3 2 3" xfId="160"/>
    <cellStyle name="Currency 3 3" xfId="161"/>
    <cellStyle name="Currency 3 4" xfId="162"/>
    <cellStyle name="Currency 3 5" xfId="446"/>
    <cellStyle name="Currency 4" xfId="19"/>
    <cellStyle name="Currency 4 2" xfId="447"/>
    <cellStyle name="Currency 4 3" xfId="448"/>
    <cellStyle name="Currency 5" xfId="163"/>
    <cellStyle name="Currency 5 2" xfId="164"/>
    <cellStyle name="Currency 5 2 2" xfId="165"/>
    <cellStyle name="Currency 5 3" xfId="166"/>
    <cellStyle name="Currency 6" xfId="167"/>
    <cellStyle name="Currency 6 2" xfId="168"/>
    <cellStyle name="Currency 7" xfId="169"/>
    <cellStyle name="Currency 7 2" xfId="170"/>
    <cellStyle name="Currency 8" xfId="171"/>
    <cellStyle name="Data Field" xfId="4"/>
    <cellStyle name="Data Field 2" xfId="172"/>
    <cellStyle name="Data Field 2 2" xfId="173"/>
    <cellStyle name="Data Field 2 3" xfId="174"/>
    <cellStyle name="Data Field 3" xfId="175"/>
    <cellStyle name="Data Field 4" xfId="176"/>
    <cellStyle name="Data Field 5" xfId="449"/>
    <cellStyle name="Data Name" xfId="5"/>
    <cellStyle name="Data Name 2" xfId="20"/>
    <cellStyle name="Data Name 2 2" xfId="450"/>
    <cellStyle name="Data Name 3" xfId="451"/>
    <cellStyle name="Data Name 4" xfId="452"/>
    <cellStyle name="Date/Time" xfId="6"/>
    <cellStyle name="Emphasis 1" xfId="177"/>
    <cellStyle name="Emphasis 2" xfId="178"/>
    <cellStyle name="Emphasis 3" xfId="179"/>
    <cellStyle name="Explanatory Text 2" xfId="180"/>
    <cellStyle name="Explanatory Text 3" xfId="181"/>
    <cellStyle name="Good 2" xfId="182"/>
    <cellStyle name="Good 3" xfId="183"/>
    <cellStyle name="Heading" xfId="7"/>
    <cellStyle name="Heading 1 2" xfId="184"/>
    <cellStyle name="Heading 1 2 2" xfId="185"/>
    <cellStyle name="Heading 1 3" xfId="186"/>
    <cellStyle name="Heading 2 2" xfId="21"/>
    <cellStyle name="Heading 2 3" xfId="22"/>
    <cellStyle name="Heading 3 2" xfId="187"/>
    <cellStyle name="Heading 3 2 2" xfId="188"/>
    <cellStyle name="Heading 3 3" xfId="189"/>
    <cellStyle name="Heading 4 2" xfId="190"/>
    <cellStyle name="Heading 4 2 2" xfId="191"/>
    <cellStyle name="Heading 4 3" xfId="192"/>
    <cellStyle name="Hyperlink" xfId="371" builtinId="8"/>
    <cellStyle name="Hyperlink 2" xfId="23"/>
    <cellStyle name="Hyperlink 2 2" xfId="24"/>
    <cellStyle name="Hyperlink 2 2 2" xfId="193"/>
    <cellStyle name="Hyperlink 2 3" xfId="453"/>
    <cellStyle name="Hyperlink 2_ResWXMF_FY10v2_0" xfId="194"/>
    <cellStyle name="Hyperlink 3" xfId="195"/>
    <cellStyle name="Hyperlink 3 2" xfId="196"/>
    <cellStyle name="Hyperlink 3 2 2" xfId="197"/>
    <cellStyle name="Hyperlink 4" xfId="198"/>
    <cellStyle name="Hyperlink 5" xfId="199"/>
    <cellStyle name="Hyperlink 6" xfId="200"/>
    <cellStyle name="Hyperlink 7" xfId="201"/>
    <cellStyle name="Hyperlink 8" xfId="202"/>
    <cellStyle name="Input 2" xfId="203"/>
    <cellStyle name="Input 3" xfId="204"/>
    <cellStyle name="Linked Cell 2" xfId="205"/>
    <cellStyle name="Linked Cell 3" xfId="206"/>
    <cellStyle name="Neutral 2" xfId="207"/>
    <cellStyle name="Neutral 3" xfId="208"/>
    <cellStyle name="Normal" xfId="0" builtinId="0"/>
    <cellStyle name="Normal 10" xfId="209"/>
    <cellStyle name="Normal 10 2" xfId="210"/>
    <cellStyle name="Normal 11" xfId="211"/>
    <cellStyle name="Normal 11 2" xfId="454"/>
    <cellStyle name="Normal 12" xfId="212"/>
    <cellStyle name="Normal 12 2" xfId="455"/>
    <cellStyle name="Normal 13" xfId="213"/>
    <cellStyle name="Normal 13 2" xfId="214"/>
    <cellStyle name="Normal 13 3" xfId="215"/>
    <cellStyle name="Normal 14" xfId="216"/>
    <cellStyle name="Normal 14 2" xfId="217"/>
    <cellStyle name="Normal 14 2 2" xfId="218"/>
    <cellStyle name="Normal 14 3" xfId="219"/>
    <cellStyle name="Normal 14 3 2" xfId="220"/>
    <cellStyle name="Normal 14 4" xfId="221"/>
    <cellStyle name="Normal 14 5" xfId="456"/>
    <cellStyle name="Normal 15" xfId="222"/>
    <cellStyle name="Normal 15 2" xfId="223"/>
    <cellStyle name="Normal 15 2 2" xfId="224"/>
    <cellStyle name="Normal 15 3" xfId="225"/>
    <cellStyle name="Normal 15 4" xfId="226"/>
    <cellStyle name="Normal 15 5" xfId="457"/>
    <cellStyle name="Normal 16" xfId="227"/>
    <cellStyle name="Normal 16 2" xfId="228"/>
    <cellStyle name="Normal 16 3" xfId="229"/>
    <cellStyle name="Normal 16 4" xfId="458"/>
    <cellStyle name="Normal 17" xfId="230"/>
    <cellStyle name="Normal 17 2" xfId="231"/>
    <cellStyle name="Normal 18" xfId="232"/>
    <cellStyle name="Normal 19" xfId="233"/>
    <cellStyle name="Normal 2" xfId="9"/>
    <cellStyle name="Normal 2 10" xfId="459"/>
    <cellStyle name="Normal 2 11" xfId="460"/>
    <cellStyle name="Normal 2 12" xfId="461"/>
    <cellStyle name="Normal 2 2" xfId="12"/>
    <cellStyle name="Normal 2 2 2" xfId="234"/>
    <cellStyle name="Normal 2 2 2 2" xfId="235"/>
    <cellStyle name="Normal 2 2 2 3" xfId="236"/>
    <cellStyle name="Normal 2 2 3" xfId="237"/>
    <cellStyle name="Normal 2 2 3 2" xfId="238"/>
    <cellStyle name="Normal 2 2 3 3" xfId="239"/>
    <cellStyle name="Normal 2 2 4" xfId="240"/>
    <cellStyle name="Normal 2 2 4 2" xfId="462"/>
    <cellStyle name="Normal 2 2 5" xfId="463"/>
    <cellStyle name="Normal 2 2 6" xfId="464"/>
    <cellStyle name="Normal 2 3" xfId="25"/>
    <cellStyle name="Normal 2 3 2" xfId="241"/>
    <cellStyle name="Normal 2 3 2 2" xfId="242"/>
    <cellStyle name="Normal 2 3 2 2 2" xfId="243"/>
    <cellStyle name="Normal 2 3 2 3" xfId="465"/>
    <cellStyle name="Normal 2 3 3" xfId="244"/>
    <cellStyle name="Normal 2 3 3 2" xfId="245"/>
    <cellStyle name="Normal 2 3 4" xfId="466"/>
    <cellStyle name="Normal 2 4" xfId="246"/>
    <cellStyle name="Normal 2 4 2" xfId="247"/>
    <cellStyle name="Normal 2 4 2 2" xfId="248"/>
    <cellStyle name="Normal 2 4 2 3" xfId="249"/>
    <cellStyle name="Normal 2 4 2 4" xfId="250"/>
    <cellStyle name="Normal 2 4 3" xfId="251"/>
    <cellStyle name="Normal 2 5" xfId="252"/>
    <cellStyle name="Normal 2 5 2" xfId="467"/>
    <cellStyle name="Normal 2 6" xfId="253"/>
    <cellStyle name="Normal 2 6 2" xfId="254"/>
    <cellStyle name="Normal 2 6 2 2" xfId="255"/>
    <cellStyle name="Normal 2 6 2 3" xfId="256"/>
    <cellStyle name="Normal 2 6 3" xfId="257"/>
    <cellStyle name="Normal 2 6 3 2" xfId="258"/>
    <cellStyle name="Normal 2 6 4" xfId="259"/>
    <cellStyle name="Normal 2 6 4 2" xfId="260"/>
    <cellStyle name="Normal 2 6 5" xfId="261"/>
    <cellStyle name="Normal 2 6 6" xfId="262"/>
    <cellStyle name="Normal 2 7" xfId="263"/>
    <cellStyle name="Normal 2 7 2" xfId="264"/>
    <cellStyle name="Normal 2 7 2 2" xfId="265"/>
    <cellStyle name="Normal 2 7 3" xfId="266"/>
    <cellStyle name="Normal 2 8" xfId="267"/>
    <cellStyle name="Normal 2 8 2" xfId="468"/>
    <cellStyle name="Normal 2 9" xfId="268"/>
    <cellStyle name="Normal 2 9 2" xfId="469"/>
    <cellStyle name="Normal 2_EStarLighting_ExistingFY10v1_5_CWv1" xfId="26"/>
    <cellStyle name="Normal 20" xfId="269"/>
    <cellStyle name="Normal 21" xfId="270"/>
    <cellStyle name="Normal 22" xfId="271"/>
    <cellStyle name="Normal 23" xfId="272"/>
    <cellStyle name="Normal 24" xfId="273"/>
    <cellStyle name="Normal 25" xfId="274"/>
    <cellStyle name="Normal 26" xfId="275"/>
    <cellStyle name="Normal 27" xfId="276"/>
    <cellStyle name="Normal 28" xfId="277"/>
    <cellStyle name="Normal 29" xfId="278"/>
    <cellStyle name="Normal 3" xfId="13"/>
    <cellStyle name="Normal 3 2" xfId="27"/>
    <cellStyle name="Normal 3 2 2" xfId="279"/>
    <cellStyle name="Normal 3 2 3" xfId="280"/>
    <cellStyle name="Normal 3 3" xfId="281"/>
    <cellStyle name="Normal 3 3 2" xfId="282"/>
    <cellStyle name="Normal 3 3 2 2" xfId="283"/>
    <cellStyle name="Normal 3 4" xfId="284"/>
    <cellStyle name="Normal 3 4 2" xfId="470"/>
    <cellStyle name="Normal 3 5" xfId="471"/>
    <cellStyle name="Normal 3 66" xfId="285"/>
    <cellStyle name="Normal 30" xfId="286"/>
    <cellStyle name="Normal 31" xfId="287"/>
    <cellStyle name="Normal 32" xfId="288"/>
    <cellStyle name="Normal 33" xfId="289"/>
    <cellStyle name="Normal 34" xfId="290"/>
    <cellStyle name="Normal 35" xfId="291"/>
    <cellStyle name="Normal 36" xfId="292"/>
    <cellStyle name="Normal 37" xfId="293"/>
    <cellStyle name="Normal 38" xfId="294"/>
    <cellStyle name="Normal 39" xfId="295"/>
    <cellStyle name="Normal 4" xfId="14"/>
    <cellStyle name="Normal 4 2" xfId="28"/>
    <cellStyle name="Normal 4 2 2" xfId="472"/>
    <cellStyle name="Normal 4 3" xfId="296"/>
    <cellStyle name="Normal 4 3 2" xfId="297"/>
    <cellStyle name="Normal 4 3 2 2" xfId="298"/>
    <cellStyle name="Normal 4 3 2 3" xfId="299"/>
    <cellStyle name="Normal 4 3 3" xfId="300"/>
    <cellStyle name="Normal 4 3 4" xfId="473"/>
    <cellStyle name="Normal 4 4" xfId="301"/>
    <cellStyle name="Normal 4 4 2" xfId="302"/>
    <cellStyle name="Normal 4 4 3" xfId="303"/>
    <cellStyle name="Normal 4 5" xfId="304"/>
    <cellStyle name="Normal 4 5 2" xfId="305"/>
    <cellStyle name="Normal 4 5 3" xfId="306"/>
    <cellStyle name="Normal 4 6" xfId="307"/>
    <cellStyle name="Normal 4 7" xfId="308"/>
    <cellStyle name="Normal 4 8" xfId="474"/>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8 2" xfId="318"/>
    <cellStyle name="Normal 49" xfId="319"/>
    <cellStyle name="Normal 5" xfId="320"/>
    <cellStyle name="Normal 5 2" xfId="321"/>
    <cellStyle name="Normal 5 2 2" xfId="475"/>
    <cellStyle name="Normal 5 3" xfId="476"/>
    <cellStyle name="Normal 5 3 2" xfId="477"/>
    <cellStyle name="Normal 5 4" xfId="478"/>
    <cellStyle name="Normal 5 4 2" xfId="479"/>
    <cellStyle name="Normal 5 5" xfId="480"/>
    <cellStyle name="Normal 5 5 2" xfId="481"/>
    <cellStyle name="Normal 5 6" xfId="482"/>
    <cellStyle name="Normal 5 6 2" xfId="483"/>
    <cellStyle name="Normal 5 7" xfId="484"/>
    <cellStyle name="Normal 50" xfId="322"/>
    <cellStyle name="Normal 51" xfId="485"/>
    <cellStyle name="Normal 6" xfId="323"/>
    <cellStyle name="Normal 6 2" xfId="486"/>
    <cellStyle name="Normal 6 3" xfId="487"/>
    <cellStyle name="Normal 6 4" xfId="488"/>
    <cellStyle name="Normal 6 5" xfId="489"/>
    <cellStyle name="Normal 7" xfId="324"/>
    <cellStyle name="Normal 7 2" xfId="325"/>
    <cellStyle name="Normal 7 2 2" xfId="490"/>
    <cellStyle name="Normal 7 3" xfId="491"/>
    <cellStyle name="Normal 8" xfId="326"/>
    <cellStyle name="Normal 8 2" xfId="327"/>
    <cellStyle name="Normal 8 2 2" xfId="492"/>
    <cellStyle name="Normal 8 3" xfId="493"/>
    <cellStyle name="Normal 9" xfId="328"/>
    <cellStyle name="Normal 9 2" xfId="329"/>
    <cellStyle name="Normal 9 3" xfId="330"/>
    <cellStyle name="Normal_EStarWASHERResTiersFY07v1_3_postJan07" xfId="370"/>
    <cellStyle name="Normal_MTDUCT" xfId="2"/>
    <cellStyle name="Normal_MTRESAPPLPOT" xfId="36"/>
    <cellStyle name="Normal_PC-LPDPackage-6P-D14" xfId="35"/>
    <cellStyle name="Normal_ProCostFinAssumptions_Sector" xfId="3"/>
    <cellStyle name="Normal_ResDHW_2_0gpmShowerheads_FY07v1_0" xfId="15"/>
    <cellStyle name="Normal_Sheet1" xfId="368"/>
    <cellStyle name="Normal_Sheet2" xfId="369"/>
    <cellStyle name="Note 2" xfId="29"/>
    <cellStyle name="Note 2 2" xfId="331"/>
    <cellStyle name="Note 2 2 2" xfId="494"/>
    <cellStyle name="Note 2 3" xfId="495"/>
    <cellStyle name="Note 2 3 2" xfId="496"/>
    <cellStyle name="Note 2 4" xfId="497"/>
    <cellStyle name="Note 2 4 2" xfId="498"/>
    <cellStyle name="Note 2 5" xfId="499"/>
    <cellStyle name="Note 3" xfId="30"/>
    <cellStyle name="Output 2" xfId="332"/>
    <cellStyle name="Output 2 2" xfId="333"/>
    <cellStyle name="Output 3" xfId="334"/>
    <cellStyle name="Percent" xfId="8" builtinId="5"/>
    <cellStyle name="Percent 2" xfId="31"/>
    <cellStyle name="Percent 2 10" xfId="500"/>
    <cellStyle name="Percent 2 2" xfId="32"/>
    <cellStyle name="Percent 2 2 2" xfId="335"/>
    <cellStyle name="Percent 2 2 2 2" xfId="336"/>
    <cellStyle name="Percent 2 2 2 2 2" xfId="501"/>
    <cellStyle name="Percent 2 2 2 3" xfId="337"/>
    <cellStyle name="Percent 2 2 3" xfId="338"/>
    <cellStyle name="Percent 2 2 4" xfId="339"/>
    <cellStyle name="Percent 2 3" xfId="340"/>
    <cellStyle name="Percent 2 3 2" xfId="341"/>
    <cellStyle name="Percent 2 3 2 2" xfId="502"/>
    <cellStyle name="Percent 2 3 2 2 2" xfId="503"/>
    <cellStyle name="Percent 2 3 2 3" xfId="504"/>
    <cellStyle name="Percent 2 3 2 3 2" xfId="505"/>
    <cellStyle name="Percent 2 3 2 4" xfId="506"/>
    <cellStyle name="Percent 2 3 2 4 2" xfId="507"/>
    <cellStyle name="Percent 2 3 2 5" xfId="508"/>
    <cellStyle name="Percent 2 3 2 6" xfId="509"/>
    <cellStyle name="Percent 2 3 3" xfId="342"/>
    <cellStyle name="Percent 2 4" xfId="510"/>
    <cellStyle name="Percent 2 4 2" xfId="511"/>
    <cellStyle name="Percent 2 4 3" xfId="512"/>
    <cellStyle name="Percent 2 5" xfId="513"/>
    <cellStyle name="Percent 2 5 2" xfId="514"/>
    <cellStyle name="Percent 2 6" xfId="515"/>
    <cellStyle name="Percent 2 6 2" xfId="516"/>
    <cellStyle name="Percent 2 7" xfId="517"/>
    <cellStyle name="Percent 2 7 2" xfId="518"/>
    <cellStyle name="Percent 2 8" xfId="519"/>
    <cellStyle name="Percent 2 9" xfId="520"/>
    <cellStyle name="Percent 3" xfId="10"/>
    <cellStyle name="Percent 3 2" xfId="343"/>
    <cellStyle name="Percent 3 2 2" xfId="344"/>
    <cellStyle name="Percent 3 2 2 2" xfId="521"/>
    <cellStyle name="Percent 3 2 3" xfId="345"/>
    <cellStyle name="Percent 3 2 3 2" xfId="522"/>
    <cellStyle name="Percent 3 2 4" xfId="523"/>
    <cellStyle name="Percent 3 2 4 2" xfId="524"/>
    <cellStyle name="Percent 3 2 5" xfId="525"/>
    <cellStyle name="Percent 3 2 5 2" xfId="526"/>
    <cellStyle name="Percent 3 2 6" xfId="527"/>
    <cellStyle name="Percent 3 2 7" xfId="528"/>
    <cellStyle name="Percent 3 2 8" xfId="529"/>
    <cellStyle name="Percent 3 3" xfId="346"/>
    <cellStyle name="Percent 3 4" xfId="347"/>
    <cellStyle name="Percent 3 5" xfId="530"/>
    <cellStyle name="Percent 4" xfId="348"/>
    <cellStyle name="Percent 4 2" xfId="349"/>
    <cellStyle name="Percent 4 2 2" xfId="531"/>
    <cellStyle name="Percent 4 3" xfId="532"/>
    <cellStyle name="Percent 5" xfId="350"/>
    <cellStyle name="Percent 5 2" xfId="533"/>
    <cellStyle name="Percent 6" xfId="351"/>
    <cellStyle name="Percent 6 2" xfId="352"/>
    <cellStyle name="Percent 7" xfId="353"/>
    <cellStyle name="Percent 8" xfId="354"/>
    <cellStyle name="Percent 9" xfId="534"/>
    <cellStyle name="Sheet Title" xfId="355"/>
    <cellStyle name="Style 1" xfId="356"/>
    <cellStyle name="Style 1 2" xfId="357"/>
    <cellStyle name="Style 28" xfId="358"/>
    <cellStyle name="Title 2" xfId="359"/>
    <cellStyle name="Title 2 2" xfId="360"/>
    <cellStyle name="Title 3" xfId="361"/>
    <cellStyle name="Total 2" xfId="362"/>
    <cellStyle name="Total 2 2" xfId="363"/>
    <cellStyle name="Total 3" xfId="364"/>
    <cellStyle name="Warning Text 2" xfId="365"/>
    <cellStyle name="Warning Text 3" xfId="366"/>
    <cellStyle name="표준 2_WP-1 보고자료 (2009.06.03)" xfId="367"/>
    <cellStyle name="표준_ENERGY CONSUMP" xfId="33"/>
    <cellStyle name="常规_海外市场服务网站资料操作BOM" xfId="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g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venthPlan/Conservation%20Analysis/Com/Interior%20Lighting/PNLPricePerfL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Com Forecast (Base Case)"/>
      <sheetName val="Ind Forecast (Base Case)"/>
      <sheetName val="Ag Forecast (Base Case)"/>
      <sheetName val="DEI (Base Case)"/>
      <sheetName val="Pop Forecast (High Case)"/>
      <sheetName val="Pop Forecast (Low Case)"/>
      <sheetName val="7P Forecasts D2"/>
      <sheetName val="ProCost 6th Plan Inputs"/>
    </sheetNames>
    <sheetDataSet>
      <sheetData sheetId="0"/>
      <sheetData sheetId="1"/>
      <sheetData sheetId="2">
        <row r="12">
          <cell r="AK12">
            <v>2016</v>
          </cell>
        </row>
      </sheetData>
      <sheetData sheetId="3"/>
      <sheetData sheetId="4"/>
      <sheetData sheetId="5">
        <row r="26">
          <cell r="C26" t="str">
            <v>Idaho</v>
          </cell>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v>1.2504100211369894E-4</v>
          </cell>
          <cell r="AK26">
            <v>1.7375879514796466E-4</v>
          </cell>
          <cell r="AL26">
            <v>6.1210927779177624E-4</v>
          </cell>
          <cell r="AM26">
            <v>8.8127487458086599E-4</v>
          </cell>
          <cell r="AN26">
            <v>1.1201972174019578E-3</v>
          </cell>
          <cell r="AO26">
            <v>1.2717867360821197E-3</v>
          </cell>
          <cell r="AP26">
            <v>1.4404642508513471E-3</v>
          </cell>
          <cell r="AQ26">
            <v>1.5874396385228723E-3</v>
          </cell>
          <cell r="AR26">
            <v>1.7204636459112381E-3</v>
          </cell>
          <cell r="AS26">
            <v>1.8289050040785739E-3</v>
          </cell>
          <cell r="AT26">
            <v>1.9377539743383628E-3</v>
          </cell>
          <cell r="AU26">
            <v>2.0316119038316116E-3</v>
          </cell>
          <cell r="AV26">
            <v>2.128079506222659E-3</v>
          </cell>
          <cell r="AW26">
            <v>2.2126572758413075E-3</v>
          </cell>
          <cell r="AX26">
            <v>2.2578225416429688E-3</v>
          </cell>
          <cell r="AY26">
            <v>2.3464540176612314E-3</v>
          </cell>
          <cell r="AZ26">
            <v>2.414467009038601E-3</v>
          </cell>
          <cell r="BA26">
            <v>2.4848313911262653E-3</v>
          </cell>
          <cell r="BB26">
            <v>2.5344116000376449E-3</v>
          </cell>
        </row>
        <row r="27">
          <cell r="C27" t="str">
            <v>Montana</v>
          </cell>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v>1.0848242299839954E-2</v>
          </cell>
          <cell r="AK27">
            <v>1.059267655252486E-2</v>
          </cell>
          <cell r="AL27">
            <v>1.0752312089181865E-2</v>
          </cell>
          <cell r="AM27">
            <v>1.075849831916186E-2</v>
          </cell>
          <cell r="AN27">
            <v>7.6567396067742733E-3</v>
          </cell>
          <cell r="AO27">
            <v>7.6532068711881581E-3</v>
          </cell>
          <cell r="AP27">
            <v>7.9235679867256659E-3</v>
          </cell>
          <cell r="AQ27">
            <v>8.1459053842477987E-3</v>
          </cell>
          <cell r="AR27">
            <v>8.331284422267278E-3</v>
          </cell>
          <cell r="AS27">
            <v>8.47135846405455E-3</v>
          </cell>
          <cell r="AT27">
            <v>8.5938864965773454E-3</v>
          </cell>
          <cell r="AU27">
            <v>8.6866032784890905E-3</v>
          </cell>
          <cell r="AV27">
            <v>8.7680800681235963E-3</v>
          </cell>
          <cell r="AW27">
            <v>8.8271867856936984E-3</v>
          </cell>
          <cell r="AX27">
            <v>8.8355566433926322E-3</v>
          </cell>
          <cell r="AY27">
            <v>8.8812025924713319E-3</v>
          </cell>
          <cell r="AZ27">
            <v>8.8979055290069331E-3</v>
          </cell>
          <cell r="BA27">
            <v>8.9118787925779024E-3</v>
          </cell>
          <cell r="BB27">
            <v>8.9015256915168112E-3</v>
          </cell>
        </row>
        <row r="28">
          <cell r="C28" t="str">
            <v>Oregon</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v>1.0110842680911804E-2</v>
          </cell>
          <cell r="AK28">
            <v>1.0059217505089263E-2</v>
          </cell>
          <cell r="AL28">
            <v>1.1176866051223918E-2</v>
          </cell>
          <cell r="AM28">
            <v>1.9803102619340613E-2</v>
          </cell>
          <cell r="AN28">
            <v>1.2078828157499845E-2</v>
          </cell>
          <cell r="AO28">
            <v>1.2074917420983849E-2</v>
          </cell>
          <cell r="AP28">
            <v>1.2823009061012478E-2</v>
          </cell>
          <cell r="AQ28">
            <v>1.2064646132519813E-2</v>
          </cell>
          <cell r="AR28">
            <v>2.1359830411811859E-2</v>
          </cell>
          <cell r="AS28">
            <v>1.1864279678250279E-2</v>
          </cell>
          <cell r="AT28">
            <v>1.1811806122028052E-2</v>
          </cell>
          <cell r="AU28">
            <v>1.1060463245174785E-2</v>
          </cell>
          <cell r="AV28">
            <v>1.1689201211084101E-2</v>
          </cell>
          <cell r="AW28">
            <v>1.9623204602959039E-2</v>
          </cell>
          <cell r="AX28">
            <v>1.2054155221857031E-2</v>
          </cell>
          <cell r="AY28">
            <v>1.2615728823653952E-2</v>
          </cell>
          <cell r="AZ28">
            <v>1.2496481187089379E-2</v>
          </cell>
          <cell r="BA28">
            <v>1.1753415892541448E-2</v>
          </cell>
          <cell r="BB28">
            <v>2.0946064887122692E-2</v>
          </cell>
        </row>
        <row r="29">
          <cell r="C29" t="str">
            <v>Washington</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v>1.0662122206220235E-2</v>
          </cell>
          <cell r="AK29">
            <v>1.0931258902780325E-2</v>
          </cell>
          <cell r="AL29">
            <v>1.1173761515183053E-2</v>
          </cell>
          <cell r="AM29">
            <v>1.811439906784525E-2</v>
          </cell>
          <cell r="AN29">
            <v>1.2399989211989764E-2</v>
          </cell>
          <cell r="AO29">
            <v>1.1939862954954953E-2</v>
          </cell>
          <cell r="AP29">
            <v>1.2288284859874222E-2</v>
          </cell>
          <cell r="AQ29">
            <v>1.1842226253476947E-2</v>
          </cell>
          <cell r="AR29">
            <v>1.9682157833762929E-2</v>
          </cell>
          <cell r="AS29">
            <v>1.1592234987503456E-2</v>
          </cell>
          <cell r="AT29">
            <v>1.1147844023716795E-2</v>
          </cell>
          <cell r="AU29">
            <v>1.1425985017752077E-2</v>
          </cell>
          <cell r="AV29">
            <v>1.0985810035676221E-2</v>
          </cell>
          <cell r="AW29">
            <v>1.7930228386922677E-2</v>
          </cell>
          <cell r="AX29">
            <v>1.1736355426763144E-2</v>
          </cell>
          <cell r="AY29">
            <v>1.1982095590114178E-2</v>
          </cell>
          <cell r="AZ29">
            <v>1.1862624139313738E-2</v>
          </cell>
          <cell r="BA29">
            <v>1.1418033334772959E-2</v>
          </cell>
          <cell r="BB29">
            <v>1.8838157687553127E-2</v>
          </cell>
        </row>
        <row r="30">
          <cell r="C30" t="str">
            <v>Region</v>
          </cell>
          <cell r="D30"/>
          <cell r="E30"/>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row>
      </sheetData>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Water Applied by Crop"/>
      <sheetName val="Water Use by Sprinklers"/>
      <sheetName val="Energy Expense"/>
      <sheetName val="Depth of Wells"/>
      <sheetName val="Water Use by All Methods"/>
      <sheetName val="Applic Acres"/>
      <sheetName val="Vars"/>
      <sheetName val="Labels"/>
      <sheetName val="Lookup"/>
      <sheetName val="UEC"/>
      <sheetName val="Tracking Status"/>
    </sheetNames>
    <sheetDataSet>
      <sheetData sheetId="0"/>
      <sheetData sheetId="1"/>
      <sheetData sheetId="2"/>
      <sheetData sheetId="3"/>
      <sheetData sheetId="4">
        <row r="8">
          <cell r="B8" t="str">
            <v>Measure Index Name</v>
          </cell>
          <cell r="C8" t="str">
            <v>Idaho</v>
          </cell>
          <cell r="D8" t="str">
            <v>Montana</v>
          </cell>
          <cell r="E8" t="str">
            <v>Oregon</v>
          </cell>
          <cell r="F8" t="str">
            <v>Washington</v>
          </cell>
        </row>
        <row r="9">
          <cell r="B9" t="str">
            <v xml:space="preserve">Wheel/hand line systems: Replace worn nozzle with new flow controlling type nozzle for impact sprinklers </v>
          </cell>
          <cell r="C9">
            <v>0.30000000000000004</v>
          </cell>
          <cell r="D9">
            <v>0.30000000000000004</v>
          </cell>
          <cell r="E9">
            <v>0.30000000000000004</v>
          </cell>
          <cell r="F9">
            <v>0.30000000000000004</v>
          </cell>
        </row>
        <row r="10">
          <cell r="B10" t="str">
            <v xml:space="preserve">Wheel/hand line systems: Replace worn nozzle with new nozzle </v>
          </cell>
          <cell r="C10">
            <v>0.30000000000000004</v>
          </cell>
          <cell r="D10">
            <v>0.30000000000000004</v>
          </cell>
          <cell r="E10">
            <v>0.30000000000000004</v>
          </cell>
          <cell r="F10">
            <v>0.30000000000000004</v>
          </cell>
        </row>
        <row r="11">
          <cell r="B11" t="str">
            <v xml:space="preserve">Wheel/hand line systems: Rebuild or replace leaking impact sprinkler with new or rebuilt impact sprinkler </v>
          </cell>
          <cell r="C11">
            <v>0.30000000000000004</v>
          </cell>
          <cell r="D11">
            <v>0.30000000000000004</v>
          </cell>
          <cell r="E11">
            <v>0.30000000000000004</v>
          </cell>
          <cell r="F11">
            <v>0.30000000000000004</v>
          </cell>
        </row>
        <row r="12">
          <cell r="B12" t="str">
            <v xml:space="preserve">Wheel/hand line systems: Replace leaking gasket with new gasket </v>
          </cell>
          <cell r="C12">
            <v>0.30000000000000004</v>
          </cell>
          <cell r="D12">
            <v>0.30000000000000004</v>
          </cell>
          <cell r="E12">
            <v>0.30000000000000004</v>
          </cell>
          <cell r="F12">
            <v>0.30000000000000004</v>
          </cell>
        </row>
        <row r="13">
          <cell r="B13" t="str">
            <v xml:space="preserve">Wheel/hand line systems: Replace leaking drain with new drain </v>
          </cell>
          <cell r="C13">
            <v>0.30000000000000004</v>
          </cell>
          <cell r="D13">
            <v>0.30000000000000004</v>
          </cell>
          <cell r="E13">
            <v>0.30000000000000004</v>
          </cell>
          <cell r="F13">
            <v>0.30000000000000004</v>
          </cell>
        </row>
        <row r="14">
          <cell r="B14" t="str">
            <v xml:space="preserve">Wheel/hand line systems: Cut and pipe press repair of leaking hand-lines, wheel-lines, and portable main-lines </v>
          </cell>
          <cell r="C14">
            <v>0.30000000000000004</v>
          </cell>
          <cell r="D14">
            <v>0.30000000000000004</v>
          </cell>
          <cell r="E14">
            <v>0.30000000000000004</v>
          </cell>
          <cell r="F14">
            <v>0.30000000000000004</v>
          </cell>
        </row>
        <row r="15">
          <cell r="B15" t="str">
            <v xml:space="preserve">Thunderbird wheel line systems: Replace leaking hub with new hub </v>
          </cell>
          <cell r="C15">
            <v>0.30000000000000004</v>
          </cell>
          <cell r="D15">
            <v>0.30000000000000004</v>
          </cell>
          <cell r="E15">
            <v>0.30000000000000004</v>
          </cell>
          <cell r="F15">
            <v>0.30000000000000004</v>
          </cell>
        </row>
        <row r="16">
          <cell r="B16" t="str">
            <v xml:space="preserve">Wheel line systems: Rebuild or replace leaking or malfunctioning leveler with new or rebuilt leveler. </v>
          </cell>
          <cell r="C16">
            <v>0.30000000000000004</v>
          </cell>
          <cell r="D16">
            <v>0.30000000000000004</v>
          </cell>
          <cell r="E16">
            <v>0.30000000000000004</v>
          </cell>
          <cell r="F16">
            <v>0.30000000000000004</v>
          </cell>
        </row>
        <row r="17">
          <cell r="B17" t="str">
            <v xml:space="preserve">Center pivot/linear move systems: Install new sprinkler package on an existing system. </v>
          </cell>
          <cell r="C17">
            <v>0.30000000000000004</v>
          </cell>
          <cell r="D17">
            <v>0.30000000000000004</v>
          </cell>
          <cell r="E17">
            <v>0.30000000000000004</v>
          </cell>
          <cell r="F17">
            <v>0.30000000000000004</v>
          </cell>
        </row>
        <row r="18">
          <cell r="B18" t="str">
            <v xml:space="preserve">Center pivot/linear move systems: New gooseneck elbows </v>
          </cell>
          <cell r="C18">
            <v>0.30000000000000004</v>
          </cell>
          <cell r="D18">
            <v>0.30000000000000004</v>
          </cell>
          <cell r="E18">
            <v>0.30000000000000004</v>
          </cell>
          <cell r="F18">
            <v>0.30000000000000004</v>
          </cell>
        </row>
        <row r="19">
          <cell r="B19" t="str">
            <v xml:space="preserve">Center pivot/linear move systems: New drop tubes (3 feet minimum) </v>
          </cell>
          <cell r="C19">
            <v>0.30000000000000004</v>
          </cell>
          <cell r="D19">
            <v>0.30000000000000004</v>
          </cell>
          <cell r="E19">
            <v>0.30000000000000004</v>
          </cell>
          <cell r="F19">
            <v>0.30000000000000004</v>
          </cell>
        </row>
        <row r="20">
          <cell r="B20" t="str">
            <v xml:space="preserve">Center pivot/linear move systems: Replace leaking pivot boot gasket with new pivot boot gasket </v>
          </cell>
          <cell r="C20">
            <v>0.30000000000000004</v>
          </cell>
          <cell r="D20">
            <v>0.30000000000000004</v>
          </cell>
          <cell r="E20">
            <v>0.30000000000000004</v>
          </cell>
          <cell r="F20">
            <v>0.30000000000000004</v>
          </cell>
        </row>
        <row r="21">
          <cell r="B21" t="str">
            <v xml:space="preserve">Center pivot/linear move systems: Replace leaking tower gasket with new tower gasket </v>
          </cell>
          <cell r="C21">
            <v>0.30000000000000004</v>
          </cell>
          <cell r="D21">
            <v>0.30000000000000004</v>
          </cell>
          <cell r="E21">
            <v>0.30000000000000004</v>
          </cell>
          <cell r="F21">
            <v>0.30000000000000004</v>
          </cell>
        </row>
        <row r="22">
          <cell r="B22" t="str">
            <v>Convert Medium Pressure Center Pivot to Low pressure system</v>
          </cell>
          <cell r="C22">
            <v>0.19500000000000003</v>
          </cell>
          <cell r="D22">
            <v>0.19500000000000003</v>
          </cell>
          <cell r="E22">
            <v>0.19500000000000003</v>
          </cell>
          <cell r="F22">
            <v>0.19500000000000003</v>
          </cell>
        </row>
        <row r="23">
          <cell r="B23" t="str">
            <v>Convert High Pressure Center Pivot to Low pressure system</v>
          </cell>
          <cell r="C23">
            <v>0.255</v>
          </cell>
          <cell r="D23">
            <v>0.255</v>
          </cell>
          <cell r="E23">
            <v>0.255</v>
          </cell>
          <cell r="F23">
            <v>0.255</v>
          </cell>
        </row>
        <row r="24">
          <cell r="B24" t="str">
            <v>Convert wheel line systems to low pressure systems on alfalfa acreage</v>
          </cell>
          <cell r="C24">
            <v>0.10500000000000001</v>
          </cell>
          <cell r="D24">
            <v>0.10500000000000001</v>
          </cell>
          <cell r="E24">
            <v>0.10500000000000001</v>
          </cell>
          <cell r="F24">
            <v>0.10500000000000001</v>
          </cell>
        </row>
        <row r="25">
          <cell r="B25" t="str">
            <v>Convert hand line systems to low pressure systems on alfalfa acreage</v>
          </cell>
          <cell r="C25">
            <v>0.10500000000000001</v>
          </cell>
          <cell r="D25">
            <v>0.10500000000000001</v>
          </cell>
          <cell r="E25">
            <v>0.10500000000000001</v>
          </cell>
          <cell r="F25">
            <v>0.10500000000000001</v>
          </cell>
        </row>
        <row r="26">
          <cell r="B26" t="str">
            <v>SIS</v>
          </cell>
          <cell r="C26">
            <v>0.85</v>
          </cell>
          <cell r="D26">
            <v>0.85</v>
          </cell>
          <cell r="E26">
            <v>0.85</v>
          </cell>
          <cell r="F26">
            <v>0.85</v>
          </cell>
        </row>
        <row r="27">
          <cell r="B27" t="str">
            <v>LESA</v>
          </cell>
          <cell r="C27">
            <v>0.29699999999999999</v>
          </cell>
          <cell r="D27">
            <v>0.29699999999999999</v>
          </cell>
          <cell r="E27">
            <v>0.29699999999999999</v>
          </cell>
          <cell r="F27">
            <v>0.29699999999999999</v>
          </cell>
        </row>
        <row r="28">
          <cell r="B28" t="str">
            <v>Motor Rewind</v>
          </cell>
          <cell r="C28">
            <v>0.48999999999999994</v>
          </cell>
          <cell r="D28">
            <v>0.48999999999999994</v>
          </cell>
          <cell r="E28">
            <v>0.48999999999999994</v>
          </cell>
          <cell r="F28">
            <v>0.48999999999999994</v>
          </cell>
        </row>
        <row r="29">
          <cell r="B29" t="str">
            <v>Install VSD on Irrigation Pump</v>
          </cell>
          <cell r="C29">
            <v>0.63</v>
          </cell>
          <cell r="D29">
            <v>0.63</v>
          </cell>
          <cell r="E29">
            <v>0.63</v>
          </cell>
          <cell r="F29">
            <v>0.63</v>
          </cell>
        </row>
        <row r="30">
          <cell r="B30" t="str">
            <v>VSD - Vacuum Pump - FreeStall</v>
          </cell>
          <cell r="C30">
            <v>2.5000000000000022E-3</v>
          </cell>
          <cell r="D30">
            <v>2.5000000000000022E-3</v>
          </cell>
          <cell r="E30">
            <v>2.5000000000000022E-3</v>
          </cell>
          <cell r="F30">
            <v>2.5000000000000022E-3</v>
          </cell>
        </row>
        <row r="31">
          <cell r="B31" t="str">
            <v>Plate Milk Pre-cooler - FreeStall</v>
          </cell>
          <cell r="C31">
            <v>4.7500000000000042E-2</v>
          </cell>
          <cell r="D31">
            <v>4.7500000000000042E-2</v>
          </cell>
          <cell r="E31">
            <v>4.7500000000000042E-2</v>
          </cell>
          <cell r="F31">
            <v>4.7500000000000042E-2</v>
          </cell>
        </row>
        <row r="32">
          <cell r="B32" t="str">
            <v>Energy Efficient Lighting - FreeStall</v>
          </cell>
          <cell r="C32">
            <v>0.22596247328595939</v>
          </cell>
          <cell r="D32">
            <v>0.22596247328595939</v>
          </cell>
          <cell r="E32">
            <v>0.22596247328595939</v>
          </cell>
          <cell r="F32">
            <v>0.22596247328595939</v>
          </cell>
        </row>
        <row r="33">
          <cell r="B33" t="str">
            <v>VSD - Vacuum Pump - TieStall</v>
          </cell>
          <cell r="C33">
            <v>0.1604247304551811</v>
          </cell>
          <cell r="D33">
            <v>0.1604247304551811</v>
          </cell>
          <cell r="E33">
            <v>0.1604247304551811</v>
          </cell>
          <cell r="F33">
            <v>0.1604247304551811</v>
          </cell>
        </row>
        <row r="34">
          <cell r="B34" t="str">
            <v>Heat Recovery Refrigeration - TieStall</v>
          </cell>
          <cell r="C34">
            <v>0.84147877475526689</v>
          </cell>
          <cell r="D34">
            <v>0.84147877475526689</v>
          </cell>
          <cell r="E34">
            <v>0.84147877475526689</v>
          </cell>
          <cell r="F34">
            <v>0.84147877475526689</v>
          </cell>
        </row>
        <row r="35">
          <cell r="B35" t="str">
            <v>Plate Milk Pre-Cooler - TieStall</v>
          </cell>
          <cell r="C35">
            <v>0.539760454730004</v>
          </cell>
          <cell r="D35">
            <v>0.539760454730004</v>
          </cell>
          <cell r="E35">
            <v>0.539760454730004</v>
          </cell>
          <cell r="F35">
            <v>0.539760454730004</v>
          </cell>
        </row>
        <row r="36">
          <cell r="B36" t="str">
            <v>Energy Efficient Lighting - TieStall</v>
          </cell>
          <cell r="C36">
            <v>7.1883204763838152E-2</v>
          </cell>
          <cell r="D36">
            <v>7.1883204763838152E-2</v>
          </cell>
          <cell r="E36">
            <v>7.1883204763838152E-2</v>
          </cell>
          <cell r="F36">
            <v>7.1883204763838152E-2</v>
          </cell>
        </row>
        <row r="37">
          <cell r="B37" t="str">
            <v>35-44W LED fixture &amp; NEW Photocell_Replacing_175W MH fixture</v>
          </cell>
          <cell r="C37">
            <v>0.18000000000000002</v>
          </cell>
          <cell r="D37">
            <v>0.18000000000000002</v>
          </cell>
          <cell r="E37">
            <v>0.18000000000000002</v>
          </cell>
          <cell r="F37">
            <v>0.18000000000000002</v>
          </cell>
        </row>
        <row r="38">
          <cell r="B38" t="str">
            <v>35-44W LED fixture &amp; NEW Photocell_Replacing_150W HID fixture</v>
          </cell>
          <cell r="C38">
            <v>0.18000000000000002</v>
          </cell>
          <cell r="D38">
            <v>0.18000000000000002</v>
          </cell>
          <cell r="E38">
            <v>0.18000000000000002</v>
          </cell>
          <cell r="F38">
            <v>0.18000000000000002</v>
          </cell>
        </row>
        <row r="39">
          <cell r="B39" t="str">
            <v>35-44W LED fixture &amp; NEW Photocell_Replacing_100W HID fixture</v>
          </cell>
          <cell r="C39">
            <v>0.18000000000000002</v>
          </cell>
          <cell r="D39">
            <v>0.18000000000000002</v>
          </cell>
          <cell r="E39">
            <v>0.18000000000000002</v>
          </cell>
          <cell r="F39">
            <v>0.18000000000000002</v>
          </cell>
        </row>
        <row r="40">
          <cell r="B40" t="str">
            <v>35-44W LED fixture &amp; NEW Photocell_Replacing_175W MV fixture</v>
          </cell>
          <cell r="C40">
            <v>0.18000000000000002</v>
          </cell>
          <cell r="D40">
            <v>0.18000000000000002</v>
          </cell>
          <cell r="E40">
            <v>0.18000000000000002</v>
          </cell>
          <cell r="F40">
            <v>0.18000000000000002</v>
          </cell>
        </row>
        <row r="41">
          <cell r="B41" t="str">
            <v>35-44W LED fixture &amp; NEW Photocell_Replacing_200W HID fixture</v>
          </cell>
          <cell r="C41">
            <v>0.18000000000000002</v>
          </cell>
          <cell r="D41">
            <v>0.18000000000000002</v>
          </cell>
          <cell r="E41">
            <v>0.18000000000000002</v>
          </cell>
          <cell r="F41">
            <v>0.18000000000000002</v>
          </cell>
        </row>
      </sheetData>
      <sheetData sheetId="5"/>
      <sheetData sheetId="6"/>
      <sheetData sheetId="7"/>
      <sheetData sheetId="8"/>
      <sheetData sheetId="9">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0.17227012335877145</v>
          </cell>
          <cell r="F13">
            <v>0.13416410697161874</v>
          </cell>
          <cell r="G13">
            <v>0.10448711156957236</v>
          </cell>
          <cell r="H13">
            <v>8.1374644311252187E-2</v>
          </cell>
          <cell r="I13">
            <v>6.3374636711760357E-2</v>
          </cell>
          <cell r="J13">
            <v>4.9356216697984623E-2</v>
          </cell>
          <cell r="K13">
            <v>3.8438660213832465E-2</v>
          </cell>
          <cell r="L13">
            <v>2.9936058674748356E-2</v>
          </cell>
          <cell r="M13">
            <v>2.3314225937965505E-2</v>
          </cell>
          <cell r="N13">
            <v>1.8157137417191271E-2</v>
          </cell>
          <cell r="O13">
            <v>1.4140792838843619E-2</v>
          </cell>
          <cell r="P13">
            <v>1.1012860536141922E-2</v>
          </cell>
          <cell r="Q13">
            <v>8.5768244094035495E-3</v>
          </cell>
          <cell r="R13">
            <v>6.6796375663094043E-3</v>
          </cell>
          <cell r="S13">
            <v>5.2021069672748554E-3</v>
          </cell>
          <cell r="T13">
            <v>4.051404979734996E-3</v>
          </cell>
          <cell r="U13">
            <v>3.1552373707569581E-3</v>
          </cell>
          <cell r="V13">
            <v>2.4573013351216755E-3</v>
          </cell>
          <cell r="W13">
            <v>1.913748204035115E-3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Irrigation</v>
          </cell>
          <cell r="B19" t="str">
            <v>Irrigation Hardware - Retro</v>
          </cell>
          <cell r="C19" t="str">
            <v>Retro12Med</v>
          </cell>
          <cell r="D19">
            <v>0.10937459468255628</v>
          </cell>
          <cell r="E19">
            <v>0.125</v>
          </cell>
          <cell r="F19">
            <v>0.13671824335319538</v>
          </cell>
          <cell r="G19">
            <v>0.14299999999999999</v>
          </cell>
          <cell r="H19">
            <v>0.13732859265387931</v>
          </cell>
          <cell r="I19">
            <v>0.11444049387823274</v>
          </cell>
          <cell r="J19">
            <v>8.5830370408674583E-2</v>
          </cell>
          <cell r="K19">
            <v>5.8520707096823443E-2</v>
          </cell>
          <cell r="L19">
            <v>3.6575441935514763E-2</v>
          </cell>
          <cell r="M19">
            <v>2.1101216501258402E-2</v>
          </cell>
          <cell r="N19">
            <v>1.1304223125674251E-2</v>
          </cell>
          <cell r="O19">
            <v>5.652111562837181E-3</v>
          </cell>
          <cell r="P19">
            <v>2.6494272950797759E-3</v>
          </cell>
          <cell r="Q19">
            <v>1.1688649831235187E-3</v>
          </cell>
          <cell r="R19">
            <v>4.8702707630143838E-4</v>
          </cell>
          <cell r="S19">
            <v>1.922475301190385E-4</v>
          </cell>
          <cell r="T19">
            <v>7.2092823794611682E-5</v>
          </cell>
          <cell r="U19">
            <v>2.5747437069512102E-5</v>
          </cell>
          <cell r="V19">
            <v>8.7775353646568632E-6</v>
          </cell>
          <cell r="W19">
            <v>2.8622397928446119E-6</v>
          </cell>
        </row>
        <row r="20">
          <cell r="B20" t="str">
            <v>Dairy - Retro</v>
          </cell>
          <cell r="C20" t="str">
            <v>Retro5Med</v>
          </cell>
          <cell r="D20">
            <v>4.2999999999999997E-2</v>
          </cell>
          <cell r="E20">
            <v>5.279714228027832E-2</v>
          </cell>
          <cell r="F20">
            <v>6.4608251467478173E-2</v>
          </cell>
          <cell r="G20">
            <v>7.4999999999999997E-2</v>
          </cell>
          <cell r="H20">
            <v>8.5546997470333563E-2</v>
          </cell>
          <cell r="I20">
            <v>0.10001472303820647</v>
          </cell>
          <cell r="J20">
            <v>0.10971770435235073</v>
          </cell>
          <cell r="K20">
            <v>0.11208438511970376</v>
          </cell>
          <cell r="L20">
            <v>0.10562608162722853</v>
          </cell>
          <cell r="M20">
            <v>9.0794563997872335E-2</v>
          </cell>
          <cell r="N20">
            <v>7.0260666991849297E-2</v>
          </cell>
          <cell r="O20">
            <v>4.8218360404944538E-2</v>
          </cell>
          <cell r="P20">
            <v>2.8854234614640095E-2</v>
          </cell>
          <cell r="Q20">
            <v>1.4773964924806759E-2</v>
          </cell>
          <cell r="R20">
            <v>6.3385343681182649E-3</v>
          </cell>
          <cell r="S20">
            <v>2.2268577196306039E-3</v>
          </cell>
          <cell r="T20">
            <v>6.2471001963848583E-4</v>
          </cell>
          <cell r="U20">
            <v>1.3615841889635938E-4</v>
          </cell>
          <cell r="V20">
            <v>2.2380636622298944E-5</v>
          </cell>
          <cell r="W20">
            <v>2.68643837586513E-6</v>
          </cell>
        </row>
        <row r="21">
          <cell r="A21" t="str">
            <v>Lighting</v>
          </cell>
          <cell r="B21" t="str">
            <v>Lighting - Retro</v>
          </cell>
          <cell r="C21" t="str">
            <v>Retro20Fast</v>
          </cell>
          <cell r="D21">
            <v>0.22119921692859512</v>
          </cell>
          <cell r="E21">
            <v>0.17227012335877145</v>
          </cell>
          <cell r="F21">
            <v>0.13416410697161874</v>
          </cell>
          <cell r="G21">
            <v>0.10448711156957236</v>
          </cell>
          <cell r="H21">
            <v>8.1374644311252187E-2</v>
          </cell>
          <cell r="I21">
            <v>6.3374636711760357E-2</v>
          </cell>
          <cell r="J21">
            <v>4.9356216697984623E-2</v>
          </cell>
          <cell r="K21">
            <v>3.8438660213832465E-2</v>
          </cell>
          <cell r="L21">
            <v>2.9936058674748356E-2</v>
          </cell>
          <cell r="M21">
            <v>2.3314225937965505E-2</v>
          </cell>
          <cell r="N21">
            <v>1.8157137417191271E-2</v>
          </cell>
          <cell r="O21">
            <v>1.4140792838843619E-2</v>
          </cell>
          <cell r="P21">
            <v>1.1012860536141922E-2</v>
          </cell>
          <cell r="Q21">
            <v>8.5768244094035495E-3</v>
          </cell>
          <cell r="R21">
            <v>6.6796375663094043E-3</v>
          </cell>
          <cell r="S21">
            <v>5.2021069672748554E-3</v>
          </cell>
          <cell r="T21">
            <v>4.051404979734996E-3</v>
          </cell>
          <cell r="U21">
            <v>3.1552373707569581E-3</v>
          </cell>
          <cell r="V21">
            <v>2.4573013351216755E-3</v>
          </cell>
          <cell r="W21">
            <v>1.913748204035115E-3</v>
          </cell>
        </row>
        <row r="22">
          <cell r="A22" t="str">
            <v>Irrigation</v>
          </cell>
          <cell r="B22" t="str">
            <v>Irrigation Eff - Retro</v>
          </cell>
          <cell r="C22" t="str">
            <v>Retro1Slow</v>
          </cell>
          <cell r="D22">
            <v>2.5643970768378654E-3</v>
          </cell>
          <cell r="E22">
            <v>5.1260615529385989E-3</v>
          </cell>
          <cell r="F22">
            <v>9.1015544176433795E-3</v>
          </cell>
          <cell r="G22">
            <v>1.4804925730045659E-2</v>
          </cell>
          <cell r="H22">
            <v>2.2471809420486211E-2</v>
          </cell>
          <cell r="I22">
            <v>3.2184432813882391E-2</v>
          </cell>
          <cell r="J22">
            <v>4.3779667172004086E-2</v>
          </cell>
          <cell r="K22">
            <v>5.675426075474499E-2</v>
          </cell>
          <cell r="L22">
            <v>7.0195239068707532E-2</v>
          </cell>
          <cell r="M22">
            <v>8.2776861842756788E-2</v>
          </cell>
          <cell r="N22">
            <v>9.2870259507494834E-2</v>
          </cell>
          <cell r="O22">
            <v>9.8796470678915727E-2</v>
          </cell>
          <cell r="P22">
            <v>9.9208932889988999E-2</v>
          </cell>
          <cell r="Q22">
            <v>9.3521150494244254E-2</v>
          </cell>
          <cell r="R22">
            <v>8.2226007896862296E-2</v>
          </cell>
          <cell r="S22">
            <v>6.6933566027365665E-2</v>
          </cell>
          <cell r="T22">
            <v>5.0029565143448806E-2</v>
          </cell>
          <cell r="U22">
            <v>3.402486521893211E-2</v>
          </cell>
          <cell r="V22">
            <v>2.0846059340774659E-2</v>
          </cell>
          <cell r="W22">
            <v>0.01</v>
          </cell>
        </row>
        <row r="23">
          <cell r="A23" t="str">
            <v>Irrigation</v>
          </cell>
          <cell r="B23" t="str">
            <v>Irrigation Pressure - Retro</v>
          </cell>
          <cell r="C23" t="str">
            <v>Retro1Slow</v>
          </cell>
          <cell r="D23">
            <v>2.5643970768378654E-3</v>
          </cell>
          <cell r="E23">
            <v>5.1260615529385989E-3</v>
          </cell>
          <cell r="F23">
            <v>9.1015544176433795E-3</v>
          </cell>
          <cell r="G23">
            <v>1.4804925730045659E-2</v>
          </cell>
          <cell r="H23">
            <v>2.2471809420486211E-2</v>
          </cell>
          <cell r="I23">
            <v>3.2184432813882391E-2</v>
          </cell>
          <cell r="J23">
            <v>4.3779667172004086E-2</v>
          </cell>
          <cell r="K23">
            <v>5.675426075474499E-2</v>
          </cell>
          <cell r="L23">
            <v>7.0195239068707532E-2</v>
          </cell>
          <cell r="M23">
            <v>8.2776861842756788E-2</v>
          </cell>
          <cell r="N23">
            <v>9.2870259507494834E-2</v>
          </cell>
          <cell r="O23">
            <v>9.8796470678915727E-2</v>
          </cell>
          <cell r="P23">
            <v>9.9208932889988999E-2</v>
          </cell>
          <cell r="Q23">
            <v>9.3521150494244254E-2</v>
          </cell>
          <cell r="R23">
            <v>8.2226007896862296E-2</v>
          </cell>
          <cell r="S23">
            <v>6.6933566027365665E-2</v>
          </cell>
          <cell r="T23">
            <v>5.0029565143448806E-2</v>
          </cell>
          <cell r="U23">
            <v>3.402486521893211E-2</v>
          </cell>
          <cell r="V23">
            <v>2.0846059340774659E-2</v>
          </cell>
          <cell r="W23">
            <v>0.01</v>
          </cell>
        </row>
        <row r="24">
          <cell r="A24" t="str">
            <v>Motors/Drives</v>
          </cell>
          <cell r="B24" t="str">
            <v>Irr Motor - Retro</v>
          </cell>
          <cell r="C24" t="str">
            <v>Retro12Med</v>
          </cell>
          <cell r="D24">
            <v>0.10937459468255628</v>
          </cell>
          <cell r="E24">
            <v>0.125</v>
          </cell>
          <cell r="F24">
            <v>0.13671824335319538</v>
          </cell>
          <cell r="G24">
            <v>0.14299999999999999</v>
          </cell>
          <cell r="H24">
            <v>0.13732859265387931</v>
          </cell>
          <cell r="I24">
            <v>0.11444049387823274</v>
          </cell>
          <cell r="J24">
            <v>8.5830370408674583E-2</v>
          </cell>
          <cell r="K24">
            <v>5.8520707096823443E-2</v>
          </cell>
          <cell r="L24">
            <v>3.6575441935514763E-2</v>
          </cell>
          <cell r="M24">
            <v>2.1101216501258402E-2</v>
          </cell>
          <cell r="N24">
            <v>1.1304223125674251E-2</v>
          </cell>
          <cell r="O24">
            <v>5.652111562837181E-3</v>
          </cell>
          <cell r="P24">
            <v>2.6494272950797759E-3</v>
          </cell>
          <cell r="Q24">
            <v>1.1688649831235187E-3</v>
          </cell>
          <cell r="R24">
            <v>4.8702707630143838E-4</v>
          </cell>
          <cell r="S24">
            <v>1.922475301190385E-4</v>
          </cell>
          <cell r="T24">
            <v>7.2092823794611682E-5</v>
          </cell>
          <cell r="U24">
            <v>2.5747437069512102E-5</v>
          </cell>
          <cell r="V24">
            <v>8.7775353646568632E-6</v>
          </cell>
          <cell r="W24">
            <v>2.8622397928446119E-6</v>
          </cell>
        </row>
        <row r="25">
          <cell r="A25" t="str">
            <v>Irrigation</v>
          </cell>
          <cell r="B25" t="str">
            <v>Irrigation Water Mgmt - Retro</v>
          </cell>
          <cell r="C25" t="str">
            <v>Retro20Fast</v>
          </cell>
          <cell r="D25">
            <v>0.22119921692859512</v>
          </cell>
          <cell r="E25">
            <v>0.17227012335877145</v>
          </cell>
          <cell r="F25">
            <v>0.13416410697161874</v>
          </cell>
          <cell r="G25">
            <v>0.10448711156957236</v>
          </cell>
          <cell r="H25">
            <v>8.1374644311252187E-2</v>
          </cell>
          <cell r="I25">
            <v>6.3374636711760357E-2</v>
          </cell>
          <cell r="J25">
            <v>4.9356216697984623E-2</v>
          </cell>
          <cell r="K25">
            <v>3.8438660213832465E-2</v>
          </cell>
          <cell r="L25">
            <v>2.9936058674748356E-2</v>
          </cell>
          <cell r="M25">
            <v>2.3314225937965505E-2</v>
          </cell>
          <cell r="N25">
            <v>1.8157137417191271E-2</v>
          </cell>
          <cell r="O25">
            <v>1.4140792838843619E-2</v>
          </cell>
          <cell r="P25">
            <v>1.1012860536141922E-2</v>
          </cell>
          <cell r="Q25">
            <v>8.5768244094035495E-3</v>
          </cell>
          <cell r="R25">
            <v>6.6796375663094043E-3</v>
          </cell>
          <cell r="S25">
            <v>5.2021069672748554E-3</v>
          </cell>
          <cell r="T25">
            <v>4.051404979734996E-3</v>
          </cell>
          <cell r="U25">
            <v>3.1552373707569581E-3</v>
          </cell>
          <cell r="V25">
            <v>2.4573013351216755E-3</v>
          </cell>
          <cell r="W25">
            <v>1.913748204035115E-3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Efficacy"/>
      <sheetName val="Prices"/>
    </sheetNames>
    <sheetDataSet>
      <sheetData sheetId="0">
        <row r="27">
          <cell r="R27">
            <v>86</v>
          </cell>
          <cell r="U27">
            <v>102</v>
          </cell>
        </row>
      </sheetData>
      <sheetData sheetId="1">
        <row r="21">
          <cell r="U21">
            <v>0.81005788606478368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8" Type="http://schemas.openxmlformats.org/officeDocument/2006/relationships/hyperlink" Target="http://www.prolighting.com/lu150-med.html" TargetMode="External"/><Relationship Id="rId13" Type="http://schemas.openxmlformats.org/officeDocument/2006/relationships/hyperlink" Target="http://www.prolighting.com/2015.html" TargetMode="External"/><Relationship Id="rId18" Type="http://schemas.openxmlformats.org/officeDocument/2006/relationships/hyperlink" Target="http://www.lightingsupply.com/mhc150-c-u-m-4k-alto.aspx" TargetMode="External"/><Relationship Id="rId26" Type="http://schemas.openxmlformats.org/officeDocument/2006/relationships/hyperlink" Target="http://www.warehouse-lighting.com/store/p/6122-LED-High-Mount-Area-Light-120-277V-30W.aspx?gdftrk=gdfV25804_a_7c2259_a_7c8441_a_7cMLAR30LED50&amp;gclid=CO-DjKadn70CFYeUfgoduJUAdw" TargetMode="External"/><Relationship Id="rId39" Type="http://schemas.openxmlformats.org/officeDocument/2006/relationships/hyperlink" Target="http://www.1000bulbs.com/product/6006/BS-LU0200MT.html" TargetMode="External"/><Relationship Id="rId3" Type="http://schemas.openxmlformats.org/officeDocument/2006/relationships/hyperlink" Target="http://www.1000bulbs.com/product/7860/BS-LU0150120.html" TargetMode="External"/><Relationship Id="rId21" Type="http://schemas.openxmlformats.org/officeDocument/2006/relationships/hyperlink" Target="http://www.lightingsupply.com/m175-u.aspx" TargetMode="External"/><Relationship Id="rId34" Type="http://schemas.openxmlformats.org/officeDocument/2006/relationships/hyperlink" Target="http://www.1000bulbs.com/product/64022/BV-V90D7130K.html" TargetMode="External"/><Relationship Id="rId42" Type="http://schemas.openxmlformats.org/officeDocument/2006/relationships/vmlDrawing" Target="../drawings/vmlDrawing6.vml"/><Relationship Id="rId7" Type="http://schemas.openxmlformats.org/officeDocument/2006/relationships/hyperlink" Target="http://www.1000bulbs.com/product/2422/LU0100-44037.html" TargetMode="External"/><Relationship Id="rId12" Type="http://schemas.openxmlformats.org/officeDocument/2006/relationships/hyperlink" Target="http://www.1000bulbs.com/product/4745/LU0100-368720.html" TargetMode="External"/><Relationship Id="rId17" Type="http://schemas.openxmlformats.org/officeDocument/2006/relationships/hyperlink" Target="http://www.lightingsupply.com/mh100-u-m-4k-ath.aspx?gclid=CMC0pOuKhrsCFcJ7QgodRB4AcQ" TargetMode="External"/><Relationship Id="rId25" Type="http://schemas.openxmlformats.org/officeDocument/2006/relationships/hyperlink" Target="http://www.lightingsupply.com/mh150w-u-ps-tcp.aspx" TargetMode="External"/><Relationship Id="rId33" Type="http://schemas.openxmlformats.org/officeDocument/2006/relationships/hyperlink" Target="http://www.1000bulbs.com/product/5986/BS-MH0150MT.html" TargetMode="External"/><Relationship Id="rId38" Type="http://schemas.openxmlformats.org/officeDocument/2006/relationships/hyperlink" Target="http://www.1000bulbs.com/product/6006/BS-LU0200MT.html" TargetMode="External"/><Relationship Id="rId2" Type="http://schemas.openxmlformats.org/officeDocument/2006/relationships/hyperlink" Target="http://www.1000bulbs.com/product/3185/BH-S010002C111K.html" TargetMode="External"/><Relationship Id="rId16" Type="http://schemas.openxmlformats.org/officeDocument/2006/relationships/hyperlink" Target="http://www.1000bulbs.com/product/6537/MH-01751.html" TargetMode="External"/><Relationship Id="rId20" Type="http://schemas.openxmlformats.org/officeDocument/2006/relationships/hyperlink" Target="http://www.lightingsupply.com/lu200-eco.aspx" TargetMode="External"/><Relationship Id="rId29" Type="http://schemas.openxmlformats.org/officeDocument/2006/relationships/hyperlink" Target="http://www.1000bulbs.com/product/3197/BH-M010071C512K.html" TargetMode="External"/><Relationship Id="rId41" Type="http://schemas.openxmlformats.org/officeDocument/2006/relationships/hyperlink" Target="http://www.1000bulbs.com/product/57908/BA-71A8970001D.html" TargetMode="External"/><Relationship Id="rId1" Type="http://schemas.openxmlformats.org/officeDocument/2006/relationships/hyperlink" Target="http://www.1000bulbs.com/product/6004/BS-LU0100120.html" TargetMode="External"/><Relationship Id="rId6" Type="http://schemas.openxmlformats.org/officeDocument/2006/relationships/hyperlink" Target="http://www.1000bulbs.com/product/6462/LU0100-67514.html" TargetMode="External"/><Relationship Id="rId11" Type="http://schemas.openxmlformats.org/officeDocument/2006/relationships/hyperlink" Target="http://www.1000bulbs.com/product/6500/MV0175-69445.html" TargetMode="External"/><Relationship Id="rId24" Type="http://schemas.openxmlformats.org/officeDocument/2006/relationships/hyperlink" Target="http://www.1000bulbs.com/product/8031/MH-44810.html" TargetMode="External"/><Relationship Id="rId32" Type="http://schemas.openxmlformats.org/officeDocument/2006/relationships/hyperlink" Target="http://www.1000bulbs.com/pdf/howard-m15071c511dk-specs.pdf" TargetMode="External"/><Relationship Id="rId37" Type="http://schemas.openxmlformats.org/officeDocument/2006/relationships/hyperlink" Target="http://www.1000bulbs.com/product/57894/BA-71A8107500D.html" TargetMode="External"/><Relationship Id="rId40" Type="http://schemas.openxmlformats.org/officeDocument/2006/relationships/hyperlink" Target="http://www.1000bulbs.com/product/112380/BS-ESCA0DD200.html" TargetMode="External"/><Relationship Id="rId5" Type="http://schemas.openxmlformats.org/officeDocument/2006/relationships/hyperlink" Target="http://www.prolighting.com/lu100.html" TargetMode="External"/><Relationship Id="rId15" Type="http://schemas.openxmlformats.org/officeDocument/2006/relationships/hyperlink" Target="http://www.prolighting.com/46317.html" TargetMode="External"/><Relationship Id="rId23" Type="http://schemas.openxmlformats.org/officeDocument/2006/relationships/hyperlink" Target="http://www.prolighting.com/mhc150-u-m-4k.html" TargetMode="External"/><Relationship Id="rId28" Type="http://schemas.openxmlformats.org/officeDocument/2006/relationships/hyperlink" Target="http://www.1000bulbs.com/product/57888/BA-71A8007001DB.html" TargetMode="External"/><Relationship Id="rId36" Type="http://schemas.openxmlformats.org/officeDocument/2006/relationships/hyperlink" Target="http://www.1000bulbs.com/product/5989/BS-MH0175MT.html" TargetMode="External"/><Relationship Id="rId10" Type="http://schemas.openxmlformats.org/officeDocument/2006/relationships/hyperlink" Target="http://www.elightbulbs.com/Philips-319657-H39KB-175-Mercury-Vapor-Light-Bulb&amp;source=GoogleBaseCSE" TargetMode="External"/><Relationship Id="rId19" Type="http://schemas.openxmlformats.org/officeDocument/2006/relationships/hyperlink" Target="http://www.lightingsupply.com/hf175pd.aspx" TargetMode="External"/><Relationship Id="rId31" Type="http://schemas.openxmlformats.org/officeDocument/2006/relationships/hyperlink" Target="http://www.1000bulbs.com/product/7354/BV-V90D5932K.html" TargetMode="External"/><Relationship Id="rId4" Type="http://schemas.openxmlformats.org/officeDocument/2006/relationships/hyperlink" Target="http://www.1000bulbs.com/product/57893/BA-71A8107001DB.html" TargetMode="External"/><Relationship Id="rId9" Type="http://schemas.openxmlformats.org/officeDocument/2006/relationships/hyperlink" Target="http://www.1000bulbs.com/category/200-watt-high-pressure-sodium-lamps/" TargetMode="External"/><Relationship Id="rId14" Type="http://schemas.openxmlformats.org/officeDocument/2006/relationships/hyperlink" Target="http://www.1000bulbs.com/product/60058/PLT-991393.html" TargetMode="External"/><Relationship Id="rId22" Type="http://schemas.openxmlformats.org/officeDocument/2006/relationships/hyperlink" Target="http://www.prolighting.com/mhc100-u-m-4k.html" TargetMode="External"/><Relationship Id="rId27" Type="http://schemas.openxmlformats.org/officeDocument/2006/relationships/hyperlink" Target="http://www.1000bulbs.com/product/7345/BV-V90B1322.html" TargetMode="External"/><Relationship Id="rId30" Type="http://schemas.openxmlformats.org/officeDocument/2006/relationships/hyperlink" Target="http://www.1000bulbs.com/product/5984/BS-MH0100MT.html" TargetMode="External"/><Relationship Id="rId35" Type="http://schemas.openxmlformats.org/officeDocument/2006/relationships/hyperlink" Target="http://www.1000bulbs.com/product/97431/BH-M1754TCWAK.html" TargetMode="External"/><Relationship Id="rId43"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sheetPr codeName="Sheet1"/>
  <dimension ref="C1:F27"/>
  <sheetViews>
    <sheetView topLeftCell="C1" workbookViewId="0">
      <selection activeCell="E14" sqref="E14"/>
    </sheetView>
  </sheetViews>
  <sheetFormatPr defaultRowHeight="15"/>
  <cols>
    <col min="1" max="1" width="4" style="77" customWidth="1"/>
    <col min="2" max="2" width="4.28515625" style="77" customWidth="1"/>
    <col min="3" max="3" width="28.140625" style="77" customWidth="1"/>
    <col min="4" max="4" width="74.42578125" style="77" customWidth="1"/>
    <col min="5" max="5" width="44.7109375" style="77" customWidth="1"/>
    <col min="6" max="6" width="31.5703125" style="77" customWidth="1"/>
    <col min="7" max="16384" width="9.140625" style="77"/>
  </cols>
  <sheetData>
    <row r="1" spans="3:6" ht="15.75" thickBot="1"/>
    <row r="2" spans="3:6" ht="19.5" thickBot="1">
      <c r="C2" s="78" t="s">
        <v>110</v>
      </c>
      <c r="D2" s="79" t="s">
        <v>608</v>
      </c>
      <c r="E2" s="79"/>
      <c r="F2" s="80"/>
    </row>
    <row r="3" spans="3:6">
      <c r="C3" s="81" t="s">
        <v>111</v>
      </c>
      <c r="D3" s="81" t="s">
        <v>386</v>
      </c>
      <c r="E3" s="81" t="s">
        <v>387</v>
      </c>
      <c r="F3" s="81" t="s">
        <v>388</v>
      </c>
    </row>
    <row r="4" spans="3:6">
      <c r="C4" s="82" t="s">
        <v>112</v>
      </c>
      <c r="D4" s="83" t="s">
        <v>609</v>
      </c>
      <c r="E4" s="84"/>
      <c r="F4" s="85" t="s">
        <v>610</v>
      </c>
    </row>
    <row r="5" spans="3:6" ht="30">
      <c r="C5" s="82" t="s">
        <v>113</v>
      </c>
      <c r="D5" s="86" t="s">
        <v>612</v>
      </c>
      <c r="E5" s="84" t="s">
        <v>611</v>
      </c>
      <c r="F5" s="85"/>
    </row>
    <row r="6" spans="3:6">
      <c r="C6" s="82" t="s">
        <v>114</v>
      </c>
      <c r="D6" s="86" t="s">
        <v>613</v>
      </c>
      <c r="E6" s="86" t="s">
        <v>614</v>
      </c>
      <c r="F6" s="85"/>
    </row>
    <row r="7" spans="3:6" ht="30">
      <c r="C7" s="82" t="s">
        <v>115</v>
      </c>
      <c r="D7" s="392">
        <v>0.1</v>
      </c>
      <c r="E7" s="86" t="s">
        <v>616</v>
      </c>
      <c r="F7" s="85"/>
    </row>
    <row r="8" spans="3:6">
      <c r="C8" s="82" t="s">
        <v>116</v>
      </c>
      <c r="D8" s="86" t="s">
        <v>389</v>
      </c>
      <c r="E8" s="87"/>
      <c r="F8" s="85"/>
    </row>
    <row r="9" spans="3:6" ht="30">
      <c r="C9" s="82" t="s">
        <v>117</v>
      </c>
      <c r="D9" s="86" t="s">
        <v>617</v>
      </c>
      <c r="E9" s="87" t="s">
        <v>618</v>
      </c>
      <c r="F9" s="85"/>
    </row>
    <row r="10" spans="3:6">
      <c r="C10" s="82" t="s">
        <v>118</v>
      </c>
      <c r="D10" s="86" t="s">
        <v>619</v>
      </c>
      <c r="E10" s="86"/>
      <c r="F10" s="85"/>
    </row>
    <row r="11" spans="3:6">
      <c r="C11" s="82" t="s">
        <v>119</v>
      </c>
      <c r="D11" s="88" t="s">
        <v>620</v>
      </c>
      <c r="E11" s="87"/>
      <c r="F11" s="85"/>
    </row>
    <row r="12" spans="3:6">
      <c r="C12" s="82" t="s">
        <v>120</v>
      </c>
      <c r="D12" s="88" t="s">
        <v>621</v>
      </c>
      <c r="E12" s="87"/>
      <c r="F12" s="85"/>
    </row>
    <row r="13" spans="3:6" ht="30">
      <c r="C13" s="82" t="s">
        <v>121</v>
      </c>
      <c r="D13" s="88" t="s">
        <v>633</v>
      </c>
      <c r="E13" s="87" t="s">
        <v>634</v>
      </c>
      <c r="F13" s="85"/>
    </row>
    <row r="21" spans="3:3">
      <c r="C21" s="89"/>
    </row>
    <row r="22" spans="3:3">
      <c r="C22" s="89"/>
    </row>
    <row r="23" spans="3:3">
      <c r="C23" s="89"/>
    </row>
    <row r="24" spans="3:3">
      <c r="C24" s="89"/>
    </row>
    <row r="25" spans="3:3">
      <c r="C25" s="89"/>
    </row>
    <row r="26" spans="3:3">
      <c r="C26" s="89"/>
    </row>
    <row r="27" spans="3:3">
      <c r="C27" s="8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9"/>
  <dimension ref="A1:K147"/>
  <sheetViews>
    <sheetView workbookViewId="0">
      <selection activeCell="M36" sqref="M36"/>
    </sheetView>
  </sheetViews>
  <sheetFormatPr defaultRowHeight="12.75"/>
  <cols>
    <col min="1" max="1" width="4.85546875" customWidth="1"/>
    <col min="2" max="2" width="25.28515625" bestFit="1" customWidth="1"/>
    <col min="3" max="3" width="14.140625" customWidth="1"/>
    <col min="4" max="4" width="14" customWidth="1"/>
  </cols>
  <sheetData>
    <row r="1" spans="1:11">
      <c r="A1" s="7"/>
      <c r="B1" s="208" t="s">
        <v>596</v>
      </c>
      <c r="C1" s="7"/>
      <c r="D1" s="7"/>
      <c r="E1" s="7"/>
      <c r="F1" s="7"/>
      <c r="G1" s="7"/>
      <c r="H1" s="7"/>
      <c r="I1" s="7"/>
      <c r="J1" s="7"/>
      <c r="K1" s="7"/>
    </row>
    <row r="2" spans="1:11" ht="102">
      <c r="A2" s="7"/>
      <c r="B2" s="212" t="s">
        <v>424</v>
      </c>
      <c r="C2" s="213" t="s">
        <v>425</v>
      </c>
      <c r="D2" s="213" t="s">
        <v>426</v>
      </c>
      <c r="E2" s="214" t="s">
        <v>427</v>
      </c>
      <c r="F2" s="214" t="s">
        <v>428</v>
      </c>
      <c r="G2" s="214" t="s">
        <v>429</v>
      </c>
      <c r="H2" s="214" t="s">
        <v>430</v>
      </c>
      <c r="I2" s="214" t="s">
        <v>431</v>
      </c>
      <c r="J2" s="7"/>
      <c r="K2" s="7"/>
    </row>
    <row r="3" spans="1:11">
      <c r="A3" s="7"/>
      <c r="B3" s="215" t="s">
        <v>432</v>
      </c>
      <c r="C3" s="393">
        <f>'RawCost&amp;PowerData'!I5*Assumptions!$G$10*$C$13</f>
        <v>202.51447151619593</v>
      </c>
      <c r="D3" s="393">
        <f>Assumptions!$G$22*Assumptions!$G$9</f>
        <v>39.840000000000003</v>
      </c>
      <c r="E3" s="393">
        <f>C3-$C$6</f>
        <v>185.36304294476736</v>
      </c>
      <c r="F3" s="393">
        <f>C3-$C$7</f>
        <v>186.7511381828626</v>
      </c>
      <c r="G3" s="393">
        <f>C3-$C$8</f>
        <v>188.33447151619592</v>
      </c>
      <c r="H3" s="394" t="s">
        <v>389</v>
      </c>
      <c r="I3" s="395">
        <f>D3-$D$6</f>
        <v>12</v>
      </c>
      <c r="J3" s="7"/>
      <c r="K3" s="7"/>
    </row>
    <row r="4" spans="1:11">
      <c r="A4" s="7"/>
      <c r="B4" s="216" t="s">
        <v>433</v>
      </c>
      <c r="C4" s="393">
        <f>('RawCost&amp;PowerData'!I6+Assumptions!$G$11)*Assumptions!$G$10*$C$13</f>
        <v>226.81620809813944</v>
      </c>
      <c r="D4" s="393">
        <f>Assumptions!$G$23*Assumptions!$G$9</f>
        <v>63.84</v>
      </c>
      <c r="E4" s="393">
        <f t="shared" ref="E4:E5" si="0">C4-$C$6</f>
        <v>209.66477952671087</v>
      </c>
      <c r="F4" s="393">
        <f t="shared" ref="F4:F5" si="1">C4-$C$7</f>
        <v>211.05287476480612</v>
      </c>
      <c r="G4" s="393">
        <f t="shared" ref="G4:G5" si="2">C4-$C$8</f>
        <v>212.63620809813943</v>
      </c>
      <c r="H4" s="393">
        <f t="shared" ref="H4" si="3">C4-$C$9</f>
        <v>211.19620809813944</v>
      </c>
      <c r="I4" s="395">
        <f t="shared" ref="I4:I5" si="4">D4-$D$6</f>
        <v>36</v>
      </c>
      <c r="J4" s="7"/>
      <c r="K4" s="7"/>
    </row>
    <row r="5" spans="1:11">
      <c r="A5" s="7"/>
      <c r="B5" s="216" t="s">
        <v>434</v>
      </c>
      <c r="C5" s="393">
        <f>('RawCost&amp;PowerData'!I7+Assumptions!$G$11)*Assumptions!$G$10*C13</f>
        <v>186.31331379490024</v>
      </c>
      <c r="D5" s="393">
        <f>Assumptions!$G$23*Assumptions!$G$9</f>
        <v>63.84</v>
      </c>
      <c r="E5" s="393">
        <f t="shared" si="0"/>
        <v>169.16188522347167</v>
      </c>
      <c r="F5" s="393">
        <f t="shared" si="1"/>
        <v>170.54998046156692</v>
      </c>
      <c r="G5" s="393">
        <f t="shared" si="2"/>
        <v>172.13331379490023</v>
      </c>
      <c r="H5" s="394" t="s">
        <v>389</v>
      </c>
      <c r="I5" s="395">
        <f t="shared" si="4"/>
        <v>36</v>
      </c>
      <c r="J5" s="7"/>
      <c r="K5" s="7"/>
    </row>
    <row r="6" spans="1:11">
      <c r="A6" s="7"/>
      <c r="B6" s="215" t="s">
        <v>435</v>
      </c>
      <c r="C6" s="393">
        <f>AVERAGE('RawCost&amp;PowerData'!I8:I14)*Assumptions!G10</f>
        <v>17.151428571428571</v>
      </c>
      <c r="D6" s="393">
        <f>Assumptions!$G$21*Assumptions!$G$9</f>
        <v>27.840000000000003</v>
      </c>
      <c r="E6" s="394" t="s">
        <v>389</v>
      </c>
      <c r="F6" s="394" t="s">
        <v>389</v>
      </c>
      <c r="G6" s="394" t="s">
        <v>389</v>
      </c>
      <c r="H6" s="394" t="s">
        <v>389</v>
      </c>
      <c r="I6" s="396" t="s">
        <v>389</v>
      </c>
      <c r="J6" s="7"/>
      <c r="K6" s="7"/>
    </row>
    <row r="7" spans="1:11">
      <c r="A7" s="7"/>
      <c r="B7" s="215" t="s">
        <v>436</v>
      </c>
      <c r="C7" s="393">
        <f>AVERAGE('RawCost&amp;PowerData'!I15:I20)*Assumptions!G10</f>
        <v>15.76333333333333</v>
      </c>
      <c r="D7" s="393">
        <f>Assumptions!$G$21*Assumptions!$G$9</f>
        <v>27.840000000000003</v>
      </c>
      <c r="E7" s="394" t="s">
        <v>389</v>
      </c>
      <c r="F7" s="394" t="s">
        <v>389</v>
      </c>
      <c r="G7" s="394" t="s">
        <v>389</v>
      </c>
      <c r="H7" s="394" t="s">
        <v>389</v>
      </c>
      <c r="I7" s="396" t="s">
        <v>389</v>
      </c>
      <c r="J7" s="7"/>
      <c r="K7" s="7"/>
    </row>
    <row r="8" spans="1:11">
      <c r="A8" s="7"/>
      <c r="B8" s="215" t="s">
        <v>437</v>
      </c>
      <c r="C8" s="393">
        <f>AVERAGE('RawCost&amp;PowerData'!I24:I26)*Assumptions!G10</f>
        <v>14.18</v>
      </c>
      <c r="D8" s="393">
        <f>Assumptions!$G$21*Assumptions!$G$9</f>
        <v>27.840000000000003</v>
      </c>
      <c r="E8" s="394" t="s">
        <v>389</v>
      </c>
      <c r="F8" s="394" t="s">
        <v>389</v>
      </c>
      <c r="G8" s="394" t="s">
        <v>389</v>
      </c>
      <c r="H8" s="394" t="s">
        <v>389</v>
      </c>
      <c r="I8" s="396" t="s">
        <v>389</v>
      </c>
      <c r="J8" s="7"/>
      <c r="K8" s="7"/>
    </row>
    <row r="9" spans="1:11">
      <c r="A9" s="7"/>
      <c r="B9" s="217" t="s">
        <v>438</v>
      </c>
      <c r="C9" s="397">
        <f>AVERAGE('RawCost&amp;PowerData'!I27:I29)*Assumptions!G10</f>
        <v>15.62</v>
      </c>
      <c r="D9" s="397">
        <f>Assumptions!$G$21*Assumptions!$G$9</f>
        <v>27.840000000000003</v>
      </c>
      <c r="E9" s="398" t="s">
        <v>389</v>
      </c>
      <c r="F9" s="398" t="s">
        <v>389</v>
      </c>
      <c r="G9" s="398" t="s">
        <v>389</v>
      </c>
      <c r="H9" s="398" t="s">
        <v>389</v>
      </c>
      <c r="I9" s="399" t="s">
        <v>389</v>
      </c>
      <c r="J9" s="7"/>
      <c r="K9" s="7"/>
    </row>
    <row r="10" spans="1:11">
      <c r="A10" s="7"/>
      <c r="B10" s="211"/>
      <c r="C10" s="7"/>
      <c r="D10" s="7"/>
      <c r="E10" s="7"/>
      <c r="F10" s="7"/>
      <c r="G10" s="7"/>
      <c r="H10" s="7"/>
      <c r="I10" s="7"/>
      <c r="J10" s="7"/>
      <c r="K10" s="7"/>
    </row>
    <row r="11" spans="1:11">
      <c r="A11" s="7"/>
      <c r="B11" s="7"/>
      <c r="C11" s="7"/>
      <c r="D11" s="7"/>
      <c r="E11" s="7"/>
      <c r="F11" s="7"/>
      <c r="G11" s="7"/>
      <c r="H11" s="7"/>
      <c r="I11" s="7"/>
      <c r="J11" s="7"/>
      <c r="K11" s="7"/>
    </row>
    <row r="12" spans="1:11">
      <c r="A12" s="7"/>
      <c r="B12" s="7"/>
      <c r="C12" s="387" t="s">
        <v>595</v>
      </c>
      <c r="D12" s="387"/>
      <c r="E12" s="387"/>
      <c r="F12" s="7"/>
      <c r="G12" s="7"/>
      <c r="H12" s="7"/>
      <c r="I12" s="7"/>
      <c r="J12" s="7"/>
      <c r="K12" s="7"/>
    </row>
    <row r="13" spans="1:11">
      <c r="A13" s="7"/>
      <c r="C13" s="389">
        <f>[3]Prices!$U$21</f>
        <v>0.81005788606478368</v>
      </c>
      <c r="D13" s="387"/>
      <c r="E13" s="387"/>
      <c r="F13" s="7"/>
      <c r="G13" s="7"/>
      <c r="H13" s="7"/>
      <c r="I13" s="7"/>
      <c r="J13" s="7"/>
      <c r="K13" s="7"/>
    </row>
    <row r="14" spans="1:11">
      <c r="A14" s="7"/>
    </row>
    <row r="15" spans="1:11">
      <c r="A15" s="7"/>
    </row>
    <row r="16" spans="1:11">
      <c r="A16" s="7"/>
      <c r="J16" s="7"/>
      <c r="K16" s="7"/>
    </row>
    <row r="17" spans="1:11">
      <c r="A17" s="7"/>
      <c r="J17" s="7"/>
      <c r="K17" s="7"/>
    </row>
    <row r="18" spans="1:11">
      <c r="A18" s="7"/>
      <c r="J18" s="7"/>
      <c r="K18" s="7"/>
    </row>
    <row r="19" spans="1:11">
      <c r="A19" s="7"/>
      <c r="J19" s="7"/>
      <c r="K19" s="7"/>
    </row>
    <row r="20" spans="1:11" ht="15">
      <c r="A20" s="144"/>
    </row>
    <row r="21" spans="1:11" ht="15">
      <c r="A21" s="144"/>
    </row>
    <row r="22" spans="1:11" ht="15">
      <c r="A22" s="147"/>
    </row>
    <row r="23" spans="1:11" ht="15">
      <c r="A23" s="147"/>
    </row>
    <row r="24" spans="1:11" ht="15">
      <c r="A24" s="147"/>
      <c r="B24" s="148"/>
      <c r="C24" s="148"/>
      <c r="D24" s="149"/>
    </row>
    <row r="25" spans="1:11" ht="15">
      <c r="A25" s="147"/>
      <c r="B25" s="148"/>
      <c r="C25" s="148"/>
      <c r="D25" s="149"/>
    </row>
    <row r="26" spans="1:11" ht="15">
      <c r="A26" s="147"/>
      <c r="B26" s="148"/>
      <c r="C26" s="148"/>
      <c r="D26" s="149"/>
    </row>
    <row r="27" spans="1:11" ht="15">
      <c r="A27" s="147"/>
      <c r="B27" s="148"/>
      <c r="C27" s="148"/>
      <c r="D27" s="149"/>
    </row>
    <row r="28" spans="1:11" ht="15">
      <c r="A28" s="144"/>
      <c r="B28" s="145"/>
      <c r="C28" s="145"/>
      <c r="D28" s="146"/>
    </row>
    <row r="29" spans="1:11" ht="15">
      <c r="A29" s="147"/>
      <c r="B29" s="148"/>
      <c r="C29" s="148"/>
      <c r="D29" s="149"/>
    </row>
    <row r="30" spans="1:11" ht="15">
      <c r="A30" s="147"/>
      <c r="B30" s="148"/>
      <c r="C30" s="148"/>
      <c r="D30" s="149"/>
    </row>
    <row r="31" spans="1:11" ht="15">
      <c r="A31" s="147"/>
      <c r="B31" s="148"/>
      <c r="C31" s="148"/>
      <c r="D31" s="149"/>
    </row>
    <row r="32" spans="1:11" ht="15">
      <c r="A32" s="147"/>
      <c r="B32" s="148"/>
      <c r="C32" s="148"/>
      <c r="D32" s="149"/>
    </row>
    <row r="33" spans="1:4" ht="15">
      <c r="A33" s="147"/>
      <c r="B33" s="148"/>
      <c r="C33" s="148"/>
      <c r="D33" s="149"/>
    </row>
    <row r="34" spans="1:4" ht="15">
      <c r="A34" s="147"/>
      <c r="B34" s="148"/>
      <c r="C34" s="148"/>
      <c r="D34" s="149"/>
    </row>
    <row r="35" spans="1:4" ht="15">
      <c r="A35" s="147"/>
      <c r="B35" s="150"/>
      <c r="C35" s="148"/>
      <c r="D35" s="149"/>
    </row>
    <row r="36" spans="1:4" ht="15">
      <c r="A36" s="147"/>
      <c r="B36" s="150"/>
      <c r="C36" s="148"/>
      <c r="D36" s="149"/>
    </row>
    <row r="37" spans="1:4" ht="15">
      <c r="A37" s="147"/>
      <c r="B37" s="150"/>
      <c r="C37" s="148"/>
      <c r="D37" s="149"/>
    </row>
    <row r="38" spans="1:4" ht="15">
      <c r="A38" s="147"/>
      <c r="B38" s="150"/>
      <c r="C38" s="148"/>
      <c r="D38" s="149"/>
    </row>
    <row r="39" spans="1:4" ht="15">
      <c r="A39" s="147"/>
      <c r="B39" s="150"/>
      <c r="C39" s="148"/>
      <c r="D39" s="149"/>
    </row>
    <row r="40" spans="1:4" ht="15">
      <c r="A40" s="144"/>
      <c r="B40" s="151"/>
      <c r="C40" s="145"/>
      <c r="D40" s="146"/>
    </row>
    <row r="41" spans="1:4" ht="15">
      <c r="A41" s="147"/>
      <c r="B41" s="150"/>
      <c r="C41" s="148"/>
      <c r="D41" s="149"/>
    </row>
    <row r="42" spans="1:4" ht="15">
      <c r="A42" s="147"/>
      <c r="B42" s="150"/>
      <c r="C42" s="148"/>
      <c r="D42" s="149"/>
    </row>
    <row r="43" spans="1:4" ht="15">
      <c r="A43" s="144"/>
      <c r="B43" s="151"/>
      <c r="C43" s="145"/>
      <c r="D43" s="146"/>
    </row>
    <row r="44" spans="1:4" ht="15">
      <c r="A44" s="147"/>
      <c r="B44" s="150"/>
      <c r="C44" s="148"/>
      <c r="D44" s="149"/>
    </row>
    <row r="45" spans="1:4" ht="15">
      <c r="A45" s="147"/>
      <c r="B45" s="150"/>
      <c r="C45" s="148"/>
      <c r="D45" s="149"/>
    </row>
    <row r="46" spans="1:4" ht="15">
      <c r="A46" s="147"/>
      <c r="B46" s="148"/>
      <c r="C46" s="148"/>
      <c r="D46" s="149"/>
    </row>
    <row r="47" spans="1:4" ht="15">
      <c r="A47" s="147"/>
      <c r="B47" s="148"/>
      <c r="C47" s="148"/>
      <c r="D47" s="149"/>
    </row>
    <row r="48" spans="1:4" ht="15">
      <c r="A48" s="147"/>
      <c r="B48" s="148"/>
      <c r="C48" s="148"/>
      <c r="D48" s="149"/>
    </row>
    <row r="49" spans="1:4" ht="15">
      <c r="A49" s="147"/>
      <c r="B49" s="148"/>
      <c r="C49" s="148"/>
      <c r="D49" s="149"/>
    </row>
    <row r="50" spans="1:4" ht="15">
      <c r="A50" s="147"/>
      <c r="B50" s="148"/>
      <c r="C50" s="148"/>
      <c r="D50" s="149"/>
    </row>
    <row r="51" spans="1:4" ht="15">
      <c r="A51" s="147"/>
      <c r="B51" s="148"/>
      <c r="C51" s="148"/>
      <c r="D51" s="149"/>
    </row>
    <row r="52" spans="1:4" ht="15">
      <c r="A52" s="147"/>
      <c r="B52" s="148"/>
      <c r="C52" s="148"/>
      <c r="D52" s="149"/>
    </row>
    <row r="53" spans="1:4" ht="15">
      <c r="A53" s="147"/>
      <c r="B53" s="150"/>
      <c r="C53" s="148"/>
      <c r="D53" s="149"/>
    </row>
    <row r="54" spans="1:4" ht="15">
      <c r="A54" s="144"/>
      <c r="B54" s="145"/>
      <c r="C54" s="145"/>
      <c r="D54" s="146"/>
    </row>
    <row r="55" spans="1:4" ht="15">
      <c r="A55" s="147"/>
      <c r="B55" s="150"/>
      <c r="C55" s="148"/>
      <c r="D55" s="149"/>
    </row>
    <row r="56" spans="1:4" ht="15">
      <c r="A56" s="147"/>
      <c r="B56" s="148"/>
      <c r="C56" s="148"/>
      <c r="D56" s="149"/>
    </row>
    <row r="57" spans="1:4" ht="15">
      <c r="A57" s="147"/>
      <c r="B57" s="150"/>
      <c r="C57" s="148"/>
      <c r="D57" s="149"/>
    </row>
    <row r="58" spans="1:4" ht="15">
      <c r="A58" s="144"/>
      <c r="B58" s="145"/>
      <c r="C58" s="145"/>
      <c r="D58" s="146"/>
    </row>
    <row r="59" spans="1:4" ht="15">
      <c r="A59" s="147"/>
      <c r="B59" s="148"/>
      <c r="C59" s="148"/>
      <c r="D59" s="149"/>
    </row>
    <row r="60" spans="1:4" ht="15">
      <c r="A60" s="147"/>
      <c r="B60" s="150"/>
      <c r="C60" s="148"/>
      <c r="D60" s="149"/>
    </row>
    <row r="61" spans="1:4" ht="15">
      <c r="A61" s="147"/>
      <c r="B61" s="148"/>
      <c r="C61" s="148"/>
      <c r="D61" s="149"/>
    </row>
    <row r="62" spans="1:4" ht="15">
      <c r="A62" s="147"/>
      <c r="B62" s="150"/>
      <c r="C62" s="148"/>
      <c r="D62" s="149"/>
    </row>
    <row r="63" spans="1:4" ht="15">
      <c r="A63" s="147"/>
      <c r="B63" s="148"/>
      <c r="C63" s="148"/>
      <c r="D63" s="149"/>
    </row>
    <row r="64" spans="1:4" ht="15">
      <c r="A64" s="147"/>
      <c r="B64" s="148"/>
      <c r="C64" s="148"/>
      <c r="D64" s="149"/>
    </row>
    <row r="65" spans="1:4" ht="15">
      <c r="A65" s="147"/>
      <c r="B65" s="148"/>
      <c r="C65" s="148"/>
      <c r="D65" s="149"/>
    </row>
    <row r="66" spans="1:4" ht="15">
      <c r="A66" s="147"/>
      <c r="B66" s="148"/>
      <c r="C66" s="148"/>
      <c r="D66" s="149"/>
    </row>
    <row r="67" spans="1:4" ht="15">
      <c r="A67" s="147"/>
      <c r="B67" s="148"/>
      <c r="C67" s="148"/>
      <c r="D67" s="149"/>
    </row>
    <row r="68" spans="1:4" ht="15">
      <c r="A68" s="147"/>
      <c r="B68" s="148"/>
      <c r="C68" s="148"/>
      <c r="D68" s="149"/>
    </row>
    <row r="69" spans="1:4" ht="15">
      <c r="A69" s="147"/>
      <c r="B69" s="148"/>
      <c r="C69" s="148"/>
      <c r="D69" s="149"/>
    </row>
    <row r="70" spans="1:4" ht="15">
      <c r="A70" s="147"/>
      <c r="B70" s="148"/>
      <c r="C70" s="148"/>
      <c r="D70" s="149"/>
    </row>
    <row r="71" spans="1:4" ht="15">
      <c r="A71" s="147"/>
      <c r="B71" s="150"/>
      <c r="C71" s="148"/>
      <c r="D71" s="149"/>
    </row>
    <row r="72" spans="1:4" ht="15">
      <c r="A72" s="147"/>
      <c r="B72" s="148"/>
      <c r="C72" s="148"/>
      <c r="D72" s="149"/>
    </row>
    <row r="73" spans="1:4" ht="15">
      <c r="A73" s="144"/>
      <c r="B73" s="145"/>
      <c r="C73" s="145"/>
      <c r="D73" s="146"/>
    </row>
    <row r="74" spans="1:4" ht="15">
      <c r="A74" s="147"/>
      <c r="B74" s="148"/>
      <c r="C74" s="148"/>
      <c r="D74" s="149"/>
    </row>
    <row r="75" spans="1:4" ht="15">
      <c r="A75" s="147"/>
      <c r="B75" s="148"/>
      <c r="C75" s="148"/>
      <c r="D75" s="149"/>
    </row>
    <row r="76" spans="1:4" ht="15">
      <c r="A76" s="147"/>
      <c r="B76" s="148"/>
      <c r="C76" s="148"/>
      <c r="D76" s="149"/>
    </row>
    <row r="77" spans="1:4" ht="15">
      <c r="A77" s="147"/>
      <c r="B77" s="148"/>
      <c r="C77" s="148"/>
      <c r="D77" s="149"/>
    </row>
    <row r="78" spans="1:4" ht="15">
      <c r="A78" s="147"/>
      <c r="B78" s="148"/>
      <c r="C78" s="148"/>
      <c r="D78" s="149"/>
    </row>
    <row r="79" spans="1:4" ht="15">
      <c r="A79" s="147"/>
      <c r="B79" s="148"/>
      <c r="C79" s="148"/>
      <c r="D79" s="149"/>
    </row>
    <row r="80" spans="1:4" ht="15">
      <c r="A80" s="147"/>
      <c r="B80" s="148"/>
      <c r="C80" s="148"/>
      <c r="D80" s="149"/>
    </row>
    <row r="81" spans="1:4" ht="15">
      <c r="A81" s="147"/>
      <c r="B81" s="148"/>
      <c r="C81" s="148"/>
      <c r="D81" s="149"/>
    </row>
    <row r="82" spans="1:4" ht="15">
      <c r="A82" s="147"/>
      <c r="B82" s="148"/>
      <c r="C82" s="148"/>
      <c r="D82" s="149"/>
    </row>
    <row r="83" spans="1:4" ht="15">
      <c r="A83" s="147"/>
      <c r="B83" s="148"/>
      <c r="C83" s="148"/>
      <c r="D83" s="149"/>
    </row>
    <row r="84" spans="1:4" ht="15">
      <c r="A84" s="147"/>
      <c r="B84" s="148"/>
      <c r="C84" s="148"/>
      <c r="D84" s="149"/>
    </row>
    <row r="85" spans="1:4" ht="15">
      <c r="A85" s="147"/>
      <c r="B85" s="148"/>
      <c r="C85" s="148"/>
      <c r="D85" s="149"/>
    </row>
    <row r="86" spans="1:4" ht="15">
      <c r="A86" s="147"/>
      <c r="B86" s="148"/>
      <c r="C86" s="148"/>
      <c r="D86" s="149"/>
    </row>
    <row r="87" spans="1:4" ht="15">
      <c r="A87" s="144"/>
      <c r="B87" s="145"/>
      <c r="C87" s="145"/>
      <c r="D87" s="146"/>
    </row>
    <row r="88" spans="1:4" ht="15">
      <c r="A88" s="147"/>
      <c r="B88" s="148"/>
      <c r="C88" s="148"/>
      <c r="D88" s="149"/>
    </row>
    <row r="89" spans="1:4" ht="15">
      <c r="A89" s="147"/>
      <c r="B89" s="148"/>
      <c r="C89" s="148"/>
      <c r="D89" s="149"/>
    </row>
    <row r="90" spans="1:4" ht="15">
      <c r="A90" s="147"/>
      <c r="B90" s="148"/>
      <c r="C90" s="148"/>
      <c r="D90" s="149"/>
    </row>
    <row r="91" spans="1:4" ht="15">
      <c r="A91" s="147"/>
      <c r="B91" s="148"/>
      <c r="C91" s="148"/>
      <c r="D91" s="149"/>
    </row>
    <row r="92" spans="1:4" ht="15">
      <c r="A92" s="144"/>
      <c r="B92" s="145"/>
      <c r="C92" s="145"/>
      <c r="D92" s="146"/>
    </row>
    <row r="93" spans="1:4" ht="15">
      <c r="A93" s="147"/>
      <c r="B93" s="148"/>
      <c r="C93" s="148"/>
      <c r="D93" s="149"/>
    </row>
    <row r="94" spans="1:4" ht="15">
      <c r="A94" s="147"/>
      <c r="B94" s="148"/>
      <c r="C94" s="148"/>
      <c r="D94" s="149"/>
    </row>
    <row r="95" spans="1:4" ht="15">
      <c r="A95" s="144"/>
      <c r="B95" s="145"/>
      <c r="C95" s="145"/>
      <c r="D95" s="146"/>
    </row>
    <row r="96" spans="1:4" ht="15">
      <c r="A96" s="147"/>
      <c r="B96" s="148"/>
      <c r="C96" s="148"/>
      <c r="D96" s="149"/>
    </row>
    <row r="97" spans="1:4" ht="15">
      <c r="A97" s="144"/>
      <c r="B97" s="145"/>
      <c r="C97" s="145"/>
      <c r="D97" s="146"/>
    </row>
    <row r="98" spans="1:4" ht="15">
      <c r="A98" s="147"/>
      <c r="B98" s="148"/>
      <c r="C98" s="148"/>
      <c r="D98" s="149"/>
    </row>
    <row r="99" spans="1:4" ht="15">
      <c r="A99" s="147"/>
      <c r="B99" s="148"/>
      <c r="C99" s="148"/>
      <c r="D99" s="149"/>
    </row>
    <row r="100" spans="1:4" ht="15">
      <c r="A100" s="147"/>
      <c r="B100" s="148"/>
      <c r="C100" s="148"/>
      <c r="D100" s="149"/>
    </row>
    <row r="101" spans="1:4" ht="15">
      <c r="A101" s="147"/>
      <c r="B101" s="148"/>
      <c r="C101" s="148"/>
      <c r="D101" s="149"/>
    </row>
    <row r="102" spans="1:4" ht="15">
      <c r="A102" s="147"/>
      <c r="B102" s="148"/>
      <c r="C102" s="148"/>
      <c r="D102" s="149"/>
    </row>
    <row r="103" spans="1:4" ht="15">
      <c r="A103" s="147"/>
      <c r="B103" s="148"/>
      <c r="C103" s="148"/>
      <c r="D103" s="149"/>
    </row>
    <row r="104" spans="1:4" ht="15">
      <c r="A104" s="147"/>
      <c r="B104" s="148"/>
      <c r="C104" s="148"/>
      <c r="D104" s="149"/>
    </row>
    <row r="105" spans="1:4" ht="15">
      <c r="A105" s="147"/>
      <c r="B105" s="148"/>
      <c r="C105" s="148"/>
      <c r="D105" s="149"/>
    </row>
    <row r="106" spans="1:4" ht="15">
      <c r="A106" s="147"/>
      <c r="B106" s="148"/>
      <c r="C106" s="148"/>
      <c r="D106" s="149"/>
    </row>
    <row r="107" spans="1:4" ht="15">
      <c r="A107" s="147"/>
      <c r="B107" s="148"/>
      <c r="C107" s="148"/>
      <c r="D107" s="149"/>
    </row>
    <row r="108" spans="1:4" ht="15">
      <c r="A108" s="147"/>
      <c r="B108" s="148"/>
      <c r="C108" s="148"/>
      <c r="D108" s="149"/>
    </row>
    <row r="109" spans="1:4" ht="15">
      <c r="A109" s="147"/>
      <c r="B109" s="148"/>
      <c r="C109" s="148"/>
      <c r="D109" s="149"/>
    </row>
    <row r="110" spans="1:4" ht="15">
      <c r="A110" s="147"/>
      <c r="B110" s="148"/>
      <c r="C110" s="148"/>
      <c r="D110" s="149"/>
    </row>
    <row r="111" spans="1:4" ht="15">
      <c r="A111" s="147"/>
      <c r="B111" s="148"/>
      <c r="C111" s="148"/>
      <c r="D111" s="149"/>
    </row>
    <row r="112" spans="1:4" ht="15">
      <c r="A112" s="147"/>
      <c r="B112" s="148"/>
      <c r="C112" s="148"/>
      <c r="D112" s="149"/>
    </row>
    <row r="113" spans="1:4" ht="15">
      <c r="A113" s="147"/>
      <c r="B113" s="148"/>
      <c r="C113" s="148"/>
      <c r="D113" s="149"/>
    </row>
    <row r="114" spans="1:4" ht="15">
      <c r="A114" s="147"/>
      <c r="B114" s="148"/>
      <c r="C114" s="148"/>
      <c r="D114" s="149"/>
    </row>
    <row r="115" spans="1:4" ht="15">
      <c r="A115" s="147"/>
      <c r="B115" s="148"/>
      <c r="C115" s="148"/>
      <c r="D115" s="149"/>
    </row>
    <row r="116" spans="1:4" ht="15">
      <c r="A116" s="147"/>
      <c r="B116" s="148"/>
      <c r="C116" s="148"/>
      <c r="D116" s="149"/>
    </row>
    <row r="117" spans="1:4" ht="15">
      <c r="A117" s="147"/>
      <c r="B117" s="148"/>
      <c r="C117" s="148"/>
      <c r="D117" s="149"/>
    </row>
    <row r="118" spans="1:4" ht="15">
      <c r="A118" s="147"/>
      <c r="B118" s="148"/>
      <c r="C118" s="148"/>
      <c r="D118" s="149"/>
    </row>
    <row r="119" spans="1:4" ht="15">
      <c r="A119" s="147"/>
      <c r="B119" s="148"/>
      <c r="C119" s="148"/>
      <c r="D119" s="149"/>
    </row>
    <row r="120" spans="1:4" ht="15">
      <c r="A120" s="147"/>
      <c r="B120" s="148"/>
      <c r="C120" s="148"/>
      <c r="D120" s="149"/>
    </row>
    <row r="121" spans="1:4" ht="15">
      <c r="A121" s="147"/>
      <c r="B121" s="148"/>
      <c r="C121" s="148"/>
      <c r="D121" s="149"/>
    </row>
    <row r="122" spans="1:4" ht="15">
      <c r="A122" s="144"/>
      <c r="B122" s="145"/>
      <c r="C122" s="145"/>
      <c r="D122" s="146"/>
    </row>
    <row r="123" spans="1:4" ht="15">
      <c r="A123" s="147"/>
      <c r="B123" s="148"/>
      <c r="C123" s="148"/>
      <c r="D123" s="149"/>
    </row>
    <row r="124" spans="1:4" ht="15">
      <c r="A124" s="147"/>
      <c r="B124" s="148"/>
      <c r="C124" s="148"/>
      <c r="D124" s="149"/>
    </row>
    <row r="125" spans="1:4" ht="15">
      <c r="A125" s="147"/>
      <c r="B125" s="148"/>
      <c r="C125" s="148"/>
      <c r="D125" s="149"/>
    </row>
    <row r="126" spans="1:4" ht="15">
      <c r="A126" s="147"/>
      <c r="B126" s="148"/>
      <c r="C126" s="148"/>
      <c r="D126" s="149"/>
    </row>
    <row r="127" spans="1:4" ht="15">
      <c r="A127" s="147"/>
      <c r="B127" s="148"/>
      <c r="C127" s="148"/>
      <c r="D127" s="149"/>
    </row>
    <row r="128" spans="1:4" ht="15">
      <c r="A128" s="147"/>
      <c r="B128" s="148"/>
      <c r="C128" s="148"/>
      <c r="D128" s="149"/>
    </row>
    <row r="129" spans="1:4" ht="15">
      <c r="A129" s="147"/>
      <c r="B129" s="148"/>
      <c r="C129" s="148"/>
      <c r="D129" s="149"/>
    </row>
    <row r="130" spans="1:4" ht="15">
      <c r="A130" s="147"/>
      <c r="B130" s="148"/>
      <c r="C130" s="148"/>
      <c r="D130" s="149"/>
    </row>
    <row r="131" spans="1:4" ht="15">
      <c r="A131" s="147"/>
      <c r="B131" s="148"/>
      <c r="C131" s="148"/>
      <c r="D131" s="149"/>
    </row>
    <row r="132" spans="1:4" ht="15">
      <c r="A132" s="147"/>
      <c r="B132" s="148"/>
      <c r="C132" s="148"/>
      <c r="D132" s="149"/>
    </row>
    <row r="133" spans="1:4" ht="15">
      <c r="A133" s="147"/>
      <c r="B133" s="148"/>
      <c r="C133" s="148"/>
      <c r="D133" s="149"/>
    </row>
    <row r="134" spans="1:4" ht="15">
      <c r="A134" s="147"/>
      <c r="B134" s="148"/>
      <c r="C134" s="148"/>
      <c r="D134" s="149"/>
    </row>
    <row r="135" spans="1:4" ht="15">
      <c r="A135" s="144"/>
      <c r="B135" s="145"/>
      <c r="C135" s="145"/>
      <c r="D135" s="152"/>
    </row>
    <row r="136" spans="1:4" ht="15">
      <c r="A136" s="147"/>
      <c r="B136" s="148"/>
      <c r="C136" s="148"/>
      <c r="D136" s="149"/>
    </row>
    <row r="137" spans="1:4" ht="15">
      <c r="A137" s="147"/>
      <c r="B137" s="148"/>
      <c r="C137" s="148"/>
      <c r="D137" s="149"/>
    </row>
    <row r="138" spans="1:4" ht="15">
      <c r="A138" s="147"/>
      <c r="B138" s="148"/>
      <c r="C138" s="148"/>
      <c r="D138" s="149"/>
    </row>
    <row r="139" spans="1:4" ht="15">
      <c r="A139" s="147"/>
      <c r="B139" s="148"/>
      <c r="C139" s="148"/>
      <c r="D139" s="149"/>
    </row>
    <row r="140" spans="1:4" ht="15">
      <c r="A140" s="147"/>
      <c r="B140" s="148"/>
      <c r="C140" s="148"/>
      <c r="D140" s="149"/>
    </row>
    <row r="141" spans="1:4" ht="15">
      <c r="A141" s="147"/>
      <c r="B141" s="148"/>
      <c r="C141" s="148"/>
      <c r="D141" s="149"/>
    </row>
    <row r="142" spans="1:4" ht="15">
      <c r="A142" s="147"/>
      <c r="B142" s="148"/>
      <c r="C142" s="148"/>
      <c r="D142" s="149"/>
    </row>
    <row r="143" spans="1:4" ht="15">
      <c r="A143" s="144"/>
      <c r="B143" s="145"/>
      <c r="C143" s="145"/>
      <c r="D143" s="146"/>
    </row>
    <row r="144" spans="1:4" ht="15">
      <c r="A144" s="147"/>
      <c r="B144" s="148"/>
      <c r="C144" s="148"/>
      <c r="D144" s="149"/>
    </row>
    <row r="145" spans="1:4" ht="15">
      <c r="A145" s="144"/>
      <c r="B145" s="145"/>
      <c r="C145" s="145"/>
      <c r="D145" s="146"/>
    </row>
    <row r="146" spans="1:4" ht="15">
      <c r="A146" s="147"/>
      <c r="B146" s="148"/>
      <c r="C146" s="148"/>
      <c r="D146" s="149"/>
    </row>
    <row r="147" spans="1:4" ht="15">
      <c r="A147" s="144"/>
      <c r="B147" s="145"/>
      <c r="C147" s="145"/>
      <c r="D147" s="14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1"/>
  <dimension ref="A2:N54"/>
  <sheetViews>
    <sheetView workbookViewId="0">
      <selection activeCell="H21" sqref="H21"/>
    </sheetView>
  </sheetViews>
  <sheetFormatPr defaultColWidth="8.85546875" defaultRowHeight="12.75"/>
  <cols>
    <col min="1" max="1" width="6.140625" style="218" customWidth="1"/>
    <col min="2" max="2" width="2.28515625" style="218" customWidth="1"/>
    <col min="3" max="3" width="15" style="218" customWidth="1"/>
    <col min="4" max="4" width="26.28515625" style="218" customWidth="1"/>
    <col min="5" max="5" width="10.5703125" style="218" customWidth="1"/>
    <col min="6" max="6" width="15.140625" style="218" customWidth="1"/>
    <col min="7" max="7" width="13.28515625" style="218" customWidth="1"/>
    <col min="8" max="8" width="10.7109375" style="218" customWidth="1"/>
    <col min="9" max="9" width="27.42578125" style="218" bestFit="1" customWidth="1"/>
    <col min="10" max="10" width="25.5703125" style="218" customWidth="1"/>
    <col min="11" max="11" width="60" style="218" customWidth="1"/>
    <col min="12" max="16384" width="8.85546875" style="218"/>
  </cols>
  <sheetData>
    <row r="2" spans="1:11" ht="15.75">
      <c r="C2" s="296" t="s">
        <v>503</v>
      </c>
      <c r="D2" s="297"/>
      <c r="E2" s="297"/>
      <c r="F2" s="297"/>
      <c r="G2" s="297"/>
      <c r="H2" s="297"/>
      <c r="I2" s="259"/>
      <c r="J2" s="259"/>
      <c r="K2" s="259"/>
    </row>
    <row r="3" spans="1:11" ht="13.5" thickBot="1">
      <c r="C3" s="260"/>
      <c r="D3" s="260"/>
      <c r="E3" s="260"/>
      <c r="F3" s="260"/>
      <c r="G3" s="260"/>
      <c r="H3" s="260"/>
    </row>
    <row r="4" spans="1:11" ht="39" thickBot="1">
      <c r="C4" s="298" t="s">
        <v>504</v>
      </c>
      <c r="D4" s="299" t="s">
        <v>505</v>
      </c>
      <c r="E4" s="299" t="s">
        <v>506</v>
      </c>
      <c r="F4" s="299" t="s">
        <v>507</v>
      </c>
      <c r="G4" s="299" t="s">
        <v>508</v>
      </c>
      <c r="H4" s="299" t="s">
        <v>509</v>
      </c>
      <c r="I4" s="299" t="s">
        <v>510</v>
      </c>
      <c r="J4" s="299" t="s">
        <v>511</v>
      </c>
      <c r="K4" s="300" t="s">
        <v>512</v>
      </c>
    </row>
    <row r="5" spans="1:11" ht="51">
      <c r="C5" s="301" t="s">
        <v>513</v>
      </c>
      <c r="D5" s="302" t="s">
        <v>514</v>
      </c>
      <c r="E5" s="303">
        <v>50</v>
      </c>
      <c r="F5" s="304" t="s">
        <v>515</v>
      </c>
      <c r="G5" s="305" t="s">
        <v>516</v>
      </c>
      <c r="H5" s="303">
        <v>70000</v>
      </c>
      <c r="I5" s="306">
        <v>250</v>
      </c>
      <c r="J5" s="307" t="s">
        <v>517</v>
      </c>
      <c r="K5" s="308" t="s">
        <v>518</v>
      </c>
    </row>
    <row r="6" spans="1:11" ht="25.5">
      <c r="C6" s="309" t="s">
        <v>513</v>
      </c>
      <c r="D6" s="310" t="s">
        <v>519</v>
      </c>
      <c r="E6" s="311">
        <v>40</v>
      </c>
      <c r="F6" s="312" t="s">
        <v>515</v>
      </c>
      <c r="G6" s="313" t="s">
        <v>520</v>
      </c>
      <c r="H6" s="311">
        <v>100000</v>
      </c>
      <c r="I6" s="314">
        <v>250</v>
      </c>
      <c r="J6" s="315" t="s">
        <v>521</v>
      </c>
      <c r="K6" s="316" t="s">
        <v>522</v>
      </c>
    </row>
    <row r="7" spans="1:11" ht="13.5" thickBot="1">
      <c r="C7" s="317" t="s">
        <v>523</v>
      </c>
      <c r="D7" s="318" t="s">
        <v>524</v>
      </c>
      <c r="E7" s="319">
        <v>30</v>
      </c>
      <c r="F7" s="320" t="s">
        <v>515</v>
      </c>
      <c r="G7" s="321" t="s">
        <v>520</v>
      </c>
      <c r="H7" s="319">
        <v>50000</v>
      </c>
      <c r="I7" s="322">
        <v>200</v>
      </c>
      <c r="J7" s="323" t="s">
        <v>525</v>
      </c>
      <c r="K7" s="324"/>
    </row>
    <row r="8" spans="1:11">
      <c r="A8" s="325"/>
      <c r="B8" s="325"/>
      <c r="C8" s="301" t="s">
        <v>526</v>
      </c>
      <c r="D8" s="302" t="s">
        <v>527</v>
      </c>
      <c r="E8" s="304">
        <v>100</v>
      </c>
      <c r="F8" s="304" t="s">
        <v>528</v>
      </c>
      <c r="G8" s="305" t="s">
        <v>516</v>
      </c>
      <c r="H8" s="304">
        <v>24000</v>
      </c>
      <c r="I8" s="306">
        <v>11.98</v>
      </c>
      <c r="J8" s="326" t="s">
        <v>529</v>
      </c>
      <c r="K8" s="327"/>
    </row>
    <row r="9" spans="1:11">
      <c r="A9" s="325"/>
      <c r="B9" s="325"/>
      <c r="C9" s="309" t="s">
        <v>530</v>
      </c>
      <c r="D9" s="310" t="s">
        <v>531</v>
      </c>
      <c r="E9" s="312">
        <v>100</v>
      </c>
      <c r="F9" s="312" t="s">
        <v>528</v>
      </c>
      <c r="G9" s="313" t="s">
        <v>516</v>
      </c>
      <c r="H9" s="312">
        <v>24000</v>
      </c>
      <c r="I9" s="314">
        <v>14</v>
      </c>
      <c r="J9" s="328" t="s">
        <v>532</v>
      </c>
      <c r="K9" s="329"/>
    </row>
    <row r="10" spans="1:11">
      <c r="A10" s="325"/>
      <c r="B10" s="325"/>
      <c r="C10" s="309" t="s">
        <v>533</v>
      </c>
      <c r="D10" s="310" t="s">
        <v>534</v>
      </c>
      <c r="E10" s="312">
        <v>100</v>
      </c>
      <c r="F10" s="312" t="s">
        <v>528</v>
      </c>
      <c r="G10" s="313" t="s">
        <v>516</v>
      </c>
      <c r="H10" s="312">
        <v>24000</v>
      </c>
      <c r="I10" s="314">
        <v>12.66</v>
      </c>
      <c r="J10" s="328" t="s">
        <v>529</v>
      </c>
      <c r="K10" s="329"/>
    </row>
    <row r="11" spans="1:11">
      <c r="A11" s="325"/>
      <c r="B11" s="325"/>
      <c r="C11" s="309" t="s">
        <v>530</v>
      </c>
      <c r="D11" s="310" t="s">
        <v>535</v>
      </c>
      <c r="E11" s="312">
        <v>100</v>
      </c>
      <c r="F11" s="312" t="s">
        <v>528</v>
      </c>
      <c r="G11" s="313" t="s">
        <v>516</v>
      </c>
      <c r="H11" s="312">
        <v>24000</v>
      </c>
      <c r="I11" s="314">
        <v>10.7</v>
      </c>
      <c r="J11" s="328" t="s">
        <v>529</v>
      </c>
      <c r="K11" s="329"/>
    </row>
    <row r="12" spans="1:11">
      <c r="A12" s="325"/>
      <c r="B12" s="325"/>
      <c r="C12" s="309" t="s">
        <v>536</v>
      </c>
      <c r="D12" s="310" t="s">
        <v>537</v>
      </c>
      <c r="E12" s="312">
        <v>100</v>
      </c>
      <c r="F12" s="312" t="s">
        <v>538</v>
      </c>
      <c r="G12" s="313" t="s">
        <v>516</v>
      </c>
      <c r="H12" s="312">
        <v>15000</v>
      </c>
      <c r="I12" s="314">
        <v>17.95</v>
      </c>
      <c r="J12" s="328" t="s">
        <v>539</v>
      </c>
      <c r="K12" s="329"/>
    </row>
    <row r="13" spans="1:11">
      <c r="A13" s="325"/>
      <c r="B13" s="325"/>
      <c r="C13" s="309" t="s">
        <v>526</v>
      </c>
      <c r="D13" s="310" t="s">
        <v>540</v>
      </c>
      <c r="E13" s="312">
        <v>100</v>
      </c>
      <c r="F13" s="312" t="s">
        <v>538</v>
      </c>
      <c r="G13" s="313" t="s">
        <v>516</v>
      </c>
      <c r="H13" s="312">
        <v>20000</v>
      </c>
      <c r="I13" s="314">
        <v>26.99</v>
      </c>
      <c r="J13" s="328" t="s">
        <v>532</v>
      </c>
      <c r="K13" s="329"/>
    </row>
    <row r="14" spans="1:11">
      <c r="A14" s="325"/>
      <c r="B14" s="325"/>
      <c r="C14" s="309" t="s">
        <v>526</v>
      </c>
      <c r="D14" s="330">
        <v>377218</v>
      </c>
      <c r="E14" s="312">
        <v>100</v>
      </c>
      <c r="F14" s="312" t="s">
        <v>538</v>
      </c>
      <c r="G14" s="313" t="s">
        <v>516</v>
      </c>
      <c r="H14" s="312">
        <v>20000</v>
      </c>
      <c r="I14" s="314">
        <v>25.78</v>
      </c>
      <c r="J14" s="328" t="s">
        <v>539</v>
      </c>
      <c r="K14" s="329"/>
    </row>
    <row r="15" spans="1:11">
      <c r="A15" s="325"/>
      <c r="B15" s="325"/>
      <c r="C15" s="309" t="s">
        <v>526</v>
      </c>
      <c r="D15" s="310" t="s">
        <v>541</v>
      </c>
      <c r="E15" s="312">
        <v>150</v>
      </c>
      <c r="F15" s="312" t="s">
        <v>528</v>
      </c>
      <c r="G15" s="313" t="s">
        <v>516</v>
      </c>
      <c r="H15" s="312">
        <v>24000</v>
      </c>
      <c r="I15" s="314">
        <v>11.79</v>
      </c>
      <c r="J15" s="328" t="s">
        <v>529</v>
      </c>
      <c r="K15" s="329"/>
    </row>
    <row r="16" spans="1:11">
      <c r="A16" s="325"/>
      <c r="B16" s="325"/>
      <c r="C16" s="309" t="s">
        <v>530</v>
      </c>
      <c r="D16" s="310" t="s">
        <v>542</v>
      </c>
      <c r="E16" s="312">
        <v>150</v>
      </c>
      <c r="F16" s="312" t="s">
        <v>528</v>
      </c>
      <c r="G16" s="313" t="s">
        <v>516</v>
      </c>
      <c r="H16" s="312">
        <v>24000</v>
      </c>
      <c r="I16" s="314">
        <v>14</v>
      </c>
      <c r="J16" s="328" t="s">
        <v>532</v>
      </c>
      <c r="K16" s="329"/>
    </row>
    <row r="17" spans="1:11">
      <c r="A17" s="325"/>
      <c r="B17" s="325"/>
      <c r="C17" s="309" t="s">
        <v>543</v>
      </c>
      <c r="D17" s="310" t="s">
        <v>544</v>
      </c>
      <c r="E17" s="312">
        <v>150</v>
      </c>
      <c r="F17" s="312" t="s">
        <v>528</v>
      </c>
      <c r="G17" s="313" t="s">
        <v>516</v>
      </c>
      <c r="H17" s="312">
        <v>24000</v>
      </c>
      <c r="I17" s="314">
        <v>7.21</v>
      </c>
      <c r="J17" s="328" t="s">
        <v>529</v>
      </c>
      <c r="K17" s="329"/>
    </row>
    <row r="18" spans="1:11">
      <c r="C18" s="309" t="s">
        <v>526</v>
      </c>
      <c r="D18" s="310" t="s">
        <v>545</v>
      </c>
      <c r="E18" s="312">
        <v>150</v>
      </c>
      <c r="F18" s="312" t="s">
        <v>538</v>
      </c>
      <c r="G18" s="313" t="s">
        <v>516</v>
      </c>
      <c r="H18" s="312">
        <v>20000</v>
      </c>
      <c r="I18" s="314">
        <v>26.99</v>
      </c>
      <c r="J18" s="328" t="s">
        <v>532</v>
      </c>
      <c r="K18" s="329"/>
    </row>
    <row r="19" spans="1:11">
      <c r="C19" s="309" t="s">
        <v>546</v>
      </c>
      <c r="D19" s="310" t="s">
        <v>547</v>
      </c>
      <c r="E19" s="312">
        <v>150</v>
      </c>
      <c r="F19" s="312" t="s">
        <v>538</v>
      </c>
      <c r="G19" s="313" t="s">
        <v>516</v>
      </c>
      <c r="H19" s="312">
        <v>15000</v>
      </c>
      <c r="I19" s="314">
        <v>13.38</v>
      </c>
      <c r="J19" s="328" t="s">
        <v>539</v>
      </c>
      <c r="K19" s="329"/>
    </row>
    <row r="20" spans="1:11">
      <c r="C20" s="309" t="s">
        <v>548</v>
      </c>
      <c r="D20" s="310" t="s">
        <v>549</v>
      </c>
      <c r="E20" s="312">
        <v>150</v>
      </c>
      <c r="F20" s="312" t="s">
        <v>538</v>
      </c>
      <c r="G20" s="313" t="s">
        <v>516</v>
      </c>
      <c r="H20" s="312">
        <v>10000</v>
      </c>
      <c r="I20" s="314">
        <v>21.21</v>
      </c>
      <c r="J20" s="328" t="s">
        <v>529</v>
      </c>
      <c r="K20" s="329"/>
    </row>
    <row r="21" spans="1:11">
      <c r="C21" s="309" t="s">
        <v>526</v>
      </c>
      <c r="D21" s="310" t="s">
        <v>550</v>
      </c>
      <c r="E21" s="310">
        <v>175</v>
      </c>
      <c r="F21" s="312" t="s">
        <v>551</v>
      </c>
      <c r="G21" s="313" t="s">
        <v>516</v>
      </c>
      <c r="H21" s="312">
        <v>24000</v>
      </c>
      <c r="I21" s="314">
        <v>11.99</v>
      </c>
      <c r="J21" s="328" t="s">
        <v>552</v>
      </c>
      <c r="K21" s="329"/>
    </row>
    <row r="22" spans="1:11">
      <c r="C22" s="309" t="s">
        <v>533</v>
      </c>
      <c r="D22" s="310" t="s">
        <v>553</v>
      </c>
      <c r="E22" s="312">
        <v>175</v>
      </c>
      <c r="F22" s="312" t="s">
        <v>551</v>
      </c>
      <c r="G22" s="313" t="s">
        <v>516</v>
      </c>
      <c r="H22" s="312">
        <v>24000</v>
      </c>
      <c r="I22" s="314">
        <v>9.41</v>
      </c>
      <c r="J22" s="328" t="s">
        <v>529</v>
      </c>
      <c r="K22" s="329"/>
    </row>
    <row r="23" spans="1:11">
      <c r="C23" s="309" t="s">
        <v>546</v>
      </c>
      <c r="D23" s="310" t="s">
        <v>554</v>
      </c>
      <c r="E23" s="312">
        <v>175</v>
      </c>
      <c r="F23" s="312" t="s">
        <v>551</v>
      </c>
      <c r="G23" s="313" t="s">
        <v>516</v>
      </c>
      <c r="H23" s="312">
        <v>24000</v>
      </c>
      <c r="I23" s="314">
        <v>11.47</v>
      </c>
      <c r="J23" s="328" t="s">
        <v>539</v>
      </c>
      <c r="K23" s="329"/>
    </row>
    <row r="24" spans="1:11">
      <c r="C24" s="309" t="s">
        <v>533</v>
      </c>
      <c r="D24" s="310" t="s">
        <v>555</v>
      </c>
      <c r="E24" s="312">
        <v>175</v>
      </c>
      <c r="F24" s="312" t="s">
        <v>538</v>
      </c>
      <c r="G24" s="313" t="s">
        <v>516</v>
      </c>
      <c r="H24" s="312">
        <v>10000</v>
      </c>
      <c r="I24" s="314">
        <v>14.55</v>
      </c>
      <c r="J24" s="328" t="s">
        <v>539</v>
      </c>
      <c r="K24" s="329"/>
    </row>
    <row r="25" spans="1:11">
      <c r="C25" s="309" t="s">
        <v>556</v>
      </c>
      <c r="D25" s="330">
        <v>46317</v>
      </c>
      <c r="E25" s="312">
        <v>175</v>
      </c>
      <c r="F25" s="312" t="s">
        <v>538</v>
      </c>
      <c r="G25" s="313" t="s">
        <v>516</v>
      </c>
      <c r="H25" s="312">
        <v>10000</v>
      </c>
      <c r="I25" s="314">
        <v>14</v>
      </c>
      <c r="J25" s="328" t="s">
        <v>532</v>
      </c>
      <c r="K25" s="329"/>
    </row>
    <row r="26" spans="1:11">
      <c r="C26" s="309" t="s">
        <v>533</v>
      </c>
      <c r="D26" s="330">
        <v>64479</v>
      </c>
      <c r="E26" s="312">
        <v>175</v>
      </c>
      <c r="F26" s="312" t="s">
        <v>538</v>
      </c>
      <c r="G26" s="313" t="s">
        <v>516</v>
      </c>
      <c r="H26" s="312">
        <v>10000</v>
      </c>
      <c r="I26" s="314">
        <v>13.99</v>
      </c>
      <c r="J26" s="328" t="s">
        <v>529</v>
      </c>
      <c r="K26" s="329"/>
    </row>
    <row r="27" spans="1:11">
      <c r="C27" s="309" t="s">
        <v>530</v>
      </c>
      <c r="D27" s="310" t="s">
        <v>557</v>
      </c>
      <c r="E27" s="312">
        <v>200</v>
      </c>
      <c r="F27" s="312" t="s">
        <v>528</v>
      </c>
      <c r="G27" s="313" t="s">
        <v>516</v>
      </c>
      <c r="H27" s="312">
        <v>24000</v>
      </c>
      <c r="I27" s="314">
        <v>15.92</v>
      </c>
      <c r="J27" s="328" t="s">
        <v>529</v>
      </c>
      <c r="K27" s="329"/>
    </row>
    <row r="28" spans="1:11">
      <c r="C28" s="309" t="s">
        <v>533</v>
      </c>
      <c r="D28" s="310" t="s">
        <v>558</v>
      </c>
      <c r="E28" s="312">
        <v>200</v>
      </c>
      <c r="F28" s="312" t="s">
        <v>528</v>
      </c>
      <c r="G28" s="313" t="s">
        <v>516</v>
      </c>
      <c r="H28" s="312">
        <v>24000</v>
      </c>
      <c r="I28" s="314">
        <v>19.95</v>
      </c>
      <c r="J28" s="328" t="s">
        <v>539</v>
      </c>
      <c r="K28" s="329"/>
    </row>
    <row r="29" spans="1:11" ht="13.5" thickBot="1">
      <c r="C29" s="317" t="s">
        <v>559</v>
      </c>
      <c r="D29" s="331">
        <v>2015</v>
      </c>
      <c r="E29" s="320">
        <v>200</v>
      </c>
      <c r="F29" s="320" t="s">
        <v>528</v>
      </c>
      <c r="G29" s="321" t="s">
        <v>516</v>
      </c>
      <c r="H29" s="320">
        <v>24000</v>
      </c>
      <c r="I29" s="322">
        <v>10.99</v>
      </c>
      <c r="J29" s="332" t="s">
        <v>532</v>
      </c>
      <c r="K29" s="333"/>
    </row>
    <row r="30" spans="1:11">
      <c r="C30" s="334"/>
      <c r="D30" s="334"/>
      <c r="E30" s="335"/>
      <c r="F30" s="336"/>
      <c r="G30" s="335"/>
      <c r="H30" s="337"/>
      <c r="I30" s="338"/>
    </row>
    <row r="31" spans="1:11" ht="15.75">
      <c r="C31" s="339" t="s">
        <v>560</v>
      </c>
      <c r="D31" s="340"/>
      <c r="E31" s="340"/>
      <c r="F31" s="340"/>
      <c r="G31" s="340"/>
      <c r="H31" s="340"/>
      <c r="I31" s="340"/>
      <c r="J31" s="340"/>
      <c r="K31" s="340"/>
    </row>
    <row r="32" spans="1:11" ht="13.5" thickBot="1">
      <c r="C32" s="260"/>
      <c r="D32" s="260"/>
      <c r="E32" s="260"/>
      <c r="F32" s="260"/>
      <c r="G32" s="260"/>
      <c r="H32" s="260"/>
      <c r="I32" s="260"/>
      <c r="J32" s="260"/>
      <c r="K32" s="260"/>
    </row>
    <row r="33" spans="3:14" ht="26.25" thickBot="1">
      <c r="C33" s="341" t="s">
        <v>504</v>
      </c>
      <c r="D33" s="342" t="s">
        <v>505</v>
      </c>
      <c r="E33" s="343" t="s">
        <v>561</v>
      </c>
      <c r="F33" s="343" t="s">
        <v>562</v>
      </c>
      <c r="G33" s="343" t="s">
        <v>563</v>
      </c>
      <c r="H33" s="343" t="s">
        <v>564</v>
      </c>
      <c r="I33" s="343" t="s">
        <v>565</v>
      </c>
      <c r="J33" s="343" t="s">
        <v>566</v>
      </c>
      <c r="K33" s="344" t="s">
        <v>511</v>
      </c>
    </row>
    <row r="34" spans="3:14">
      <c r="C34" s="345" t="s">
        <v>567</v>
      </c>
      <c r="D34" s="346" t="s">
        <v>568</v>
      </c>
      <c r="E34" s="346" t="s">
        <v>569</v>
      </c>
      <c r="F34" s="346" t="s">
        <v>528</v>
      </c>
      <c r="G34" s="347">
        <v>100</v>
      </c>
      <c r="H34" s="347">
        <v>115</v>
      </c>
      <c r="I34" s="347">
        <f>H34-G34</f>
        <v>15</v>
      </c>
      <c r="J34" s="348">
        <f t="shared" ref="J34:J52" si="0">I34/G34</f>
        <v>0.15</v>
      </c>
      <c r="K34" s="349" t="s">
        <v>529</v>
      </c>
      <c r="N34" s="350"/>
    </row>
    <row r="35" spans="3:14">
      <c r="C35" s="351" t="s">
        <v>570</v>
      </c>
      <c r="D35" s="352" t="s">
        <v>571</v>
      </c>
      <c r="E35" s="352" t="s">
        <v>569</v>
      </c>
      <c r="F35" s="352" t="s">
        <v>528</v>
      </c>
      <c r="G35" s="353">
        <v>100</v>
      </c>
      <c r="H35" s="353">
        <v>115</v>
      </c>
      <c r="I35" s="353">
        <f t="shared" ref="I35:I52" si="1">H35-G35</f>
        <v>15</v>
      </c>
      <c r="J35" s="354">
        <f t="shared" si="0"/>
        <v>0.15</v>
      </c>
      <c r="K35" s="355" t="s">
        <v>529</v>
      </c>
      <c r="N35" s="356"/>
    </row>
    <row r="36" spans="3:14">
      <c r="C36" s="351" t="s">
        <v>548</v>
      </c>
      <c r="D36" s="352" t="s">
        <v>572</v>
      </c>
      <c r="E36" s="352" t="s">
        <v>569</v>
      </c>
      <c r="F36" s="357" t="s">
        <v>528</v>
      </c>
      <c r="G36" s="358">
        <v>100</v>
      </c>
      <c r="H36" s="353">
        <v>118</v>
      </c>
      <c r="I36" s="353">
        <f t="shared" si="1"/>
        <v>18</v>
      </c>
      <c r="J36" s="354">
        <f t="shared" si="0"/>
        <v>0.18</v>
      </c>
      <c r="K36" s="355" t="s">
        <v>529</v>
      </c>
      <c r="N36" s="356"/>
    </row>
    <row r="37" spans="3:14">
      <c r="C37" s="351" t="s">
        <v>573</v>
      </c>
      <c r="D37" s="352" t="s">
        <v>574</v>
      </c>
      <c r="E37" s="352" t="s">
        <v>569</v>
      </c>
      <c r="F37" s="352" t="s">
        <v>528</v>
      </c>
      <c r="G37" s="353">
        <v>100</v>
      </c>
      <c r="H37" s="353">
        <v>115</v>
      </c>
      <c r="I37" s="353">
        <f t="shared" si="1"/>
        <v>15</v>
      </c>
      <c r="J37" s="354">
        <f t="shared" si="0"/>
        <v>0.15</v>
      </c>
      <c r="K37" s="355" t="s">
        <v>529</v>
      </c>
      <c r="N37" s="356"/>
    </row>
    <row r="38" spans="3:14">
      <c r="C38" s="351" t="s">
        <v>567</v>
      </c>
      <c r="D38" s="352" t="s">
        <v>575</v>
      </c>
      <c r="E38" s="352" t="s">
        <v>569</v>
      </c>
      <c r="F38" s="352" t="s">
        <v>538</v>
      </c>
      <c r="G38" s="353">
        <v>100</v>
      </c>
      <c r="H38" s="353">
        <v>130</v>
      </c>
      <c r="I38" s="353">
        <f t="shared" si="1"/>
        <v>30</v>
      </c>
      <c r="J38" s="354">
        <f t="shared" si="0"/>
        <v>0.3</v>
      </c>
      <c r="K38" s="355" t="s">
        <v>529</v>
      </c>
      <c r="N38" s="356"/>
    </row>
    <row r="39" spans="3:14">
      <c r="C39" s="351" t="s">
        <v>570</v>
      </c>
      <c r="D39" s="352" t="s">
        <v>576</v>
      </c>
      <c r="E39" s="352" t="s">
        <v>569</v>
      </c>
      <c r="F39" s="352" t="s">
        <v>538</v>
      </c>
      <c r="G39" s="353">
        <v>100</v>
      </c>
      <c r="H39" s="353">
        <v>129</v>
      </c>
      <c r="I39" s="353">
        <f t="shared" si="1"/>
        <v>29</v>
      </c>
      <c r="J39" s="354">
        <f t="shared" si="0"/>
        <v>0.28999999999999998</v>
      </c>
      <c r="K39" s="355" t="s">
        <v>529</v>
      </c>
      <c r="N39" s="356"/>
    </row>
    <row r="40" spans="3:14" ht="13.5" thickBot="1">
      <c r="C40" s="359" t="s">
        <v>548</v>
      </c>
      <c r="D40" s="360" t="s">
        <v>577</v>
      </c>
      <c r="E40" s="360" t="s">
        <v>569</v>
      </c>
      <c r="F40" s="360" t="s">
        <v>538</v>
      </c>
      <c r="G40" s="361">
        <v>100</v>
      </c>
      <c r="H40" s="361">
        <v>125</v>
      </c>
      <c r="I40" s="361">
        <f t="shared" si="1"/>
        <v>25</v>
      </c>
      <c r="J40" s="362">
        <f t="shared" si="0"/>
        <v>0.25</v>
      </c>
      <c r="K40" s="363" t="s">
        <v>529</v>
      </c>
      <c r="N40" s="356"/>
    </row>
    <row r="41" spans="3:14">
      <c r="C41" s="301" t="s">
        <v>567</v>
      </c>
      <c r="D41" s="302" t="s">
        <v>578</v>
      </c>
      <c r="E41" s="302" t="s">
        <v>569</v>
      </c>
      <c r="F41" s="302" t="s">
        <v>528</v>
      </c>
      <c r="G41" s="364">
        <v>150</v>
      </c>
      <c r="H41" s="364">
        <v>170</v>
      </c>
      <c r="I41" s="347">
        <f t="shared" si="1"/>
        <v>20</v>
      </c>
      <c r="J41" s="348">
        <f t="shared" si="0"/>
        <v>0.13333333333333333</v>
      </c>
      <c r="K41" s="365" t="s">
        <v>529</v>
      </c>
      <c r="N41" s="356"/>
    </row>
    <row r="42" spans="3:14">
      <c r="C42" s="309" t="s">
        <v>573</v>
      </c>
      <c r="D42" s="310" t="s">
        <v>579</v>
      </c>
      <c r="E42" s="310" t="s">
        <v>569</v>
      </c>
      <c r="F42" s="310" t="s">
        <v>528</v>
      </c>
      <c r="G42" s="366">
        <v>150</v>
      </c>
      <c r="H42" s="366">
        <v>170</v>
      </c>
      <c r="I42" s="353">
        <f t="shared" si="1"/>
        <v>20</v>
      </c>
      <c r="J42" s="354">
        <f t="shared" si="0"/>
        <v>0.13333333333333333</v>
      </c>
      <c r="K42" s="367" t="s">
        <v>529</v>
      </c>
      <c r="N42" s="356"/>
    </row>
    <row r="43" spans="3:14">
      <c r="C43" s="309" t="s">
        <v>573</v>
      </c>
      <c r="D43" s="310" t="s">
        <v>580</v>
      </c>
      <c r="E43" s="310" t="s">
        <v>569</v>
      </c>
      <c r="F43" s="310" t="s">
        <v>528</v>
      </c>
      <c r="G43" s="366">
        <v>150</v>
      </c>
      <c r="H43" s="366">
        <v>170</v>
      </c>
      <c r="I43" s="353">
        <f t="shared" si="1"/>
        <v>20</v>
      </c>
      <c r="J43" s="354">
        <f t="shared" si="0"/>
        <v>0.13333333333333333</v>
      </c>
      <c r="K43" s="367" t="s">
        <v>529</v>
      </c>
      <c r="N43" s="356"/>
    </row>
    <row r="44" spans="3:14">
      <c r="C44" s="309" t="s">
        <v>570</v>
      </c>
      <c r="D44" s="310" t="s">
        <v>581</v>
      </c>
      <c r="E44" s="310" t="s">
        <v>569</v>
      </c>
      <c r="F44" s="310" t="s">
        <v>538</v>
      </c>
      <c r="G44" s="366">
        <v>150</v>
      </c>
      <c r="H44" s="366">
        <v>183</v>
      </c>
      <c r="I44" s="353">
        <f t="shared" si="1"/>
        <v>33</v>
      </c>
      <c r="J44" s="354">
        <f t="shared" si="0"/>
        <v>0.22</v>
      </c>
      <c r="K44" s="367" t="s">
        <v>529</v>
      </c>
      <c r="N44" s="356"/>
    </row>
    <row r="45" spans="3:14">
      <c r="C45" s="309" t="s">
        <v>567</v>
      </c>
      <c r="D45" s="310" t="s">
        <v>582</v>
      </c>
      <c r="E45" s="310" t="s">
        <v>569</v>
      </c>
      <c r="F45" s="310" t="s">
        <v>538</v>
      </c>
      <c r="G45" s="366">
        <v>150</v>
      </c>
      <c r="H45" s="366">
        <v>189</v>
      </c>
      <c r="I45" s="353">
        <f t="shared" si="1"/>
        <v>39</v>
      </c>
      <c r="J45" s="354">
        <f t="shared" si="0"/>
        <v>0.26</v>
      </c>
      <c r="K45" s="367" t="s">
        <v>529</v>
      </c>
      <c r="N45" s="356"/>
    </row>
    <row r="46" spans="3:14" ht="13.5" thickBot="1">
      <c r="C46" s="317" t="s">
        <v>548</v>
      </c>
      <c r="D46" s="318" t="s">
        <v>583</v>
      </c>
      <c r="E46" s="318" t="s">
        <v>569</v>
      </c>
      <c r="F46" s="318" t="s">
        <v>538</v>
      </c>
      <c r="G46" s="368">
        <v>150</v>
      </c>
      <c r="H46" s="368">
        <v>185</v>
      </c>
      <c r="I46" s="361">
        <f t="shared" si="1"/>
        <v>35</v>
      </c>
      <c r="J46" s="362">
        <f t="shared" si="0"/>
        <v>0.23333333333333334</v>
      </c>
      <c r="K46" s="369" t="s">
        <v>529</v>
      </c>
      <c r="N46" s="356"/>
    </row>
    <row r="47" spans="3:14">
      <c r="C47" s="301" t="s">
        <v>567</v>
      </c>
      <c r="D47" s="302" t="s">
        <v>584</v>
      </c>
      <c r="E47" s="302" t="s">
        <v>569</v>
      </c>
      <c r="F47" s="302" t="s">
        <v>528</v>
      </c>
      <c r="G47" s="364">
        <v>200</v>
      </c>
      <c r="H47" s="364">
        <v>230</v>
      </c>
      <c r="I47" s="347">
        <f t="shared" si="1"/>
        <v>30</v>
      </c>
      <c r="J47" s="348">
        <f t="shared" si="0"/>
        <v>0.15</v>
      </c>
      <c r="K47" s="365" t="s">
        <v>529</v>
      </c>
      <c r="N47" s="356"/>
    </row>
    <row r="48" spans="3:14">
      <c r="C48" s="309" t="s">
        <v>567</v>
      </c>
      <c r="D48" s="310" t="s">
        <v>585</v>
      </c>
      <c r="E48" s="310" t="s">
        <v>569</v>
      </c>
      <c r="F48" s="310" t="s">
        <v>528</v>
      </c>
      <c r="G48" s="366">
        <v>200</v>
      </c>
      <c r="H48" s="366">
        <v>230</v>
      </c>
      <c r="I48" s="353">
        <f t="shared" si="1"/>
        <v>30</v>
      </c>
      <c r="J48" s="354">
        <f t="shared" si="0"/>
        <v>0.15</v>
      </c>
      <c r="K48" s="367" t="s">
        <v>529</v>
      </c>
      <c r="N48" s="356"/>
    </row>
    <row r="49" spans="1:14" ht="13.5" thickBot="1">
      <c r="C49" s="317" t="s">
        <v>573</v>
      </c>
      <c r="D49" s="318" t="s">
        <v>586</v>
      </c>
      <c r="E49" s="318" t="s">
        <v>569</v>
      </c>
      <c r="F49" s="318" t="s">
        <v>528</v>
      </c>
      <c r="G49" s="368">
        <v>200</v>
      </c>
      <c r="H49" s="368">
        <v>240</v>
      </c>
      <c r="I49" s="361">
        <f t="shared" si="1"/>
        <v>40</v>
      </c>
      <c r="J49" s="362">
        <f t="shared" si="0"/>
        <v>0.2</v>
      </c>
      <c r="K49" s="369" t="s">
        <v>529</v>
      </c>
      <c r="N49" s="356"/>
    </row>
    <row r="50" spans="1:14">
      <c r="C50" s="370" t="s">
        <v>570</v>
      </c>
      <c r="D50" s="371" t="s">
        <v>587</v>
      </c>
      <c r="E50" s="371" t="s">
        <v>569</v>
      </c>
      <c r="F50" s="371" t="s">
        <v>538</v>
      </c>
      <c r="G50" s="371">
        <v>175</v>
      </c>
      <c r="H50" s="371">
        <v>215</v>
      </c>
      <c r="I50" s="358">
        <f t="shared" si="1"/>
        <v>40</v>
      </c>
      <c r="J50" s="372">
        <f t="shared" si="0"/>
        <v>0.22857142857142856</v>
      </c>
      <c r="K50" s="373" t="s">
        <v>529</v>
      </c>
      <c r="N50" s="356"/>
    </row>
    <row r="51" spans="1:14" ht="13.5" thickBot="1">
      <c r="C51" s="374" t="s">
        <v>567</v>
      </c>
      <c r="D51" s="375" t="s">
        <v>588</v>
      </c>
      <c r="E51" s="375" t="s">
        <v>569</v>
      </c>
      <c r="F51" s="375" t="s">
        <v>538</v>
      </c>
      <c r="G51" s="375">
        <v>175</v>
      </c>
      <c r="H51" s="375">
        <v>210</v>
      </c>
      <c r="I51" s="376">
        <f t="shared" si="1"/>
        <v>35</v>
      </c>
      <c r="J51" s="377">
        <f t="shared" si="0"/>
        <v>0.2</v>
      </c>
      <c r="K51" s="378" t="s">
        <v>529</v>
      </c>
      <c r="N51" s="356"/>
    </row>
    <row r="52" spans="1:14" ht="26.25" thickBot="1">
      <c r="C52" s="379" t="s">
        <v>589</v>
      </c>
      <c r="D52" s="380" t="s">
        <v>590</v>
      </c>
      <c r="E52" s="380" t="s">
        <v>591</v>
      </c>
      <c r="F52" s="380" t="s">
        <v>592</v>
      </c>
      <c r="G52" s="381">
        <v>40</v>
      </c>
      <c r="H52" s="381">
        <v>42</v>
      </c>
      <c r="I52" s="382">
        <f t="shared" si="1"/>
        <v>2</v>
      </c>
      <c r="J52" s="383">
        <f t="shared" si="0"/>
        <v>0.05</v>
      </c>
      <c r="K52" s="384" t="s">
        <v>593</v>
      </c>
      <c r="N52" s="356"/>
    </row>
    <row r="54" spans="1:14">
      <c r="A54" s="385"/>
    </row>
  </sheetData>
  <hyperlinks>
    <hyperlink ref="K34" r:id="rId1"/>
    <hyperlink ref="K35" r:id="rId2"/>
    <hyperlink ref="K41" r:id="rId3"/>
    <hyperlink ref="K42" r:id="rId4"/>
    <hyperlink ref="J9" r:id="rId5"/>
    <hyperlink ref="J10" r:id="rId6"/>
    <hyperlink ref="J11" r:id="rId7"/>
    <hyperlink ref="J16" r:id="rId8"/>
    <hyperlink ref="J27" r:id="rId9"/>
    <hyperlink ref="J21" r:id="rId10"/>
    <hyperlink ref="J22" r:id="rId11"/>
    <hyperlink ref="J8" r:id="rId12"/>
    <hyperlink ref="J29" r:id="rId13"/>
    <hyperlink ref="J17" r:id="rId14"/>
    <hyperlink ref="J25" r:id="rId15"/>
    <hyperlink ref="J26" r:id="rId16"/>
    <hyperlink ref="J12" r:id="rId17"/>
    <hyperlink ref="J14" r:id="rId18"/>
    <hyperlink ref="J23" r:id="rId19"/>
    <hyperlink ref="J28" r:id="rId20"/>
    <hyperlink ref="J24" r:id="rId21"/>
    <hyperlink ref="J13" r:id="rId22"/>
    <hyperlink ref="J18" r:id="rId23"/>
    <hyperlink ref="J20" r:id="rId24"/>
    <hyperlink ref="J19" r:id="rId25"/>
    <hyperlink ref="J7" r:id="rId26"/>
    <hyperlink ref="K36" r:id="rId27"/>
    <hyperlink ref="K37" r:id="rId28"/>
    <hyperlink ref="K39" r:id="rId29"/>
    <hyperlink ref="K38" r:id="rId30"/>
    <hyperlink ref="K40" r:id="rId31"/>
    <hyperlink ref="K44" r:id="rId32"/>
    <hyperlink ref="K45" r:id="rId33"/>
    <hyperlink ref="K46" r:id="rId34"/>
    <hyperlink ref="K50" r:id="rId35"/>
    <hyperlink ref="K51" r:id="rId36"/>
    <hyperlink ref="K43" r:id="rId37"/>
    <hyperlink ref="K47" r:id="rId38"/>
    <hyperlink ref="K48:K49" r:id="rId39" display="1000bulbs.com"/>
    <hyperlink ref="K48" r:id="rId40"/>
    <hyperlink ref="K49" r:id="rId41"/>
  </hyperlinks>
  <pageMargins left="0.7" right="0.7" top="0.75" bottom="0.75" header="0.3" footer="0.3"/>
  <legacyDrawing r:id="rId42"/>
</worksheet>
</file>

<file path=xl/worksheets/sheet12.xml><?xml version="1.0" encoding="utf-8"?>
<worksheet xmlns="http://schemas.openxmlformats.org/spreadsheetml/2006/main" xmlns:r="http://schemas.openxmlformats.org/officeDocument/2006/relationships">
  <sheetPr codeName="Sheet12"/>
  <dimension ref="A2:P32"/>
  <sheetViews>
    <sheetView workbookViewId="0">
      <selection activeCell="C28" sqref="C28:O28"/>
    </sheetView>
  </sheetViews>
  <sheetFormatPr defaultColWidth="8.85546875" defaultRowHeight="12.75"/>
  <cols>
    <col min="1" max="1" width="6.42578125" style="218" customWidth="1"/>
    <col min="2" max="2" width="2.28515625" style="218" customWidth="1"/>
    <col min="3" max="3" width="9.28515625" style="218" customWidth="1"/>
    <col min="4" max="4" width="8.85546875" style="218"/>
    <col min="5" max="5" width="16.42578125" style="218" customWidth="1"/>
    <col min="6" max="6" width="62.7109375" style="218" customWidth="1"/>
    <col min="7" max="8" width="8.85546875" style="218"/>
    <col min="9" max="9" width="2.85546875" style="218" customWidth="1"/>
    <col min="10" max="14" width="8.85546875" style="218"/>
    <col min="15" max="15" width="51.5703125" style="218" customWidth="1"/>
    <col min="16" max="16384" width="8.85546875" style="218"/>
  </cols>
  <sheetData>
    <row r="2" spans="3:16" ht="15.75">
      <c r="C2" s="219" t="s">
        <v>440</v>
      </c>
      <c r="D2" s="219"/>
      <c r="E2" s="219"/>
      <c r="F2" s="219"/>
      <c r="G2" s="219"/>
      <c r="H2" s="219"/>
      <c r="I2" s="219"/>
      <c r="J2" s="219"/>
      <c r="K2" s="219"/>
      <c r="L2" s="219"/>
      <c r="M2" s="219"/>
      <c r="N2" s="219"/>
      <c r="O2" s="219"/>
    </row>
    <row r="4" spans="3:16">
      <c r="C4" s="220" t="s">
        <v>441</v>
      </c>
      <c r="D4" s="221"/>
      <c r="E4" s="221"/>
      <c r="F4" s="221"/>
      <c r="G4" s="222" t="s">
        <v>442</v>
      </c>
      <c r="H4" s="221"/>
      <c r="I4" s="221"/>
      <c r="J4" s="223" t="s">
        <v>443</v>
      </c>
      <c r="K4" s="221"/>
      <c r="L4" s="221"/>
      <c r="M4" s="221"/>
      <c r="N4" s="221"/>
      <c r="O4" s="224"/>
    </row>
    <row r="5" spans="3:16">
      <c r="C5" s="225" t="s">
        <v>444</v>
      </c>
      <c r="D5" s="226"/>
      <c r="E5" s="226"/>
      <c r="F5" s="226"/>
      <c r="G5" s="227">
        <v>12</v>
      </c>
      <c r="H5" s="228" t="s">
        <v>445</v>
      </c>
      <c r="I5" s="226"/>
      <c r="J5" s="229" t="s">
        <v>446</v>
      </c>
      <c r="K5" s="226"/>
      <c r="L5" s="226"/>
      <c r="M5" s="226"/>
      <c r="N5" s="226"/>
      <c r="O5" s="230"/>
    </row>
    <row r="6" spans="3:16">
      <c r="C6" s="231" t="s">
        <v>447</v>
      </c>
      <c r="D6" s="226"/>
      <c r="E6" s="226"/>
      <c r="F6" s="226"/>
      <c r="G6" s="232">
        <f>G5*365</f>
        <v>4380</v>
      </c>
      <c r="H6" s="228" t="s">
        <v>445</v>
      </c>
      <c r="I6" s="226"/>
      <c r="J6" s="229" t="s">
        <v>448</v>
      </c>
      <c r="K6" s="226"/>
      <c r="L6" s="226"/>
      <c r="M6" s="226"/>
      <c r="N6" s="226"/>
      <c r="O6" s="230"/>
    </row>
    <row r="7" spans="3:16">
      <c r="C7" s="225" t="s">
        <v>118</v>
      </c>
      <c r="D7" s="226"/>
      <c r="E7" s="226"/>
      <c r="F7" s="226"/>
      <c r="G7" s="233"/>
      <c r="H7" s="228"/>
      <c r="I7" s="228"/>
      <c r="J7" s="226"/>
      <c r="K7" s="226"/>
      <c r="L7" s="226"/>
      <c r="M7" s="226"/>
      <c r="N7" s="226"/>
      <c r="O7" s="230"/>
    </row>
    <row r="8" spans="3:16">
      <c r="C8" s="231" t="s">
        <v>449</v>
      </c>
      <c r="D8" s="226"/>
      <c r="E8" s="226"/>
      <c r="F8" s="226"/>
      <c r="G8" s="234">
        <v>48</v>
      </c>
      <c r="H8" s="228" t="s">
        <v>450</v>
      </c>
      <c r="I8" s="226"/>
      <c r="J8" s="229" t="s">
        <v>451</v>
      </c>
      <c r="K8" s="226"/>
      <c r="L8" s="226"/>
      <c r="M8" s="226"/>
      <c r="N8" s="226"/>
      <c r="O8" s="230"/>
      <c r="P8" s="235"/>
    </row>
    <row r="9" spans="3:16">
      <c r="C9" s="231" t="s">
        <v>499</v>
      </c>
      <c r="D9" s="226"/>
      <c r="E9" s="226"/>
      <c r="F9" s="226"/>
      <c r="G9" s="234">
        <f>G8*G10</f>
        <v>48</v>
      </c>
      <c r="H9" s="228" t="s">
        <v>450</v>
      </c>
      <c r="I9" s="226"/>
      <c r="J9" s="229" t="s">
        <v>501</v>
      </c>
      <c r="K9" s="226"/>
      <c r="L9" s="226"/>
      <c r="M9" s="226"/>
      <c r="N9" s="226"/>
      <c r="O9" s="230"/>
    </row>
    <row r="10" spans="3:16">
      <c r="C10" s="231" t="s">
        <v>452</v>
      </c>
      <c r="D10" s="226"/>
      <c r="E10" s="233"/>
      <c r="F10" s="226"/>
      <c r="G10" s="236">
        <v>1</v>
      </c>
      <c r="H10" s="228"/>
      <c r="I10" s="226"/>
      <c r="J10" s="228" t="s">
        <v>500</v>
      </c>
      <c r="K10" s="226"/>
      <c r="L10" s="226"/>
      <c r="M10" s="226"/>
      <c r="N10" s="226"/>
      <c r="O10" s="230"/>
    </row>
    <row r="11" spans="3:16">
      <c r="C11" s="231" t="s">
        <v>453</v>
      </c>
      <c r="D11" s="226"/>
      <c r="E11" s="233"/>
      <c r="F11" s="226"/>
      <c r="G11" s="234">
        <v>30</v>
      </c>
      <c r="H11" s="228" t="s">
        <v>454</v>
      </c>
      <c r="I11" s="226"/>
      <c r="J11" s="229" t="s">
        <v>455</v>
      </c>
      <c r="K11" s="226"/>
      <c r="L11" s="226"/>
      <c r="M11" s="226"/>
      <c r="N11" s="226"/>
      <c r="O11" s="230"/>
    </row>
    <row r="12" spans="3:16">
      <c r="C12" s="231" t="s">
        <v>456</v>
      </c>
      <c r="D12" s="226"/>
      <c r="E12" s="226"/>
      <c r="F12" s="226"/>
      <c r="G12" s="232">
        <v>2</v>
      </c>
      <c r="H12" s="228" t="s">
        <v>457</v>
      </c>
      <c r="I12" s="226"/>
      <c r="J12" s="229" t="s">
        <v>458</v>
      </c>
      <c r="K12" s="226"/>
      <c r="L12" s="226"/>
      <c r="M12" s="226"/>
      <c r="N12" s="226"/>
      <c r="O12" s="230"/>
    </row>
    <row r="13" spans="3:16">
      <c r="C13" s="237" t="s">
        <v>459</v>
      </c>
      <c r="D13" s="226"/>
      <c r="E13" s="233"/>
      <c r="F13" s="226"/>
      <c r="G13" s="238"/>
      <c r="H13" s="228"/>
      <c r="I13" s="226"/>
      <c r="J13" s="239"/>
      <c r="K13" s="226"/>
      <c r="L13" s="226"/>
      <c r="M13" s="226"/>
      <c r="N13" s="226"/>
      <c r="O13" s="230"/>
    </row>
    <row r="14" spans="3:16">
      <c r="C14" s="231" t="s">
        <v>460</v>
      </c>
      <c r="D14" s="226"/>
      <c r="E14" s="233"/>
      <c r="F14" s="226"/>
      <c r="G14" s="226"/>
      <c r="H14" s="226"/>
      <c r="I14" s="226"/>
      <c r="J14" s="239"/>
      <c r="K14" s="226"/>
      <c r="L14" s="226"/>
      <c r="M14" s="226"/>
      <c r="N14" s="226"/>
      <c r="O14" s="230"/>
    </row>
    <row r="15" spans="3:16">
      <c r="C15" s="240" t="s">
        <v>461</v>
      </c>
      <c r="D15" s="226"/>
      <c r="E15" s="233"/>
      <c r="F15" s="226"/>
      <c r="G15" s="241">
        <f>0.25*G12</f>
        <v>0.5</v>
      </c>
      <c r="H15" s="242" t="s">
        <v>462</v>
      </c>
      <c r="I15" s="226"/>
      <c r="J15" s="229" t="s">
        <v>463</v>
      </c>
      <c r="K15" s="226"/>
      <c r="L15" s="226"/>
      <c r="M15" s="226"/>
      <c r="N15" s="226"/>
      <c r="O15" s="230"/>
    </row>
    <row r="16" spans="3:16">
      <c r="C16" s="231" t="s">
        <v>464</v>
      </c>
      <c r="D16" s="226"/>
      <c r="E16" s="233"/>
      <c r="F16" s="226"/>
      <c r="G16" s="243"/>
      <c r="H16" s="242"/>
      <c r="I16" s="226"/>
      <c r="J16" s="239"/>
      <c r="K16" s="226"/>
      <c r="L16" s="226"/>
      <c r="M16" s="226"/>
      <c r="N16" s="226"/>
      <c r="O16" s="230"/>
    </row>
    <row r="17" spans="1:15">
      <c r="C17" s="240" t="s">
        <v>461</v>
      </c>
      <c r="D17" s="226"/>
      <c r="E17" s="233"/>
      <c r="F17" s="226"/>
      <c r="G17" s="241">
        <f>0.5*G12</f>
        <v>1</v>
      </c>
      <c r="H17" s="242" t="s">
        <v>462</v>
      </c>
      <c r="I17" s="226"/>
      <c r="J17" s="229" t="s">
        <v>463</v>
      </c>
      <c r="K17" s="226"/>
      <c r="L17" s="226"/>
      <c r="M17" s="226"/>
      <c r="N17" s="226"/>
      <c r="O17" s="230"/>
    </row>
    <row r="18" spans="1:15">
      <c r="C18" s="237" t="s">
        <v>465</v>
      </c>
      <c r="D18" s="226"/>
      <c r="E18" s="233"/>
      <c r="F18" s="226"/>
      <c r="G18" s="238"/>
      <c r="H18" s="228"/>
      <c r="I18" s="226"/>
      <c r="J18" s="239"/>
      <c r="K18" s="226"/>
      <c r="L18" s="226"/>
      <c r="M18" s="226"/>
      <c r="N18" s="226"/>
      <c r="O18" s="230"/>
    </row>
    <row r="19" spans="1:15">
      <c r="C19" s="231" t="s">
        <v>466</v>
      </c>
      <c r="D19" s="226"/>
      <c r="E19" s="233"/>
      <c r="F19" s="226"/>
      <c r="G19" s="236">
        <v>0.33</v>
      </c>
      <c r="H19" s="242" t="s">
        <v>462</v>
      </c>
      <c r="I19" s="226"/>
      <c r="J19" s="229" t="s">
        <v>467</v>
      </c>
      <c r="K19" s="226"/>
      <c r="L19" s="226"/>
      <c r="M19" s="226"/>
      <c r="N19" s="226"/>
      <c r="O19" s="230"/>
    </row>
    <row r="20" spans="1:15">
      <c r="C20" s="231" t="s">
        <v>468</v>
      </c>
      <c r="D20" s="226"/>
      <c r="E20" s="233"/>
      <c r="F20" s="226"/>
      <c r="G20" s="236">
        <v>0.25</v>
      </c>
      <c r="H20" s="242" t="s">
        <v>462</v>
      </c>
      <c r="I20" s="228"/>
      <c r="J20" s="244" t="s">
        <v>463</v>
      </c>
      <c r="K20" s="226"/>
      <c r="L20" s="226"/>
      <c r="M20" s="226"/>
      <c r="N20" s="226"/>
      <c r="O20" s="230"/>
    </row>
    <row r="21" spans="1:15">
      <c r="C21" s="231" t="s">
        <v>469</v>
      </c>
      <c r="D21" s="226"/>
      <c r="E21" s="233"/>
      <c r="F21" s="226"/>
      <c r="G21" s="236">
        <f>G20+G19</f>
        <v>0.58000000000000007</v>
      </c>
      <c r="H21" s="242" t="s">
        <v>462</v>
      </c>
      <c r="I21" s="228"/>
      <c r="J21" s="244" t="s">
        <v>470</v>
      </c>
      <c r="K21" s="226"/>
      <c r="L21" s="226"/>
      <c r="M21" s="226"/>
      <c r="N21" s="226"/>
      <c r="O21" s="230"/>
    </row>
    <row r="22" spans="1:15">
      <c r="C22" s="231" t="s">
        <v>471</v>
      </c>
      <c r="D22" s="226"/>
      <c r="E22" s="233"/>
      <c r="F22" s="226"/>
      <c r="G22" s="236">
        <f>G15+G19</f>
        <v>0.83000000000000007</v>
      </c>
      <c r="H22" s="242" t="s">
        <v>462</v>
      </c>
      <c r="I22" s="228"/>
      <c r="J22" s="244" t="s">
        <v>472</v>
      </c>
      <c r="K22" s="226"/>
      <c r="L22" s="226"/>
      <c r="M22" s="226"/>
      <c r="N22" s="226"/>
      <c r="O22" s="230"/>
    </row>
    <row r="23" spans="1:15">
      <c r="C23" s="231" t="s">
        <v>473</v>
      </c>
      <c r="D23" s="226"/>
      <c r="E23" s="233"/>
      <c r="F23" s="226"/>
      <c r="G23" s="236">
        <f>G17+G19</f>
        <v>1.33</v>
      </c>
      <c r="H23" s="242"/>
      <c r="I23" s="228"/>
      <c r="J23" s="244" t="s">
        <v>472</v>
      </c>
      <c r="K23" s="226"/>
      <c r="L23" s="226"/>
      <c r="M23" s="226"/>
      <c r="N23" s="226"/>
      <c r="O23" s="230"/>
    </row>
    <row r="24" spans="1:15">
      <c r="C24" s="245"/>
      <c r="D24" s="246"/>
      <c r="E24" s="247"/>
      <c r="F24" s="246"/>
      <c r="G24" s="248"/>
      <c r="H24" s="249"/>
      <c r="I24" s="250"/>
      <c r="J24" s="251"/>
      <c r="K24" s="246"/>
      <c r="L24" s="246"/>
      <c r="M24" s="246"/>
      <c r="N24" s="246"/>
      <c r="O24" s="252"/>
    </row>
    <row r="26" spans="1:15" ht="38.25" customHeight="1">
      <c r="A26" s="253" t="s">
        <v>474</v>
      </c>
      <c r="B26" s="254" t="s">
        <v>412</v>
      </c>
      <c r="C26" s="436" t="s">
        <v>475</v>
      </c>
      <c r="D26" s="436"/>
      <c r="E26" s="436"/>
      <c r="F26" s="436"/>
      <c r="G26" s="436"/>
      <c r="H26" s="436"/>
      <c r="I26" s="436"/>
      <c r="J26" s="436"/>
      <c r="K26" s="436"/>
      <c r="L26" s="436"/>
      <c r="M26" s="436"/>
      <c r="N26" s="436"/>
      <c r="O26" s="436"/>
    </row>
    <row r="27" spans="1:15">
      <c r="C27" s="255"/>
      <c r="D27" s="255"/>
      <c r="E27" s="255"/>
      <c r="F27" s="255"/>
      <c r="G27" s="255"/>
      <c r="H27" s="255"/>
      <c r="I27" s="255"/>
      <c r="J27" s="255"/>
      <c r="K27" s="255"/>
      <c r="L27" s="255"/>
    </row>
    <row r="28" spans="1:15" ht="39" customHeight="1">
      <c r="B28" s="254" t="s">
        <v>414</v>
      </c>
      <c r="C28" s="437" t="s">
        <v>476</v>
      </c>
      <c r="D28" s="437"/>
      <c r="E28" s="437"/>
      <c r="F28" s="437"/>
      <c r="G28" s="437"/>
      <c r="H28" s="437"/>
      <c r="I28" s="437"/>
      <c r="J28" s="437"/>
      <c r="K28" s="437"/>
      <c r="L28" s="437"/>
      <c r="M28" s="437"/>
      <c r="N28" s="437"/>
      <c r="O28" s="437"/>
    </row>
    <row r="29" spans="1:15">
      <c r="C29" s="255"/>
      <c r="D29" s="255"/>
      <c r="E29" s="255"/>
      <c r="F29" s="255"/>
      <c r="G29" s="255"/>
      <c r="H29" s="255"/>
      <c r="I29" s="255"/>
      <c r="J29" s="255"/>
      <c r="K29" s="255"/>
      <c r="L29" s="255"/>
    </row>
    <row r="30" spans="1:15" ht="24.75" customHeight="1">
      <c r="B30" s="254" t="s">
        <v>416</v>
      </c>
      <c r="C30" s="437" t="s">
        <v>477</v>
      </c>
      <c r="D30" s="437"/>
      <c r="E30" s="437"/>
      <c r="F30" s="437"/>
      <c r="G30" s="437"/>
      <c r="H30" s="437"/>
      <c r="I30" s="437"/>
      <c r="J30" s="437"/>
      <c r="K30" s="437"/>
      <c r="L30" s="437"/>
      <c r="M30" s="437"/>
      <c r="N30" s="437"/>
      <c r="O30" s="437"/>
    </row>
    <row r="31" spans="1:15">
      <c r="B31" s="256"/>
    </row>
    <row r="32" spans="1:15">
      <c r="B32" s="254" t="s">
        <v>418</v>
      </c>
      <c r="C32" s="255" t="s">
        <v>478</v>
      </c>
      <c r="D32" s="255"/>
      <c r="E32" s="255"/>
      <c r="F32" s="255"/>
      <c r="G32" s="255"/>
      <c r="H32" s="255"/>
      <c r="I32" s="255"/>
      <c r="J32" s="255"/>
      <c r="K32" s="255"/>
      <c r="L32" s="255"/>
      <c r="M32" s="255"/>
      <c r="N32" s="255"/>
      <c r="O32" s="255"/>
    </row>
  </sheetData>
  <mergeCells count="3">
    <mergeCell ref="C26:O26"/>
    <mergeCell ref="C28:O28"/>
    <mergeCell ref="C30:O30"/>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13"/>
  <dimension ref="A1:J47"/>
  <sheetViews>
    <sheetView workbookViewId="0">
      <selection activeCell="C40" sqref="C40"/>
    </sheetView>
  </sheetViews>
  <sheetFormatPr defaultColWidth="8.85546875" defaultRowHeight="12.75"/>
  <cols>
    <col min="1" max="1" width="6.5703125" style="218" customWidth="1"/>
    <col min="2" max="2" width="2.28515625" style="218" customWidth="1"/>
    <col min="3" max="3" width="30.85546875" style="218" customWidth="1"/>
    <col min="4" max="4" width="11.85546875" style="218" customWidth="1"/>
    <col min="5" max="5" width="10.7109375" style="218" customWidth="1"/>
    <col min="6" max="6" width="10.42578125" style="218" customWidth="1"/>
    <col min="7" max="7" width="15.28515625" style="218" customWidth="1"/>
    <col min="8" max="8" width="12" style="218" customWidth="1"/>
    <col min="9" max="9" width="14.140625" style="218" customWidth="1"/>
    <col min="10" max="16384" width="8.85546875" style="218"/>
  </cols>
  <sheetData>
    <row r="1" spans="1:10">
      <c r="C1" s="7" t="s">
        <v>439</v>
      </c>
    </row>
    <row r="2" spans="1:10" ht="15.75">
      <c r="C2" s="257" t="s">
        <v>479</v>
      </c>
      <c r="D2" s="258"/>
      <c r="E2" s="258"/>
      <c r="F2" s="258"/>
      <c r="G2" s="258"/>
      <c r="H2" s="258"/>
      <c r="I2" s="259"/>
    </row>
    <row r="3" spans="1:10">
      <c r="C3" s="260"/>
      <c r="D3" s="261"/>
      <c r="E3" s="261"/>
      <c r="F3" s="261"/>
      <c r="G3" s="261"/>
      <c r="H3" s="261"/>
    </row>
    <row r="4" spans="1:10" ht="76.5">
      <c r="C4" s="262" t="s">
        <v>480</v>
      </c>
      <c r="D4" s="262" t="s">
        <v>481</v>
      </c>
      <c r="E4" s="263" t="s">
        <v>482</v>
      </c>
      <c r="F4" s="263" t="s">
        <v>483</v>
      </c>
      <c r="G4" s="264" t="s">
        <v>484</v>
      </c>
      <c r="H4" s="264" t="s">
        <v>485</v>
      </c>
      <c r="I4" s="265" t="s">
        <v>486</v>
      </c>
    </row>
    <row r="5" spans="1:10">
      <c r="C5" s="266" t="s">
        <v>487</v>
      </c>
      <c r="D5" s="266">
        <v>100</v>
      </c>
      <c r="E5" s="267">
        <f>AVERAGE('RawCost&amp;PowerData'!J34:J40)</f>
        <v>0.21</v>
      </c>
      <c r="F5" s="268">
        <f t="shared" ref="F5" si="0">D5+D5*E5</f>
        <v>121</v>
      </c>
      <c r="G5" s="269">
        <f>AVERAGE('RawCost&amp;PowerData'!H8:H14)</f>
        <v>21571.428571428572</v>
      </c>
      <c r="H5" s="270">
        <f>(F5*Assumptions!$G$6)/1000</f>
        <v>529.98</v>
      </c>
      <c r="I5" s="271">
        <f>G5/Assumptions!$G$6</f>
        <v>4.9249836921069798</v>
      </c>
    </row>
    <row r="6" spans="1:10">
      <c r="C6" s="266" t="s">
        <v>488</v>
      </c>
      <c r="D6" s="272">
        <v>150</v>
      </c>
      <c r="E6" s="267">
        <f>AVERAGE('RawCost&amp;PowerData'!J41:J46)</f>
        <v>0.18555555555555556</v>
      </c>
      <c r="F6" s="268">
        <f>D6+D6*E6</f>
        <v>177.83333333333334</v>
      </c>
      <c r="G6" s="269">
        <f>AVERAGE('RawCost&amp;PowerData'!H15:H20)</f>
        <v>19500</v>
      </c>
      <c r="H6" s="270">
        <f>(F6*Assumptions!$G$6)/1000</f>
        <v>778.91</v>
      </c>
      <c r="I6" s="271">
        <f>G6/Assumptions!$G$6</f>
        <v>4.4520547945205475</v>
      </c>
    </row>
    <row r="7" spans="1:10">
      <c r="C7" s="266" t="s">
        <v>489</v>
      </c>
      <c r="D7" s="272">
        <v>175</v>
      </c>
      <c r="E7" s="267">
        <f>AVERAGE('RawCost&amp;PowerData'!J50:'RawCost&amp;PowerData'!J51)</f>
        <v>0.2142857142857143</v>
      </c>
      <c r="F7" s="268">
        <f>D7+D7*E7</f>
        <v>212.5</v>
      </c>
      <c r="G7" s="269">
        <f>AVERAGE('RawCost&amp;PowerData'!H24:H26)</f>
        <v>10000</v>
      </c>
      <c r="H7" s="270">
        <f>(F7*Assumptions!$G$6)/1000</f>
        <v>930.75</v>
      </c>
      <c r="I7" s="273">
        <f>G7/Assumptions!$G$6</f>
        <v>2.2831050228310503</v>
      </c>
    </row>
    <row r="8" spans="1:10">
      <c r="C8" s="266" t="s">
        <v>490</v>
      </c>
      <c r="D8" s="272">
        <v>200</v>
      </c>
      <c r="E8" s="267">
        <f>AVERAGE('RawCost&amp;PowerData'!J47:'RawCost&amp;PowerData'!J49)</f>
        <v>0.16666666666666666</v>
      </c>
      <c r="F8" s="268">
        <f>D8+D8*E8</f>
        <v>233.33333333333331</v>
      </c>
      <c r="G8" s="269">
        <f>AVERAGE('RawCost&amp;PowerData'!H27:H29)</f>
        <v>24000</v>
      </c>
      <c r="H8" s="270">
        <f>(F8*Assumptions!$G$6)/1000</f>
        <v>1021.9999999999999</v>
      </c>
      <c r="I8" s="271">
        <f>G8/Assumptions!$G$6</f>
        <v>5.4794520547945202</v>
      </c>
    </row>
    <row r="9" spans="1:10">
      <c r="C9" s="216" t="s">
        <v>491</v>
      </c>
      <c r="D9" s="274">
        <v>50</v>
      </c>
      <c r="E9" s="275">
        <v>0</v>
      </c>
      <c r="F9" s="268">
        <f>D9+D9*E9</f>
        <v>50</v>
      </c>
      <c r="G9" s="276">
        <f>'RawCost&amp;PowerData'!$H$5</f>
        <v>70000</v>
      </c>
      <c r="H9" s="270">
        <f>(F9*Assumptions!$G$6)/1000</f>
        <v>219</v>
      </c>
      <c r="I9" s="271">
        <f>G9/Assumptions!$G$6</f>
        <v>15.981735159817351</v>
      </c>
      <c r="J9" s="218" t="s">
        <v>492</v>
      </c>
    </row>
    <row r="10" spans="1:10">
      <c r="C10" s="216" t="s">
        <v>493</v>
      </c>
      <c r="D10" s="274">
        <v>40</v>
      </c>
      <c r="E10" s="275">
        <v>0</v>
      </c>
      <c r="F10" s="268">
        <f t="shared" ref="F10:F11" si="1">D10+D10*E10</f>
        <v>40</v>
      </c>
      <c r="G10" s="276">
        <f>'RawCost&amp;PowerData'!$H$5</f>
        <v>70000</v>
      </c>
      <c r="H10" s="270">
        <f>(F10*Assumptions!$G$6)/1000</f>
        <v>175.2</v>
      </c>
      <c r="I10" s="271">
        <f>G10/Assumptions!$G$6</f>
        <v>15.981735159817351</v>
      </c>
      <c r="J10" s="218" t="s">
        <v>494</v>
      </c>
    </row>
    <row r="11" spans="1:10">
      <c r="C11" s="216" t="s">
        <v>495</v>
      </c>
      <c r="D11" s="274">
        <v>30</v>
      </c>
      <c r="E11" s="275">
        <v>0</v>
      </c>
      <c r="F11" s="268">
        <f t="shared" si="1"/>
        <v>30</v>
      </c>
      <c r="G11" s="276">
        <f>'RawCost&amp;PowerData'!$H$5</f>
        <v>70000</v>
      </c>
      <c r="H11" s="270">
        <f>(F11*Assumptions!$G$6)/1000</f>
        <v>131.4</v>
      </c>
      <c r="I11" s="271">
        <f>G11/Assumptions!$G$6</f>
        <v>15.981735159817351</v>
      </c>
      <c r="J11" s="218" t="s">
        <v>494</v>
      </c>
    </row>
    <row r="13" spans="1:10" ht="21.75" customHeight="1">
      <c r="A13" s="253" t="s">
        <v>474</v>
      </c>
      <c r="B13" s="256" t="s">
        <v>412</v>
      </c>
      <c r="C13" s="438" t="s">
        <v>496</v>
      </c>
      <c r="D13" s="438"/>
      <c r="E13" s="438"/>
      <c r="F13" s="438"/>
      <c r="G13" s="438"/>
      <c r="H13" s="438"/>
      <c r="I13" s="438"/>
    </row>
    <row r="14" spans="1:10">
      <c r="B14" s="256" t="s">
        <v>414</v>
      </c>
      <c r="C14" s="277" t="s">
        <v>497</v>
      </c>
      <c r="D14" s="277"/>
      <c r="E14" s="277"/>
      <c r="F14" s="277"/>
      <c r="G14" s="277"/>
      <c r="H14" s="277"/>
      <c r="I14" s="277"/>
    </row>
    <row r="15" spans="1:10">
      <c r="B15" s="256"/>
      <c r="C15" s="278"/>
      <c r="D15" s="279"/>
      <c r="E15" s="279"/>
      <c r="F15" s="279"/>
      <c r="G15" s="279"/>
      <c r="H15" s="279"/>
      <c r="I15" s="279"/>
    </row>
    <row r="16" spans="1:10">
      <c r="B16" s="256"/>
    </row>
    <row r="17" spans="2:9">
      <c r="B17" s="256"/>
      <c r="C17" s="278"/>
      <c r="D17" s="279"/>
      <c r="E17" s="279"/>
      <c r="F17" s="279"/>
      <c r="G17" s="279"/>
      <c r="H17" s="279"/>
      <c r="I17" s="279"/>
    </row>
    <row r="18" spans="2:9">
      <c r="B18" s="256"/>
      <c r="D18" s="387" t="s">
        <v>594</v>
      </c>
    </row>
    <row r="19" spans="2:9">
      <c r="B19" s="256"/>
      <c r="C19" s="280"/>
      <c r="D19" s="388">
        <f>[3]Efficacy!$R$27/[3]Efficacy!$U$27</f>
        <v>0.84313725490196079</v>
      </c>
      <c r="E19" s="280"/>
      <c r="F19" s="280"/>
      <c r="G19" s="280"/>
      <c r="H19" s="280"/>
      <c r="I19" s="280"/>
    </row>
    <row r="21" spans="2:9">
      <c r="B21" s="254"/>
      <c r="C21" s="439"/>
      <c r="D21" s="439"/>
      <c r="E21" s="439"/>
      <c r="F21" s="439"/>
      <c r="G21" s="439"/>
      <c r="H21" s="439"/>
      <c r="I21" s="439"/>
    </row>
    <row r="33" spans="1:9">
      <c r="D33" s="260"/>
      <c r="E33" s="260"/>
      <c r="F33" s="260"/>
      <c r="G33" s="260"/>
      <c r="H33" s="260"/>
    </row>
    <row r="34" spans="1:9">
      <c r="A34" s="281"/>
      <c r="B34" s="281"/>
      <c r="C34" s="233"/>
      <c r="D34" s="233"/>
      <c r="E34" s="233"/>
      <c r="F34" s="233"/>
      <c r="G34" s="233"/>
      <c r="H34" s="233"/>
      <c r="I34" s="281"/>
    </row>
    <row r="35" spans="1:9" ht="15">
      <c r="A35" s="281"/>
      <c r="B35" s="281"/>
      <c r="C35" s="282"/>
      <c r="D35" s="283"/>
      <c r="E35" s="283"/>
      <c r="F35" s="283"/>
      <c r="G35" s="283"/>
      <c r="H35" s="283"/>
      <c r="I35" s="281"/>
    </row>
    <row r="36" spans="1:9">
      <c r="A36" s="281"/>
      <c r="B36" s="281"/>
      <c r="C36" s="233"/>
      <c r="D36" s="233"/>
      <c r="E36" s="233"/>
      <c r="F36" s="233"/>
      <c r="G36" s="233"/>
      <c r="H36" s="233"/>
      <c r="I36" s="281"/>
    </row>
    <row r="37" spans="1:9">
      <c r="A37" s="281"/>
      <c r="B37" s="281"/>
      <c r="C37" s="284"/>
      <c r="D37" s="284"/>
      <c r="E37" s="284"/>
      <c r="F37" s="284"/>
      <c r="G37" s="261"/>
      <c r="H37" s="261"/>
      <c r="I37" s="281"/>
    </row>
    <row r="38" spans="1:9">
      <c r="A38" s="281"/>
      <c r="B38" s="281"/>
      <c r="C38" s="285"/>
      <c r="D38" s="285"/>
      <c r="E38" s="285"/>
      <c r="F38" s="285"/>
      <c r="G38" s="286"/>
      <c r="H38" s="286"/>
      <c r="I38" s="281"/>
    </row>
    <row r="39" spans="1:9">
      <c r="A39" s="281"/>
      <c r="B39" s="281"/>
      <c r="C39" s="285"/>
      <c r="D39" s="285"/>
      <c r="E39" s="285"/>
      <c r="F39" s="285"/>
      <c r="G39" s="286"/>
      <c r="H39" s="286"/>
      <c r="I39" s="281"/>
    </row>
    <row r="40" spans="1:9">
      <c r="A40" s="281"/>
      <c r="B40" s="281"/>
      <c r="C40" s="287"/>
      <c r="D40" s="287"/>
      <c r="E40" s="287"/>
      <c r="F40" s="287"/>
      <c r="G40" s="288"/>
      <c r="H40" s="288"/>
      <c r="I40" s="281"/>
    </row>
    <row r="41" spans="1:9">
      <c r="A41" s="281"/>
      <c r="B41" s="281"/>
      <c r="C41" s="287"/>
      <c r="D41" s="287"/>
      <c r="E41" s="287"/>
      <c r="F41" s="287"/>
      <c r="G41" s="288"/>
      <c r="H41" s="288"/>
      <c r="I41" s="281"/>
    </row>
    <row r="42" spans="1:9">
      <c r="A42" s="281"/>
      <c r="B42" s="281"/>
      <c r="C42" s="287"/>
      <c r="D42" s="287"/>
      <c r="E42" s="287"/>
      <c r="F42" s="287"/>
      <c r="G42" s="288"/>
      <c r="H42" s="288"/>
      <c r="I42" s="281"/>
    </row>
    <row r="43" spans="1:9">
      <c r="A43" s="281"/>
      <c r="B43" s="281"/>
      <c r="C43" s="288"/>
      <c r="D43" s="288"/>
      <c r="E43" s="288"/>
      <c r="F43" s="288"/>
      <c r="G43" s="288"/>
      <c r="H43" s="288"/>
      <c r="I43" s="281"/>
    </row>
    <row r="44" spans="1:9">
      <c r="A44" s="281"/>
      <c r="B44" s="281"/>
      <c r="C44" s="289"/>
      <c r="D44" s="289"/>
      <c r="E44" s="289"/>
      <c r="F44" s="289"/>
      <c r="G44" s="289"/>
      <c r="H44" s="289"/>
      <c r="I44" s="281"/>
    </row>
    <row r="45" spans="1:9">
      <c r="A45" s="281"/>
      <c r="B45" s="281"/>
      <c r="C45" s="287"/>
      <c r="D45" s="287"/>
      <c r="E45" s="287"/>
      <c r="F45" s="287"/>
      <c r="G45" s="288"/>
      <c r="H45" s="288"/>
      <c r="I45" s="281"/>
    </row>
    <row r="46" spans="1:9">
      <c r="A46" s="281"/>
      <c r="B46" s="281"/>
      <c r="C46" s="281"/>
      <c r="D46" s="281"/>
      <c r="E46" s="281"/>
      <c r="F46" s="281"/>
      <c r="G46" s="281"/>
      <c r="H46" s="281"/>
      <c r="I46" s="281"/>
    </row>
    <row r="47" spans="1:9">
      <c r="A47" s="281"/>
      <c r="B47" s="281"/>
      <c r="C47" s="281"/>
      <c r="D47" s="281"/>
      <c r="E47" s="281"/>
      <c r="F47" s="281"/>
      <c r="G47" s="281"/>
      <c r="H47" s="281"/>
      <c r="I47" s="281"/>
    </row>
  </sheetData>
  <mergeCells count="2">
    <mergeCell ref="C13:I13"/>
    <mergeCell ref="C21:I2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sheetPr codeName="Sheet3"/>
  <dimension ref="A1:BD54"/>
  <sheetViews>
    <sheetView tabSelected="1" workbookViewId="0">
      <selection activeCell="E13" sqref="E13"/>
    </sheetView>
  </sheetViews>
  <sheetFormatPr defaultRowHeight="12.75"/>
  <cols>
    <col min="1" max="2" width="21.85546875" style="409" customWidth="1"/>
    <col min="3" max="3" width="40.28515625" style="409" bestFit="1" customWidth="1"/>
    <col min="4" max="4" width="12.28515625" style="409" bestFit="1" customWidth="1"/>
    <col min="5" max="5" width="30.5703125" style="409" bestFit="1" customWidth="1"/>
    <col min="6" max="16384" width="9.140625" style="409"/>
  </cols>
  <sheetData>
    <row r="1" spans="1:56" ht="15.75" thickBot="1">
      <c r="A1" s="401" t="s">
        <v>623</v>
      </c>
      <c r="B1" s="401" t="s">
        <v>624</v>
      </c>
      <c r="C1" s="401" t="s">
        <v>625</v>
      </c>
      <c r="D1" s="401" t="s">
        <v>626</v>
      </c>
      <c r="E1" s="401" t="s">
        <v>627</v>
      </c>
      <c r="F1" s="401" t="s">
        <v>628</v>
      </c>
      <c r="G1" s="401" t="s">
        <v>629</v>
      </c>
      <c r="H1" s="401" t="s">
        <v>630</v>
      </c>
      <c r="I1" s="401" t="s">
        <v>631</v>
      </c>
      <c r="J1" s="401" t="s">
        <v>37</v>
      </c>
      <c r="K1" s="402">
        <v>2016</v>
      </c>
      <c r="L1" s="403">
        <v>2017</v>
      </c>
      <c r="M1" s="403">
        <v>2018</v>
      </c>
      <c r="N1" s="403">
        <v>2019</v>
      </c>
      <c r="O1" s="403">
        <v>2020</v>
      </c>
      <c r="P1" s="403">
        <v>2021</v>
      </c>
      <c r="Q1" s="403">
        <v>2022</v>
      </c>
      <c r="R1" s="403">
        <v>2023</v>
      </c>
      <c r="S1" s="403">
        <v>2024</v>
      </c>
      <c r="T1" s="403">
        <v>2025</v>
      </c>
      <c r="U1" s="403">
        <v>2026</v>
      </c>
      <c r="V1" s="403">
        <v>2027</v>
      </c>
      <c r="W1" s="403">
        <v>2028</v>
      </c>
      <c r="X1" s="403">
        <v>2029</v>
      </c>
      <c r="Y1" s="403">
        <v>2030</v>
      </c>
      <c r="Z1" s="403">
        <v>2031</v>
      </c>
      <c r="AA1" s="403">
        <v>2032</v>
      </c>
      <c r="AB1" s="403">
        <v>2033</v>
      </c>
      <c r="AC1" s="403">
        <v>2034</v>
      </c>
      <c r="AD1" s="403">
        <v>2035</v>
      </c>
      <c r="AE1" s="404" t="s">
        <v>32</v>
      </c>
      <c r="AF1" s="405" t="s">
        <v>383</v>
      </c>
      <c r="AG1" s="406"/>
      <c r="AH1" s="406"/>
      <c r="AI1" s="406"/>
      <c r="AJ1" s="406"/>
      <c r="AK1" s="406"/>
      <c r="AL1" s="406"/>
      <c r="AM1" s="406"/>
      <c r="AN1" s="406"/>
      <c r="AO1" s="406"/>
      <c r="AP1" s="406"/>
      <c r="AQ1" s="407"/>
      <c r="AR1" s="408"/>
      <c r="AS1" s="405" t="s">
        <v>384</v>
      </c>
      <c r="AT1" s="406"/>
      <c r="AU1" s="406"/>
      <c r="AV1" s="406"/>
      <c r="AW1" s="406"/>
      <c r="AX1" s="406"/>
      <c r="AY1" s="406"/>
      <c r="AZ1" s="406"/>
      <c r="BA1" s="406"/>
      <c r="BB1" s="406"/>
      <c r="BC1" s="406"/>
      <c r="BD1" s="407"/>
    </row>
    <row r="2" spans="1:56" ht="15">
      <c r="A2" s="401"/>
      <c r="B2" s="401"/>
      <c r="C2" s="401"/>
      <c r="D2" s="401"/>
      <c r="E2" s="401"/>
      <c r="F2" s="401" t="s">
        <v>385</v>
      </c>
      <c r="G2" s="401" t="s">
        <v>22</v>
      </c>
      <c r="H2" s="401" t="s">
        <v>36</v>
      </c>
      <c r="I2" s="401">
        <v>1</v>
      </c>
      <c r="J2" s="401"/>
      <c r="K2" s="410" t="str">
        <f t="shared" ref="K2:AD2" si="0">CONCATENATE("aMW_",K$1)</f>
        <v>aMW_2016</v>
      </c>
      <c r="L2" s="411" t="str">
        <f t="shared" si="0"/>
        <v>aMW_2017</v>
      </c>
      <c r="M2" s="411" t="str">
        <f t="shared" si="0"/>
        <v>aMW_2018</v>
      </c>
      <c r="N2" s="411" t="str">
        <f t="shared" si="0"/>
        <v>aMW_2019</v>
      </c>
      <c r="O2" s="411" t="str">
        <f t="shared" si="0"/>
        <v>aMW_2020</v>
      </c>
      <c r="P2" s="411" t="str">
        <f t="shared" si="0"/>
        <v>aMW_2021</v>
      </c>
      <c r="Q2" s="411" t="str">
        <f t="shared" si="0"/>
        <v>aMW_2022</v>
      </c>
      <c r="R2" s="411" t="str">
        <f t="shared" si="0"/>
        <v>aMW_2023</v>
      </c>
      <c r="S2" s="411" t="str">
        <f t="shared" si="0"/>
        <v>aMW_2024</v>
      </c>
      <c r="T2" s="411" t="str">
        <f t="shared" si="0"/>
        <v>aMW_2025</v>
      </c>
      <c r="U2" s="411" t="str">
        <f t="shared" si="0"/>
        <v>aMW_2026</v>
      </c>
      <c r="V2" s="411" t="str">
        <f t="shared" si="0"/>
        <v>aMW_2027</v>
      </c>
      <c r="W2" s="411" t="str">
        <f t="shared" si="0"/>
        <v>aMW_2028</v>
      </c>
      <c r="X2" s="411" t="str">
        <f t="shared" si="0"/>
        <v>aMW_2029</v>
      </c>
      <c r="Y2" s="411" t="str">
        <f t="shared" si="0"/>
        <v>aMW_2030</v>
      </c>
      <c r="Z2" s="411" t="str">
        <f t="shared" si="0"/>
        <v>aMW_2031</v>
      </c>
      <c r="AA2" s="411" t="str">
        <f t="shared" si="0"/>
        <v>aMW_2032</v>
      </c>
      <c r="AB2" s="411" t="str">
        <f t="shared" si="0"/>
        <v>aMW_2033</v>
      </c>
      <c r="AC2" s="411" t="str">
        <f t="shared" si="0"/>
        <v>aMW_2034</v>
      </c>
      <c r="AD2" s="411" t="str">
        <f t="shared" si="0"/>
        <v>aMW_2035</v>
      </c>
      <c r="AE2" s="412" t="s">
        <v>32</v>
      </c>
      <c r="AF2" s="413" t="s">
        <v>325</v>
      </c>
      <c r="AG2" s="413" t="s">
        <v>326</v>
      </c>
      <c r="AH2" s="413" t="s">
        <v>327</v>
      </c>
      <c r="AI2" s="413" t="s">
        <v>328</v>
      </c>
      <c r="AJ2" s="413" t="s">
        <v>329</v>
      </c>
      <c r="AK2" s="413" t="s">
        <v>330</v>
      </c>
      <c r="AL2" s="413" t="s">
        <v>331</v>
      </c>
      <c r="AM2" s="413" t="s">
        <v>332</v>
      </c>
      <c r="AN2" s="413" t="s">
        <v>333</v>
      </c>
      <c r="AO2" s="413" t="s">
        <v>334</v>
      </c>
      <c r="AP2" s="413" t="s">
        <v>335</v>
      </c>
      <c r="AQ2" s="413" t="s">
        <v>336</v>
      </c>
      <c r="AR2" s="413"/>
      <c r="AS2" s="413" t="s">
        <v>325</v>
      </c>
      <c r="AT2" s="413" t="s">
        <v>326</v>
      </c>
      <c r="AU2" s="413" t="s">
        <v>327</v>
      </c>
      <c r="AV2" s="413" t="s">
        <v>328</v>
      </c>
      <c r="AW2" s="413" t="s">
        <v>329</v>
      </c>
      <c r="AX2" s="413" t="s">
        <v>330</v>
      </c>
      <c r="AY2" s="413" t="s">
        <v>331</v>
      </c>
      <c r="AZ2" s="413" t="s">
        <v>332</v>
      </c>
      <c r="BA2" s="413" t="s">
        <v>333</v>
      </c>
      <c r="BB2" s="413" t="s">
        <v>334</v>
      </c>
      <c r="BC2" s="413" t="s">
        <v>335</v>
      </c>
      <c r="BD2" s="413" t="s">
        <v>336</v>
      </c>
    </row>
    <row r="3" spans="1:56" ht="15">
      <c r="A3" s="414" t="str">
        <f>VLOOKUP(CONCATENATE($C3," - ",$B3),[2]ACHIEV!$B$17:$C$50,2,FALSE)</f>
        <v>Retro20Fast</v>
      </c>
      <c r="B3" s="414" t="str">
        <f>'SC-Retro'!$C$7</f>
        <v>Retro</v>
      </c>
      <c r="C3" s="414" t="str">
        <f>'SC-Retro'!$C$8</f>
        <v>Lighting</v>
      </c>
      <c r="D3" s="414" t="s">
        <v>632</v>
      </c>
      <c r="E3" s="414" t="str">
        <f>'SC-Retro'!$A$9</f>
        <v>Lighting</v>
      </c>
      <c r="F3" s="415">
        <f t="shared" ref="F3:F22" si="1">VLOOKUP($I3,MeasureOutput,14,FALSE)</f>
        <v>6.1475998839183005E-2</v>
      </c>
      <c r="G3" s="416">
        <f>'SC-Retro'!A77</f>
        <v>263.37666569558996</v>
      </c>
      <c r="H3" s="416">
        <f>'SC-Retro'!B77</f>
        <v>-33.358198810091075</v>
      </c>
      <c r="I3" s="218" t="str">
        <f>'SC-Retro'!C77</f>
        <v>35-44W LED fixture &amp; NEW Photocell_Replacing_100W HID fixture</v>
      </c>
      <c r="J3" s="218" t="str">
        <f>'SC-Retro'!D77</f>
        <v>Idaho</v>
      </c>
      <c r="K3" s="417">
        <f>'SC-Retro'!E77</f>
        <v>3.1747007831221204E-2</v>
      </c>
      <c r="L3" s="417">
        <f>'SC-Retro'!F77</f>
        <v>2.4727686147209618E-2</v>
      </c>
      <c r="M3" s="417">
        <f>'SC-Retro'!G77</f>
        <v>1.9261287571674186E-2</v>
      </c>
      <c r="N3" s="417">
        <f>'SC-Retro'!H77</f>
        <v>1.5009887915003768E-2</v>
      </c>
      <c r="O3" s="417">
        <f>'SC-Retro'!I77</f>
        <v>1.1700014311902802E-2</v>
      </c>
      <c r="P3" s="417">
        <f>'SC-Retro'!J77</f>
        <v>9.1221875230426668E-3</v>
      </c>
      <c r="Q3" s="417">
        <f>'SC-Retro'!K77</f>
        <v>7.1134020257168492E-3</v>
      </c>
      <c r="R3" s="417">
        <f>'SC-Retro'!L77</f>
        <v>5.5479031290618331E-3</v>
      </c>
      <c r="S3" s="417">
        <f>'SC-Retro'!M77</f>
        <v>4.3275701697039742E-3</v>
      </c>
      <c r="T3" s="417">
        <f>'SC-Retro'!N77</f>
        <v>3.3761135414582628E-3</v>
      </c>
      <c r="U3" s="417">
        <f>'SC-Retro'!O77</f>
        <v>2.6341286460929278E-3</v>
      </c>
      <c r="V3" s="417">
        <f>'SC-Retro'!P77</f>
        <v>2.0554366798703578E-3</v>
      </c>
      <c r="W3" s="417">
        <f>'SC-Retro'!Q77</f>
        <v>1.604027850795749E-3</v>
      </c>
      <c r="X3" s="417">
        <f>'SC-Retro'!R77</f>
        <v>1.2518765818039534E-3</v>
      </c>
      <c r="Y3" s="417">
        <f>'SC-Retro'!S77</f>
        <v>9.7711972000336794E-4</v>
      </c>
      <c r="Z3" s="417">
        <f>'SC-Retro'!T77</f>
        <v>7.6269976451036206E-4</v>
      </c>
      <c r="AA3" s="417">
        <f>'SC-Retro'!U77</f>
        <v>5.9538494682539816E-4</v>
      </c>
      <c r="AB3" s="417">
        <f>'SC-Retro'!V77</f>
        <v>4.64805818000655E-4</v>
      </c>
      <c r="AC3" s="417">
        <f>'SC-Retro'!W77</f>
        <v>3.62890621970699E-4</v>
      </c>
      <c r="AD3" s="417">
        <f>'SC-Retro'!X77</f>
        <v>2.8333577470065775E-4</v>
      </c>
      <c r="AE3" s="417">
        <f>'SC-Retro'!Y77</f>
        <v>0.1480527971774174</v>
      </c>
      <c r="AF3" s="418">
        <f t="shared" ref="AF3:AF22" si="2">VLOOKUP($I3,MeasureOutput,15,FALSE)</f>
        <v>10.787240859755801</v>
      </c>
      <c r="AG3" s="418">
        <f t="shared" ref="AG3:AG22" si="3">VLOOKUP($I3,MeasureOutput,16,FALSE)</f>
        <v>7.9746025118689534</v>
      </c>
      <c r="AH3" s="418">
        <f t="shared" ref="AH3:AH22" si="4">VLOOKUP($I3,MeasureOutput,17,FALSE)</f>
        <v>7.4287100500447325</v>
      </c>
      <c r="AI3" s="418">
        <f t="shared" ref="AI3:AI22" si="5">VLOOKUP($I3,MeasureOutput,18,FALSE)</f>
        <v>4.2646263168246801</v>
      </c>
      <c r="AJ3" s="418">
        <f t="shared" ref="AJ3:AJ22" si="6">VLOOKUP($I3,MeasureOutput,19,FALSE)</f>
        <v>3.4257270811452276</v>
      </c>
      <c r="AK3" s="418">
        <f t="shared" ref="AK3:AK22" si="7">VLOOKUP($I3,MeasureOutput,20,FALSE)</f>
        <v>2.6573621692161979</v>
      </c>
      <c r="AL3" s="418">
        <f t="shared" ref="AL3:AL22" si="8">VLOOKUP($I3,MeasureOutput,21,FALSE)</f>
        <v>2.7729366773493336</v>
      </c>
      <c r="AM3" s="418">
        <f t="shared" ref="AM3:AM22" si="9">VLOOKUP($I3,MeasureOutput,22,FALSE)</f>
        <v>4.0361008882236931</v>
      </c>
      <c r="AN3" s="418">
        <f t="shared" ref="AN3:AN22" si="10">VLOOKUP($I3,MeasureOutput,23,FALSE)</f>
        <v>5.0992966622164104</v>
      </c>
      <c r="AO3" s="418">
        <f t="shared" ref="AO3:AO22" si="11">VLOOKUP($I3,MeasureOutput,24,FALSE)</f>
        <v>8.3189267957519117</v>
      </c>
      <c r="AP3" s="418">
        <f t="shared" ref="AP3:AP22" si="12">VLOOKUP($I3,MeasureOutput,25,FALSE)</f>
        <v>9.6335408152923012</v>
      </c>
      <c r="AQ3" s="418">
        <f t="shared" ref="AQ3:AQ22" si="13">VLOOKUP($I3,MeasureOutput,26,FALSE)</f>
        <v>11.348116822652125</v>
      </c>
      <c r="AR3" s="418"/>
      <c r="AS3" s="418">
        <f t="shared" ref="AS3:AS22" si="14">VLOOKUP($I3,MeasureOutput,28,FALSE)</f>
        <v>17.878155575653324</v>
      </c>
      <c r="AT3" s="418">
        <f t="shared" ref="AT3:AT22" si="15">VLOOKUP($I3,MeasureOutput,29,FALSE)</f>
        <v>15.507801890375703</v>
      </c>
      <c r="AU3" s="418">
        <f t="shared" ref="AU3:AU22" si="16">VLOOKUP($I3,MeasureOutput,30,FALSE)</f>
        <v>15.633542251011525</v>
      </c>
      <c r="AV3" s="418">
        <f t="shared" ref="AV3:AV22" si="17">VLOOKUP($I3,MeasureOutput,31,FALSE)</f>
        <v>14.88704037976057</v>
      </c>
      <c r="AW3" s="418">
        <f t="shared" ref="AW3:AW22" si="18">VLOOKUP($I3,MeasureOutput,32,FALSE)</f>
        <v>13.711721984008088</v>
      </c>
      <c r="AX3" s="418">
        <f t="shared" ref="AX3:AX22" si="19">VLOOKUP($I3,MeasureOutput,33,FALSE)</f>
        <v>12.458372933264844</v>
      </c>
      <c r="AY3" s="418">
        <f t="shared" ref="AY3:AY22" si="20">VLOOKUP($I3,MeasureOutput,34,FALSE)</f>
        <v>13.604221802145107</v>
      </c>
      <c r="AZ3" s="418">
        <f t="shared" ref="AZ3:AZ22" si="21">VLOOKUP($I3,MeasureOutput,35,FALSE)</f>
        <v>14.689886708249871</v>
      </c>
      <c r="BA3" s="418">
        <f t="shared" ref="BA3:BA22" si="22">VLOOKUP($I3,MeasureOutput,36,FALSE)</f>
        <v>15.834183398964122</v>
      </c>
      <c r="BB3" s="418">
        <f t="shared" ref="BB3:BB22" si="23">VLOOKUP($I3,MeasureOutput,37,FALSE)</f>
        <v>16.341774294107989</v>
      </c>
      <c r="BC3" s="418">
        <f t="shared" ref="BC3:BC22" si="24">VLOOKUP($I3,MeasureOutput,38,FALSE)</f>
        <v>17.130743252833245</v>
      </c>
      <c r="BD3" s="418">
        <f t="shared" ref="BD3:BD22" si="25">VLOOKUP($I3,MeasureOutput,39,FALSE)</f>
        <v>17.952033574874257</v>
      </c>
    </row>
    <row r="4" spans="1:56" ht="15">
      <c r="A4" s="414" t="str">
        <f>VLOOKUP(CONCATENATE($C4," - ",$B4),[2]ACHIEV!$B$17:$C$50,2,FALSE)</f>
        <v>Retro20Fast</v>
      </c>
      <c r="B4" s="414" t="str">
        <f>'SC-Retro'!$C$7</f>
        <v>Retro</v>
      </c>
      <c r="C4" s="414" t="str">
        <f>'SC-Retro'!$C$8</f>
        <v>Lighting</v>
      </c>
      <c r="D4" s="414" t="s">
        <v>632</v>
      </c>
      <c r="E4" s="414" t="str">
        <f>'SC-Retro'!$A$9</f>
        <v>Lighting</v>
      </c>
      <c r="F4" s="415">
        <f t="shared" si="1"/>
        <v>6.1823360562789545E-2</v>
      </c>
      <c r="G4" s="416">
        <f>'SC-Retro'!A78</f>
        <v>264.86483952409634</v>
      </c>
      <c r="H4" s="416">
        <f>'SC-Retro'!B78</f>
        <v>-32.850302911189921</v>
      </c>
      <c r="I4" s="218" t="str">
        <f>'SC-Retro'!C78</f>
        <v>35-44W LED fixture &amp; NEW Photocell_Replacing_150W HID fixture</v>
      </c>
      <c r="J4" s="218" t="str">
        <f>'SC-Retro'!D78</f>
        <v>Idaho</v>
      </c>
      <c r="K4" s="417">
        <f>'SC-Retro'!E78</f>
        <v>3.1926389957056212E-2</v>
      </c>
      <c r="L4" s="417">
        <f>'SC-Retro'!F78</f>
        <v>2.486740655587456E-2</v>
      </c>
      <c r="M4" s="417">
        <f>'SC-Retro'!G78</f>
        <v>1.9370120842806222E-2</v>
      </c>
      <c r="N4" s="417">
        <f>'SC-Retro'!H78</f>
        <v>1.5094699233823256E-2</v>
      </c>
      <c r="O4" s="417">
        <f>'SC-Retro'!I78</f>
        <v>1.1766123642606563E-2</v>
      </c>
      <c r="P4" s="417">
        <f>'SC-Retro'!J78</f>
        <v>9.1737311960353625E-3</v>
      </c>
      <c r="Q4" s="417">
        <f>'SC-Retro'!K78</f>
        <v>7.1535953309907162E-3</v>
      </c>
      <c r="R4" s="417">
        <f>'SC-Retro'!L78</f>
        <v>5.5792507969273722E-3</v>
      </c>
      <c r="S4" s="417">
        <f>'SC-Retro'!M78</f>
        <v>4.3520225130828745E-3</v>
      </c>
      <c r="T4" s="417">
        <f>'SC-Retro'!N78</f>
        <v>3.3951898092862993E-3</v>
      </c>
      <c r="U4" s="417">
        <f>'SC-Retro'!O78</f>
        <v>2.6490124297481022E-3</v>
      </c>
      <c r="V4" s="417">
        <f>'SC-Retro'!P78</f>
        <v>2.067050643715851E-3</v>
      </c>
      <c r="W4" s="417">
        <f>'SC-Retro'!Q78</f>
        <v>1.6130911907899935E-3</v>
      </c>
      <c r="X4" s="417">
        <f>'SC-Retro'!R78</f>
        <v>1.2589501392151251E-3</v>
      </c>
      <c r="Y4" s="417">
        <f>'SC-Retro'!S78</f>
        <v>9.8264080134436685E-4</v>
      </c>
      <c r="Z4" s="417">
        <f>'SC-Retro'!T78</f>
        <v>7.6700929521823476E-4</v>
      </c>
      <c r="AA4" s="417">
        <f>'SC-Retro'!U78</f>
        <v>5.9874908803894179E-4</v>
      </c>
      <c r="AB4" s="417">
        <f>'SC-Retro'!V78</f>
        <v>4.6743213970557615E-4</v>
      </c>
      <c r="AC4" s="417">
        <f>'SC-Retro'!W78</f>
        <v>3.6494108579899944E-4</v>
      </c>
      <c r="AD4" s="417">
        <f>'SC-Retro'!X78</f>
        <v>2.8493672474486721E-4</v>
      </c>
      <c r="AE4" s="417">
        <f>'SC-Retro'!Y78</f>
        <v>0.1488893492592607</v>
      </c>
      <c r="AF4" s="418">
        <f t="shared" si="2"/>
        <v>10.848192688904698</v>
      </c>
      <c r="AG4" s="418">
        <f t="shared" si="3"/>
        <v>8.0196619127067699</v>
      </c>
      <c r="AH4" s="418">
        <f t="shared" si="4"/>
        <v>7.4706849601866079</v>
      </c>
      <c r="AI4" s="418">
        <f t="shared" si="5"/>
        <v>4.288723004571473</v>
      </c>
      <c r="AJ4" s="418">
        <f t="shared" si="6"/>
        <v>3.4450836834938139</v>
      </c>
      <c r="AK4" s="418">
        <f t="shared" si="7"/>
        <v>2.6723772307162226</v>
      </c>
      <c r="AL4" s="418">
        <f t="shared" si="8"/>
        <v>2.7886047768008861</v>
      </c>
      <c r="AM4" s="418">
        <f t="shared" si="9"/>
        <v>4.0589063242907137</v>
      </c>
      <c r="AN4" s="418">
        <f t="shared" si="10"/>
        <v>5.1281095405952097</v>
      </c>
      <c r="AO4" s="418">
        <f t="shared" si="11"/>
        <v>8.365931753863908</v>
      </c>
      <c r="AP4" s="418">
        <f t="shared" si="12"/>
        <v>9.6879738201270449</v>
      </c>
      <c r="AQ4" s="418">
        <f t="shared" si="13"/>
        <v>11.412237804720533</v>
      </c>
      <c r="AR4" s="418"/>
      <c r="AS4" s="418">
        <f t="shared" si="14"/>
        <v>17.979173648607457</v>
      </c>
      <c r="AT4" s="418">
        <f t="shared" si="15"/>
        <v>15.595426604015268</v>
      </c>
      <c r="AU4" s="418">
        <f t="shared" si="16"/>
        <v>15.721877443361841</v>
      </c>
      <c r="AV4" s="418">
        <f t="shared" si="17"/>
        <v>14.971157565383553</v>
      </c>
      <c r="AW4" s="418">
        <f t="shared" si="18"/>
        <v>13.789198193779615</v>
      </c>
      <c r="AX4" s="418">
        <f t="shared" si="19"/>
        <v>12.528767265640841</v>
      </c>
      <c r="AY4" s="418">
        <f t="shared" si="20"/>
        <v>13.681090596841402</v>
      </c>
      <c r="AZ4" s="418">
        <f t="shared" si="21"/>
        <v>14.772889904015925</v>
      </c>
      <c r="BA4" s="418">
        <f t="shared" si="22"/>
        <v>15.923652286680031</v>
      </c>
      <c r="BB4" s="418">
        <f t="shared" si="23"/>
        <v>16.434111254755667</v>
      </c>
      <c r="BC4" s="418">
        <f t="shared" si="24"/>
        <v>17.227538174677971</v>
      </c>
      <c r="BD4" s="418">
        <f t="shared" si="25"/>
        <v>18.05346908535898</v>
      </c>
    </row>
    <row r="5" spans="1:56" ht="15">
      <c r="A5" s="414" t="str">
        <f>VLOOKUP(CONCATENATE($C5," - ",$B5),[2]ACHIEV!$B$17:$C$50,2,FALSE)</f>
        <v>Retro20Fast</v>
      </c>
      <c r="B5" s="414" t="str">
        <f>'SC-Retro'!$C$7</f>
        <v>Retro</v>
      </c>
      <c r="C5" s="414" t="str">
        <f>'SC-Retro'!$C$8</f>
        <v>Lighting</v>
      </c>
      <c r="D5" s="414" t="s">
        <v>632</v>
      </c>
      <c r="E5" s="414" t="str">
        <f>'SC-Retro'!$A$9</f>
        <v>Lighting</v>
      </c>
      <c r="F5" s="415">
        <f t="shared" si="1"/>
        <v>6.2219579338429934E-2</v>
      </c>
      <c r="G5" s="416">
        <f>'SC-Retro'!A79</f>
        <v>266.56232768182667</v>
      </c>
      <c r="H5" s="416">
        <f>'SC-Retro'!B79</f>
        <v>-32.508813064490326</v>
      </c>
      <c r="I5" s="218" t="str">
        <f>'SC-Retro'!C79</f>
        <v>35-44W LED fixture &amp; NEW Photocell_Replacing_175W MH fixture</v>
      </c>
      <c r="J5" s="218" t="str">
        <f>'SC-Retro'!D79</f>
        <v>Idaho</v>
      </c>
      <c r="K5" s="417">
        <f>'SC-Retro'!E79</f>
        <v>3.2131002501962359E-2</v>
      </c>
      <c r="L5" s="417">
        <f>'SC-Retro'!F79</f>
        <v>2.502677889165876E-2</v>
      </c>
      <c r="M5" s="417">
        <f>'SC-Retro'!G79</f>
        <v>1.9494261709534885E-2</v>
      </c>
      <c r="N5" s="417">
        <f>'SC-Retro'!H79</f>
        <v>1.5191439417382369E-2</v>
      </c>
      <c r="O5" s="417">
        <f>'SC-Retro'!I79</f>
        <v>1.1841531369738645E-2</v>
      </c>
      <c r="P5" s="417">
        <f>'SC-Retro'!J79</f>
        <v>9.2325245794661389E-3</v>
      </c>
      <c r="Q5" s="417">
        <f>'SC-Retro'!K79</f>
        <v>7.1994418970406692E-3</v>
      </c>
      <c r="R5" s="417">
        <f>'SC-Retro'!L79</f>
        <v>5.6150075707362647E-3</v>
      </c>
      <c r="S5" s="417">
        <f>'SC-Retro'!M79</f>
        <v>4.3799141225974031E-3</v>
      </c>
      <c r="T5" s="417">
        <f>'SC-Retro'!N79</f>
        <v>3.4169491885412636E-3</v>
      </c>
      <c r="U5" s="417">
        <f>'SC-Retro'!O79</f>
        <v>2.665989644380507E-3</v>
      </c>
      <c r="V5" s="417">
        <f>'SC-Retro'!P79</f>
        <v>2.0802981324933006E-3</v>
      </c>
      <c r="W5" s="417">
        <f>'SC-Retro'!Q79</f>
        <v>1.6234293058777682E-3</v>
      </c>
      <c r="X5" s="417">
        <f>'SC-Retro'!R79</f>
        <v>1.2670186052158609E-3</v>
      </c>
      <c r="Y5" s="417">
        <f>'SC-Retro'!S79</f>
        <v>9.8893843271960643E-4</v>
      </c>
      <c r="Z5" s="417">
        <f>'SC-Retro'!T79</f>
        <v>7.7192496918176057E-4</v>
      </c>
      <c r="AA5" s="417">
        <f>'SC-Retro'!U79</f>
        <v>6.025864017730867E-4</v>
      </c>
      <c r="AB5" s="417">
        <f>'SC-Retro'!V79</f>
        <v>4.7042785828837645E-4</v>
      </c>
      <c r="AC5" s="417">
        <f>'SC-Retro'!W79</f>
        <v>3.6727995105769563E-4</v>
      </c>
      <c r="AD5" s="417">
        <f>'SC-Retro'!X79</f>
        <v>2.8676285129615252E-4</v>
      </c>
      <c r="AE5" s="417">
        <f>'SC-Retro'!Y79</f>
        <v>0.14984356389807002</v>
      </c>
      <c r="AF5" s="418">
        <f t="shared" si="2"/>
        <v>10.917717502599407</v>
      </c>
      <c r="AG5" s="418">
        <f t="shared" si="3"/>
        <v>8.071058999425718</v>
      </c>
      <c r="AH5" s="418">
        <f t="shared" si="4"/>
        <v>7.5185637170379751</v>
      </c>
      <c r="AI5" s="418">
        <f t="shared" si="5"/>
        <v>4.3162089348486896</v>
      </c>
      <c r="AJ5" s="418">
        <f t="shared" si="6"/>
        <v>3.4671628268245334</v>
      </c>
      <c r="AK5" s="418">
        <f t="shared" si="7"/>
        <v>2.6895041876587884</v>
      </c>
      <c r="AL5" s="418">
        <f t="shared" si="8"/>
        <v>2.8064766226590034</v>
      </c>
      <c r="AM5" s="418">
        <f t="shared" si="9"/>
        <v>4.0849193860138167</v>
      </c>
      <c r="AN5" s="418">
        <f t="shared" si="10"/>
        <v>5.1609750022108205</v>
      </c>
      <c r="AO5" s="418">
        <f t="shared" si="11"/>
        <v>8.4195480439916572</v>
      </c>
      <c r="AP5" s="418">
        <f t="shared" si="12"/>
        <v>9.7500629251272208</v>
      </c>
      <c r="AQ5" s="418">
        <f t="shared" si="13"/>
        <v>11.485377518400622</v>
      </c>
      <c r="AR5" s="418"/>
      <c r="AS5" s="418">
        <f t="shared" si="14"/>
        <v>18.094400095459083</v>
      </c>
      <c r="AT5" s="418">
        <f t="shared" si="15"/>
        <v>15.6953758914429</v>
      </c>
      <c r="AU5" s="418">
        <f t="shared" si="16"/>
        <v>15.822637139610483</v>
      </c>
      <c r="AV5" s="418">
        <f t="shared" si="17"/>
        <v>15.067105984661911</v>
      </c>
      <c r="AW5" s="418">
        <f t="shared" si="18"/>
        <v>13.877571571992419</v>
      </c>
      <c r="AX5" s="418">
        <f t="shared" si="19"/>
        <v>12.609062687647768</v>
      </c>
      <c r="AY5" s="418">
        <f t="shared" si="20"/>
        <v>13.768771125954668</v>
      </c>
      <c r="AZ5" s="418">
        <f t="shared" si="21"/>
        <v>14.86756764875765</v>
      </c>
      <c r="BA5" s="418">
        <f t="shared" si="22"/>
        <v>16.025705134589259</v>
      </c>
      <c r="BB5" s="418">
        <f t="shared" si="23"/>
        <v>16.539435575219997</v>
      </c>
      <c r="BC5" s="418">
        <f t="shared" si="24"/>
        <v>17.337947476610633</v>
      </c>
      <c r="BD5" s="418">
        <f t="shared" si="25"/>
        <v>18.169171683081689</v>
      </c>
    </row>
    <row r="6" spans="1:56" ht="15">
      <c r="A6" s="414" t="str">
        <f>VLOOKUP(CONCATENATE($C6," - ",$B6),[2]ACHIEV!$B$17:$C$50,2,FALSE)</f>
        <v>Retro20Fast</v>
      </c>
      <c r="B6" s="414" t="str">
        <f>'SC-Retro'!$C$7</f>
        <v>Retro</v>
      </c>
      <c r="C6" s="414" t="str">
        <f>'SC-Retro'!$C$8</f>
        <v>Lighting</v>
      </c>
      <c r="D6" s="414" t="s">
        <v>632</v>
      </c>
      <c r="E6" s="414" t="str">
        <f>'SC-Retro'!$A$9</f>
        <v>Lighting</v>
      </c>
      <c r="F6" s="415">
        <f t="shared" si="1"/>
        <v>6.1475998839183005E-2</v>
      </c>
      <c r="G6" s="416">
        <f>'SC-Retro'!A80</f>
        <v>263.37666569558996</v>
      </c>
      <c r="H6" s="416">
        <f>'SC-Retro'!B80</f>
        <v>-33.358198810091075</v>
      </c>
      <c r="I6" s="218" t="str">
        <f>'SC-Retro'!C80</f>
        <v>35-44W LED fixture &amp; NEW Photocell_Replacing_175W MV fixture</v>
      </c>
      <c r="J6" s="218" t="str">
        <f>'SC-Retro'!D80</f>
        <v>Idaho</v>
      </c>
      <c r="K6" s="417">
        <f>'SC-Retro'!E80</f>
        <v>3.1747007831221204E-2</v>
      </c>
      <c r="L6" s="417">
        <f>'SC-Retro'!F80</f>
        <v>2.4727686147209618E-2</v>
      </c>
      <c r="M6" s="417">
        <f>'SC-Retro'!G80</f>
        <v>1.9261287571674186E-2</v>
      </c>
      <c r="N6" s="417">
        <f>'SC-Retro'!H80</f>
        <v>1.5009887915003768E-2</v>
      </c>
      <c r="O6" s="417">
        <f>'SC-Retro'!I80</f>
        <v>1.1700014311902802E-2</v>
      </c>
      <c r="P6" s="417">
        <f>'SC-Retro'!J80</f>
        <v>9.1221875230426668E-3</v>
      </c>
      <c r="Q6" s="417">
        <f>'SC-Retro'!K80</f>
        <v>7.1134020257168492E-3</v>
      </c>
      <c r="R6" s="417">
        <f>'SC-Retro'!L80</f>
        <v>5.5479031290618331E-3</v>
      </c>
      <c r="S6" s="417">
        <f>'SC-Retro'!M80</f>
        <v>4.3275701697039742E-3</v>
      </c>
      <c r="T6" s="417">
        <f>'SC-Retro'!N80</f>
        <v>3.3761135414582628E-3</v>
      </c>
      <c r="U6" s="417">
        <f>'SC-Retro'!O80</f>
        <v>2.6341286460929278E-3</v>
      </c>
      <c r="V6" s="417">
        <f>'SC-Retro'!P80</f>
        <v>2.0554366798703578E-3</v>
      </c>
      <c r="W6" s="417">
        <f>'SC-Retro'!Q80</f>
        <v>1.604027850795749E-3</v>
      </c>
      <c r="X6" s="417">
        <f>'SC-Retro'!R80</f>
        <v>1.2518765818039534E-3</v>
      </c>
      <c r="Y6" s="417">
        <f>'SC-Retro'!S80</f>
        <v>9.7711972000336794E-4</v>
      </c>
      <c r="Z6" s="417">
        <f>'SC-Retro'!T80</f>
        <v>7.6269976451036206E-4</v>
      </c>
      <c r="AA6" s="417">
        <f>'SC-Retro'!U80</f>
        <v>5.9538494682539816E-4</v>
      </c>
      <c r="AB6" s="417">
        <f>'SC-Retro'!V80</f>
        <v>4.64805818000655E-4</v>
      </c>
      <c r="AC6" s="417">
        <f>'SC-Retro'!W80</f>
        <v>3.62890621970699E-4</v>
      </c>
      <c r="AD6" s="417">
        <f>'SC-Retro'!X80</f>
        <v>2.8333577470065775E-4</v>
      </c>
      <c r="AE6" s="417">
        <f>'SC-Retro'!Y80</f>
        <v>0.1480527971774174</v>
      </c>
      <c r="AF6" s="418">
        <f t="shared" si="2"/>
        <v>10.787240859755801</v>
      </c>
      <c r="AG6" s="418">
        <f t="shared" si="3"/>
        <v>7.9746025118689534</v>
      </c>
      <c r="AH6" s="418">
        <f t="shared" si="4"/>
        <v>7.4287100500447325</v>
      </c>
      <c r="AI6" s="418">
        <f t="shared" si="5"/>
        <v>4.2646263168246801</v>
      </c>
      <c r="AJ6" s="418">
        <f t="shared" si="6"/>
        <v>3.4257270811452276</v>
      </c>
      <c r="AK6" s="418">
        <f t="shared" si="7"/>
        <v>2.6573621692161979</v>
      </c>
      <c r="AL6" s="418">
        <f t="shared" si="8"/>
        <v>2.7729366773493336</v>
      </c>
      <c r="AM6" s="418">
        <f t="shared" si="9"/>
        <v>4.0361008882236931</v>
      </c>
      <c r="AN6" s="418">
        <f t="shared" si="10"/>
        <v>5.0992966622164104</v>
      </c>
      <c r="AO6" s="418">
        <f t="shared" si="11"/>
        <v>8.3189267957519117</v>
      </c>
      <c r="AP6" s="418">
        <f t="shared" si="12"/>
        <v>9.6335408152923012</v>
      </c>
      <c r="AQ6" s="418">
        <f t="shared" si="13"/>
        <v>11.348116822652125</v>
      </c>
      <c r="AR6" s="418"/>
      <c r="AS6" s="418">
        <f t="shared" si="14"/>
        <v>17.878155575653324</v>
      </c>
      <c r="AT6" s="418">
        <f t="shared" si="15"/>
        <v>15.507801890375703</v>
      </c>
      <c r="AU6" s="418">
        <f t="shared" si="16"/>
        <v>15.633542251011525</v>
      </c>
      <c r="AV6" s="418">
        <f t="shared" si="17"/>
        <v>14.88704037976057</v>
      </c>
      <c r="AW6" s="418">
        <f t="shared" si="18"/>
        <v>13.711721984008088</v>
      </c>
      <c r="AX6" s="418">
        <f t="shared" si="19"/>
        <v>12.458372933264844</v>
      </c>
      <c r="AY6" s="418">
        <f t="shared" si="20"/>
        <v>13.604221802145107</v>
      </c>
      <c r="AZ6" s="418">
        <f t="shared" si="21"/>
        <v>14.689886708249871</v>
      </c>
      <c r="BA6" s="418">
        <f t="shared" si="22"/>
        <v>15.834183398964122</v>
      </c>
      <c r="BB6" s="418">
        <f t="shared" si="23"/>
        <v>16.341774294107989</v>
      </c>
      <c r="BC6" s="418">
        <f t="shared" si="24"/>
        <v>17.130743252833245</v>
      </c>
      <c r="BD6" s="418">
        <f t="shared" si="25"/>
        <v>17.952033574874257</v>
      </c>
    </row>
    <row r="7" spans="1:56" ht="15">
      <c r="A7" s="414" t="str">
        <f>VLOOKUP(CONCATENATE($C7," - ",$B7),[2]ACHIEV!$B$17:$C$50,2,FALSE)</f>
        <v>Retro20Fast</v>
      </c>
      <c r="B7" s="414" t="str">
        <f>'SC-Retro'!$C$7</f>
        <v>Retro</v>
      </c>
      <c r="C7" s="414" t="str">
        <f>'SC-Retro'!$C$8</f>
        <v>Lighting</v>
      </c>
      <c r="D7" s="414" t="s">
        <v>632</v>
      </c>
      <c r="E7" s="414" t="str">
        <f>'SC-Retro'!$A$9</f>
        <v>Lighting</v>
      </c>
      <c r="F7" s="415">
        <f t="shared" si="1"/>
        <v>6.1859228788794879E-2</v>
      </c>
      <c r="G7" s="416">
        <f>'SC-Retro'!A81</f>
        <v>265.0185068731119</v>
      </c>
      <c r="H7" s="416">
        <f>'SC-Retro'!B81</f>
        <v>-32.644780358969037</v>
      </c>
      <c r="I7" s="409" t="str">
        <f>'SC-Retro'!C81</f>
        <v>35-44W LED fixture &amp; NEW Photocell_Replacing_200W HID fixture</v>
      </c>
      <c r="J7" s="409" t="str">
        <f>'SC-Retro'!D81</f>
        <v>Idaho</v>
      </c>
      <c r="K7" s="417">
        <f>'SC-Retro'!E81</f>
        <v>3.1944912776910868E-2</v>
      </c>
      <c r="L7" s="417">
        <f>'SC-Retro'!F81</f>
        <v>2.4881833946271862E-2</v>
      </c>
      <c r="M7" s="417">
        <f>'SC-Retro'!G81</f>
        <v>1.9381358858110081E-2</v>
      </c>
      <c r="N7" s="417">
        <f>'SC-Retro'!H81</f>
        <v>1.5103456766229661E-2</v>
      </c>
      <c r="O7" s="417">
        <f>'SC-Retro'!I81</f>
        <v>1.1772950026325888E-2</v>
      </c>
      <c r="P7" s="417">
        <f>'SC-Retro'!J81</f>
        <v>9.1790535444301463E-3</v>
      </c>
      <c r="Q7" s="417">
        <f>'SC-Retro'!K81</f>
        <v>7.1577456517068162E-3</v>
      </c>
      <c r="R7" s="417">
        <f>'SC-Retro'!L81</f>
        <v>5.5824877259248078E-3</v>
      </c>
      <c r="S7" s="417">
        <f>'SC-Retro'!M81</f>
        <v>4.3545474377336638E-3</v>
      </c>
      <c r="T7" s="417">
        <f>'SC-Retro'!N81</f>
        <v>3.3971596057241166E-3</v>
      </c>
      <c r="U7" s="417">
        <f>'SC-Retro'!O81</f>
        <v>2.650549314441141E-3</v>
      </c>
      <c r="V7" s="417">
        <f>'SC-Retro'!P81</f>
        <v>2.0682498900683357E-3</v>
      </c>
      <c r="W7" s="417">
        <f>'SC-Retro'!Q81</f>
        <v>1.614027062261097E-3</v>
      </c>
      <c r="X7" s="417">
        <f>'SC-Retro'!R81</f>
        <v>1.2596805477162441E-3</v>
      </c>
      <c r="Y7" s="417">
        <f>'SC-Retro'!S81</f>
        <v>9.8321090271096759E-4</v>
      </c>
      <c r="Z7" s="417">
        <f>'SC-Retro'!T81</f>
        <v>7.6745429307177506E-4</v>
      </c>
      <c r="AA7" s="417">
        <f>'SC-Retro'!U81</f>
        <v>5.990964659138222E-4</v>
      </c>
      <c r="AB7" s="417">
        <f>'SC-Retro'!V81</f>
        <v>4.6770333107201901E-4</v>
      </c>
      <c r="AC7" s="417">
        <f>'SC-Retro'!W81</f>
        <v>3.6515281465399719E-4</v>
      </c>
      <c r="AD7" s="417">
        <f>'SC-Retro'!X81</f>
        <v>2.8510203725372042E-4</v>
      </c>
      <c r="AE7" s="417">
        <f>'SC-Retro'!Y81</f>
        <v>0.1489757307949845</v>
      </c>
      <c r="AF7" s="418">
        <f t="shared" si="2"/>
        <v>10.854486514144428</v>
      </c>
      <c r="AG7" s="418">
        <f t="shared" si="3"/>
        <v>8.0243147016097467</v>
      </c>
      <c r="AH7" s="418">
        <f t="shared" si="4"/>
        <v>7.4750192476489419</v>
      </c>
      <c r="AI7" s="418">
        <f t="shared" si="5"/>
        <v>4.2912112045755162</v>
      </c>
      <c r="AJ7" s="418">
        <f t="shared" si="6"/>
        <v>3.4470824269953315</v>
      </c>
      <c r="AK7" s="418">
        <f t="shared" si="7"/>
        <v>2.6739276710289177</v>
      </c>
      <c r="AL7" s="418">
        <f t="shared" si="8"/>
        <v>2.7902226491627786</v>
      </c>
      <c r="AM7" s="418">
        <f t="shared" si="9"/>
        <v>4.0612611909309102</v>
      </c>
      <c r="AN7" s="418">
        <f t="shared" si="10"/>
        <v>5.1310847297519908</v>
      </c>
      <c r="AO7" s="418">
        <f t="shared" si="11"/>
        <v>8.3707854390754726</v>
      </c>
      <c r="AP7" s="418">
        <f t="shared" si="12"/>
        <v>9.6935945180533754</v>
      </c>
      <c r="AQ7" s="418">
        <f t="shared" si="13"/>
        <v>11.418858873537888</v>
      </c>
      <c r="AR7" s="418"/>
      <c r="AS7" s="418">
        <f t="shared" si="14"/>
        <v>17.989604674322447</v>
      </c>
      <c r="AT7" s="418">
        <f t="shared" si="15"/>
        <v>15.604474644771873</v>
      </c>
      <c r="AU7" s="418">
        <f t="shared" si="16"/>
        <v>15.730998847443296</v>
      </c>
      <c r="AV7" s="418">
        <f t="shared" si="17"/>
        <v>14.979843422286645</v>
      </c>
      <c r="AW7" s="418">
        <f t="shared" si="18"/>
        <v>13.79719831012309</v>
      </c>
      <c r="AX7" s="418">
        <f t="shared" si="19"/>
        <v>12.536036114369889</v>
      </c>
      <c r="AY7" s="418">
        <f t="shared" si="20"/>
        <v>13.689027992108496</v>
      </c>
      <c r="AZ7" s="418">
        <f t="shared" si="21"/>
        <v>14.781460731434649</v>
      </c>
      <c r="BA7" s="418">
        <f t="shared" si="22"/>
        <v>15.932890755017077</v>
      </c>
      <c r="BB7" s="418">
        <f t="shared" si="23"/>
        <v>16.443645877450333</v>
      </c>
      <c r="BC7" s="418">
        <f t="shared" si="24"/>
        <v>17.237533122010824</v>
      </c>
      <c r="BD7" s="418">
        <f t="shared" si="25"/>
        <v>18.063943215258089</v>
      </c>
    </row>
    <row r="8" spans="1:56" ht="15">
      <c r="A8" s="414" t="str">
        <f>VLOOKUP(CONCATENATE($C8," - ",$B8),[2]ACHIEV!$B$17:$C$50,2,FALSE)</f>
        <v>Retro20Fast</v>
      </c>
      <c r="B8" s="414" t="str">
        <f>'SC-Retro'!$C$7</f>
        <v>Retro</v>
      </c>
      <c r="C8" s="414" t="str">
        <f>'SC-Retro'!$C$8</f>
        <v>Lighting</v>
      </c>
      <c r="D8" s="414" t="s">
        <v>632</v>
      </c>
      <c r="E8" s="414" t="str">
        <f>'SC-Retro'!$A$9</f>
        <v>Lighting</v>
      </c>
      <c r="F8" s="415">
        <f t="shared" si="1"/>
        <v>6.1475998839183005E-2</v>
      </c>
      <c r="G8" s="416">
        <f>'SC-Retro'!A82</f>
        <v>263.37666569558996</v>
      </c>
      <c r="H8" s="416">
        <f>'SC-Retro'!B82</f>
        <v>-33.358198810091075</v>
      </c>
      <c r="I8" s="409" t="str">
        <f>'SC-Retro'!C82</f>
        <v>35-44W LED fixture &amp; NEW Photocell_Replacing_100W HID fixture</v>
      </c>
      <c r="J8" s="409" t="str">
        <f>'SC-Retro'!D82</f>
        <v>Montana</v>
      </c>
      <c r="K8" s="417">
        <f>'SC-Retro'!E82</f>
        <v>1.8519087901545703E-2</v>
      </c>
      <c r="L8" s="417">
        <f>'SC-Retro'!F82</f>
        <v>1.4579140888475233E-2</v>
      </c>
      <c r="M8" s="417">
        <f>'SC-Retro'!G82</f>
        <v>1.1474518199434956E-2</v>
      </c>
      <c r="N8" s="417">
        <f>'SC-Retro'!H82</f>
        <v>9.0324503311671848E-3</v>
      </c>
      <c r="O8" s="417">
        <f>'SC-Retro'!I82</f>
        <v>7.1101598256704639E-3</v>
      </c>
      <c r="P8" s="417">
        <f>'SC-Retro'!J82</f>
        <v>5.5797964548863158E-3</v>
      </c>
      <c r="Q8" s="417">
        <f>'SC-Retro'!K82</f>
        <v>4.3788072404037041E-3</v>
      </c>
      <c r="R8" s="417">
        <f>'SC-Retro'!L82</f>
        <v>3.4372396059408586E-3</v>
      </c>
      <c r="S8" s="417">
        <f>'SC-Retro'!M82</f>
        <v>2.6987308736401293E-3</v>
      </c>
      <c r="T8" s="417">
        <f>'SC-Retro'!N82</f>
        <v>2.1192841923232271E-3</v>
      </c>
      <c r="U8" s="417">
        <f>'SC-Retro'!O82</f>
        <v>1.6644821672742317E-3</v>
      </c>
      <c r="V8" s="417">
        <f>'SC-Retro'!P82</f>
        <v>1.3074402704783979E-3</v>
      </c>
      <c r="W8" s="417">
        <f>'SC-Retro'!Q82</f>
        <v>1.0270805143564213E-3</v>
      </c>
      <c r="X8" s="417">
        <f>'SC-Retro'!R82</f>
        <v>8.0690461814641524E-4</v>
      </c>
      <c r="Y8" s="417">
        <f>'SC-Retro'!S82</f>
        <v>6.3396511108704246E-4</v>
      </c>
      <c r="Z8" s="417">
        <f>'SC-Retro'!T82</f>
        <v>4.9809492664545213E-4</v>
      </c>
      <c r="AA8" s="417">
        <f>'SC-Retro'!U82</f>
        <v>3.9136188588507868E-4</v>
      </c>
      <c r="AB8" s="417">
        <f>'SC-Retro'!V82</f>
        <v>3.0750496200602345E-4</v>
      </c>
      <c r="AC8" s="417">
        <f>'SC-Retro'!W82</f>
        <v>2.4161936743888037E-4</v>
      </c>
      <c r="AD8" s="417">
        <f>'SC-Retro'!X82</f>
        <v>1.8984838249894273E-4</v>
      </c>
      <c r="AE8" s="417">
        <f>'SC-Retro'!Y82</f>
        <v>9.9202383102776889E-2</v>
      </c>
      <c r="AF8" s="418">
        <f t="shared" si="2"/>
        <v>10.787240859755801</v>
      </c>
      <c r="AG8" s="418">
        <f t="shared" si="3"/>
        <v>7.9746025118689534</v>
      </c>
      <c r="AH8" s="418">
        <f t="shared" si="4"/>
        <v>7.4287100500447325</v>
      </c>
      <c r="AI8" s="418">
        <f t="shared" si="5"/>
        <v>4.2646263168246801</v>
      </c>
      <c r="AJ8" s="418">
        <f t="shared" si="6"/>
        <v>3.4257270811452276</v>
      </c>
      <c r="AK8" s="418">
        <f t="shared" si="7"/>
        <v>2.6573621692161979</v>
      </c>
      <c r="AL8" s="418">
        <f t="shared" si="8"/>
        <v>2.7729366773493336</v>
      </c>
      <c r="AM8" s="418">
        <f t="shared" si="9"/>
        <v>4.0361008882236931</v>
      </c>
      <c r="AN8" s="418">
        <f t="shared" si="10"/>
        <v>5.0992966622164104</v>
      </c>
      <c r="AO8" s="418">
        <f t="shared" si="11"/>
        <v>8.3189267957519117</v>
      </c>
      <c r="AP8" s="418">
        <f t="shared" si="12"/>
        <v>9.6335408152923012</v>
      </c>
      <c r="AQ8" s="418">
        <f t="shared" si="13"/>
        <v>11.348116822652125</v>
      </c>
      <c r="AR8" s="418"/>
      <c r="AS8" s="418">
        <f t="shared" si="14"/>
        <v>17.878155575653324</v>
      </c>
      <c r="AT8" s="418">
        <f t="shared" si="15"/>
        <v>15.507801890375703</v>
      </c>
      <c r="AU8" s="418">
        <f t="shared" si="16"/>
        <v>15.633542251011525</v>
      </c>
      <c r="AV8" s="418">
        <f t="shared" si="17"/>
        <v>14.88704037976057</v>
      </c>
      <c r="AW8" s="418">
        <f t="shared" si="18"/>
        <v>13.711721984008088</v>
      </c>
      <c r="AX8" s="418">
        <f t="shared" si="19"/>
        <v>12.458372933264844</v>
      </c>
      <c r="AY8" s="418">
        <f t="shared" si="20"/>
        <v>13.604221802145107</v>
      </c>
      <c r="AZ8" s="418">
        <f t="shared" si="21"/>
        <v>14.689886708249871</v>
      </c>
      <c r="BA8" s="418">
        <f t="shared" si="22"/>
        <v>15.834183398964122</v>
      </c>
      <c r="BB8" s="418">
        <f t="shared" si="23"/>
        <v>16.341774294107989</v>
      </c>
      <c r="BC8" s="418">
        <f t="shared" si="24"/>
        <v>17.130743252833245</v>
      </c>
      <c r="BD8" s="418">
        <f t="shared" si="25"/>
        <v>17.952033574874257</v>
      </c>
    </row>
    <row r="9" spans="1:56" ht="15">
      <c r="A9" s="414" t="str">
        <f>VLOOKUP(CONCATENATE($C9," - ",$B9),[2]ACHIEV!$B$17:$C$50,2,FALSE)</f>
        <v>Retro20Fast</v>
      </c>
      <c r="B9" s="414" t="str">
        <f>'SC-Retro'!$C$7</f>
        <v>Retro</v>
      </c>
      <c r="C9" s="414" t="str">
        <f>'SC-Retro'!$C$8</f>
        <v>Lighting</v>
      </c>
      <c r="D9" s="414" t="s">
        <v>632</v>
      </c>
      <c r="E9" s="414" t="str">
        <f>'SC-Retro'!$A$9</f>
        <v>Lighting</v>
      </c>
      <c r="F9" s="415">
        <f t="shared" si="1"/>
        <v>6.1823360562789545E-2</v>
      </c>
      <c r="G9" s="416">
        <f>'SC-Retro'!A83</f>
        <v>264.86483952409634</v>
      </c>
      <c r="H9" s="416">
        <f>'SC-Retro'!B83</f>
        <v>-32.850302911189921</v>
      </c>
      <c r="I9" s="409" t="str">
        <f>'SC-Retro'!C83</f>
        <v>35-44W LED fixture &amp; NEW Photocell_Replacing_150W HID fixture</v>
      </c>
      <c r="J9" s="409" t="str">
        <f>'SC-Retro'!D83</f>
        <v>Montana</v>
      </c>
      <c r="K9" s="417">
        <f>'SC-Retro'!E83</f>
        <v>1.8623727474949451E-2</v>
      </c>
      <c r="L9" s="417">
        <f>'SC-Retro'!F83</f>
        <v>1.4661518330132925E-2</v>
      </c>
      <c r="M9" s="417">
        <f>'SC-Retro'!G83</f>
        <v>1.1539353395195446E-2</v>
      </c>
      <c r="N9" s="417">
        <f>'SC-Retro'!H83</f>
        <v>9.0834869564301937E-3</v>
      </c>
      <c r="O9" s="417">
        <f>'SC-Retro'!I83</f>
        <v>7.1503348113363917E-3</v>
      </c>
      <c r="P9" s="417">
        <f>'SC-Retro'!J83</f>
        <v>5.6113243316274998E-3</v>
      </c>
      <c r="Q9" s="417">
        <f>'SC-Retro'!K83</f>
        <v>4.4035490918430979E-3</v>
      </c>
      <c r="R9" s="417">
        <f>'SC-Retro'!L83</f>
        <v>3.4566612582362785E-3</v>
      </c>
      <c r="S9" s="417">
        <f>'SC-Retro'!M83</f>
        <v>2.7139796833466632E-3</v>
      </c>
      <c r="T9" s="417">
        <f>'SC-Retro'!N83</f>
        <v>2.1312589178056583E-3</v>
      </c>
      <c r="U9" s="417">
        <f>'SC-Retro'!O83</f>
        <v>1.6738870961156348E-3</v>
      </c>
      <c r="V9" s="417">
        <f>'SC-Retro'!P83</f>
        <v>1.3148277829131937E-3</v>
      </c>
      <c r="W9" s="417">
        <f>'SC-Retro'!Q83</f>
        <v>1.0328838923329678E-3</v>
      </c>
      <c r="X9" s="417">
        <f>'SC-Retro'!R83</f>
        <v>8.1146392233403196E-4</v>
      </c>
      <c r="Y9" s="417">
        <f>'SC-Retro'!S83</f>
        <v>6.375472442422868E-4</v>
      </c>
      <c r="Z9" s="417">
        <f>'SC-Retro'!T83</f>
        <v>5.0090934390594822E-4</v>
      </c>
      <c r="AA9" s="417">
        <f>'SC-Retro'!U83</f>
        <v>3.9357322269622288E-4</v>
      </c>
      <c r="AB9" s="417">
        <f>'SC-Retro'!V83</f>
        <v>3.0924247673757579E-4</v>
      </c>
      <c r="AC9" s="417">
        <f>'SC-Retro'!W83</f>
        <v>2.4298460462924865E-4</v>
      </c>
      <c r="AD9" s="417">
        <f>'SC-Retro'!X83</f>
        <v>1.9092109481942497E-4</v>
      </c>
      <c r="AE9" s="417">
        <f>'SC-Retro'!Y83</f>
        <v>9.9762912600973377E-2</v>
      </c>
      <c r="AF9" s="418">
        <f t="shared" si="2"/>
        <v>10.848192688904698</v>
      </c>
      <c r="AG9" s="418">
        <f t="shared" si="3"/>
        <v>8.0196619127067699</v>
      </c>
      <c r="AH9" s="418">
        <f t="shared" si="4"/>
        <v>7.4706849601866079</v>
      </c>
      <c r="AI9" s="418">
        <f t="shared" si="5"/>
        <v>4.288723004571473</v>
      </c>
      <c r="AJ9" s="418">
        <f t="shared" si="6"/>
        <v>3.4450836834938139</v>
      </c>
      <c r="AK9" s="418">
        <f t="shared" si="7"/>
        <v>2.6723772307162226</v>
      </c>
      <c r="AL9" s="418">
        <f t="shared" si="8"/>
        <v>2.7886047768008861</v>
      </c>
      <c r="AM9" s="418">
        <f t="shared" si="9"/>
        <v>4.0589063242907137</v>
      </c>
      <c r="AN9" s="418">
        <f t="shared" si="10"/>
        <v>5.1281095405952097</v>
      </c>
      <c r="AO9" s="418">
        <f t="shared" si="11"/>
        <v>8.365931753863908</v>
      </c>
      <c r="AP9" s="418">
        <f t="shared" si="12"/>
        <v>9.6879738201270449</v>
      </c>
      <c r="AQ9" s="418">
        <f t="shared" si="13"/>
        <v>11.412237804720533</v>
      </c>
      <c r="AR9" s="418"/>
      <c r="AS9" s="418">
        <f t="shared" si="14"/>
        <v>17.979173648607457</v>
      </c>
      <c r="AT9" s="418">
        <f t="shared" si="15"/>
        <v>15.595426604015268</v>
      </c>
      <c r="AU9" s="418">
        <f t="shared" si="16"/>
        <v>15.721877443361841</v>
      </c>
      <c r="AV9" s="418">
        <f t="shared" si="17"/>
        <v>14.971157565383553</v>
      </c>
      <c r="AW9" s="418">
        <f t="shared" si="18"/>
        <v>13.789198193779615</v>
      </c>
      <c r="AX9" s="418">
        <f t="shared" si="19"/>
        <v>12.528767265640841</v>
      </c>
      <c r="AY9" s="418">
        <f t="shared" si="20"/>
        <v>13.681090596841402</v>
      </c>
      <c r="AZ9" s="418">
        <f t="shared" si="21"/>
        <v>14.772889904015925</v>
      </c>
      <c r="BA9" s="418">
        <f t="shared" si="22"/>
        <v>15.923652286680031</v>
      </c>
      <c r="BB9" s="418">
        <f t="shared" si="23"/>
        <v>16.434111254755667</v>
      </c>
      <c r="BC9" s="418">
        <f t="shared" si="24"/>
        <v>17.227538174677971</v>
      </c>
      <c r="BD9" s="418">
        <f t="shared" si="25"/>
        <v>18.05346908535898</v>
      </c>
    </row>
    <row r="10" spans="1:56" ht="15">
      <c r="A10" s="414" t="str">
        <f>VLOOKUP(CONCATENATE($C10," - ",$B10),[2]ACHIEV!$B$17:$C$50,2,FALSE)</f>
        <v>Retro20Fast</v>
      </c>
      <c r="B10" s="414" t="str">
        <f>'SC-Retro'!$C$7</f>
        <v>Retro</v>
      </c>
      <c r="C10" s="414" t="str">
        <f>'SC-Retro'!$C$8</f>
        <v>Lighting</v>
      </c>
      <c r="D10" s="414" t="s">
        <v>632</v>
      </c>
      <c r="E10" s="414" t="str">
        <f>'SC-Retro'!$A$9</f>
        <v>Lighting</v>
      </c>
      <c r="F10" s="415">
        <f t="shared" si="1"/>
        <v>6.2219579338429934E-2</v>
      </c>
      <c r="G10" s="416">
        <f>'SC-Retro'!A84</f>
        <v>266.56232768182667</v>
      </c>
      <c r="H10" s="416">
        <f>'SC-Retro'!B84</f>
        <v>-32.508813064490326</v>
      </c>
      <c r="I10" s="409" t="str">
        <f>'SC-Retro'!C84</f>
        <v>35-44W LED fixture &amp; NEW Photocell_Replacing_175W MH fixture</v>
      </c>
      <c r="J10" s="419" t="str">
        <f>'SC-Retro'!D84</f>
        <v>Montana</v>
      </c>
      <c r="K10" s="417">
        <f>'SC-Retro'!E84</f>
        <v>1.8743084792811372E-2</v>
      </c>
      <c r="L10" s="417">
        <f>'SC-Retro'!F84</f>
        <v>1.4755482307323951E-2</v>
      </c>
      <c r="M10" s="417">
        <f>'SC-Retro'!G84</f>
        <v>1.1613307778009735E-2</v>
      </c>
      <c r="N10" s="417">
        <f>'SC-Retro'!H84</f>
        <v>9.1417019749548984E-3</v>
      </c>
      <c r="O10" s="417">
        <f>'SC-Retro'!I84</f>
        <v>7.1961604810925556E-3</v>
      </c>
      <c r="P10" s="417">
        <f>'SC-Retro'!J84</f>
        <v>5.6472866610149568E-3</v>
      </c>
      <c r="Q10" s="417">
        <f>'SC-Retro'!K84</f>
        <v>4.4317709292482389E-3</v>
      </c>
      <c r="R10" s="417">
        <f>'SC-Retro'!L84</f>
        <v>3.4788146009060118E-3</v>
      </c>
      <c r="S10" s="417">
        <f>'SC-Retro'!M84</f>
        <v>2.7313732656019723E-3</v>
      </c>
      <c r="T10" s="417">
        <f>'SC-Retro'!N84</f>
        <v>2.1449179099940238E-3</v>
      </c>
      <c r="U10" s="417">
        <f>'SC-Retro'!O84</f>
        <v>1.6846148451371331E-3</v>
      </c>
      <c r="V10" s="417">
        <f>'SC-Retro'!P84</f>
        <v>1.3232543622770689E-3</v>
      </c>
      <c r="W10" s="417">
        <f>'SC-Retro'!Q84</f>
        <v>1.0395035258739694E-3</v>
      </c>
      <c r="X10" s="417">
        <f>'SC-Retro'!R84</f>
        <v>8.1666450086707702E-4</v>
      </c>
      <c r="Y10" s="417">
        <f>'SC-Retro'!S84</f>
        <v>6.4163321087734257E-4</v>
      </c>
      <c r="Z10" s="417">
        <f>'SC-Retro'!T84</f>
        <v>5.0411961402298071E-4</v>
      </c>
      <c r="AA10" s="417">
        <f>'SC-Retro'!U84</f>
        <v>3.9609558801253662E-4</v>
      </c>
      <c r="AB10" s="417">
        <f>'SC-Retro'!V84</f>
        <v>3.112243760454357E-4</v>
      </c>
      <c r="AC10" s="417">
        <f>'SC-Retro'!W84</f>
        <v>2.4454186488927421E-4</v>
      </c>
      <c r="AD10" s="417">
        <f>'SC-Retro'!X84</f>
        <v>1.9214468605976929E-4</v>
      </c>
      <c r="AE10" s="417">
        <f>'SC-Retro'!Y84</f>
        <v>0.10040228158262123</v>
      </c>
      <c r="AF10" s="418">
        <f t="shared" si="2"/>
        <v>10.917717502599407</v>
      </c>
      <c r="AG10" s="418">
        <f t="shared" si="3"/>
        <v>8.071058999425718</v>
      </c>
      <c r="AH10" s="418">
        <f t="shared" si="4"/>
        <v>7.5185637170379751</v>
      </c>
      <c r="AI10" s="418">
        <f t="shared" si="5"/>
        <v>4.3162089348486896</v>
      </c>
      <c r="AJ10" s="418">
        <f t="shared" si="6"/>
        <v>3.4671628268245334</v>
      </c>
      <c r="AK10" s="418">
        <f t="shared" si="7"/>
        <v>2.6895041876587884</v>
      </c>
      <c r="AL10" s="418">
        <f t="shared" si="8"/>
        <v>2.8064766226590034</v>
      </c>
      <c r="AM10" s="418">
        <f t="shared" si="9"/>
        <v>4.0849193860138167</v>
      </c>
      <c r="AN10" s="418">
        <f t="shared" si="10"/>
        <v>5.1609750022108205</v>
      </c>
      <c r="AO10" s="418">
        <f t="shared" si="11"/>
        <v>8.4195480439916572</v>
      </c>
      <c r="AP10" s="418">
        <f t="shared" si="12"/>
        <v>9.7500629251272208</v>
      </c>
      <c r="AQ10" s="418">
        <f t="shared" si="13"/>
        <v>11.485377518400622</v>
      </c>
      <c r="AR10" s="418"/>
      <c r="AS10" s="418">
        <f t="shared" si="14"/>
        <v>18.094400095459083</v>
      </c>
      <c r="AT10" s="418">
        <f t="shared" si="15"/>
        <v>15.6953758914429</v>
      </c>
      <c r="AU10" s="418">
        <f t="shared" si="16"/>
        <v>15.822637139610483</v>
      </c>
      <c r="AV10" s="418">
        <f t="shared" si="17"/>
        <v>15.067105984661911</v>
      </c>
      <c r="AW10" s="418">
        <f t="shared" si="18"/>
        <v>13.877571571992419</v>
      </c>
      <c r="AX10" s="418">
        <f t="shared" si="19"/>
        <v>12.609062687647768</v>
      </c>
      <c r="AY10" s="418">
        <f t="shared" si="20"/>
        <v>13.768771125954668</v>
      </c>
      <c r="AZ10" s="418">
        <f t="shared" si="21"/>
        <v>14.86756764875765</v>
      </c>
      <c r="BA10" s="418">
        <f t="shared" si="22"/>
        <v>16.025705134589259</v>
      </c>
      <c r="BB10" s="418">
        <f t="shared" si="23"/>
        <v>16.539435575219997</v>
      </c>
      <c r="BC10" s="418">
        <f t="shared" si="24"/>
        <v>17.337947476610633</v>
      </c>
      <c r="BD10" s="418">
        <f t="shared" si="25"/>
        <v>18.169171683081689</v>
      </c>
    </row>
    <row r="11" spans="1:56" ht="15">
      <c r="A11" s="414" t="str">
        <f>VLOOKUP(CONCATENATE($C11," - ",$B11),[2]ACHIEV!$B$17:$C$50,2,FALSE)</f>
        <v>Retro20Fast</v>
      </c>
      <c r="B11" s="414" t="str">
        <f>'SC-Retro'!$C$7</f>
        <v>Retro</v>
      </c>
      <c r="C11" s="414" t="str">
        <f>'SC-Retro'!$C$8</f>
        <v>Lighting</v>
      </c>
      <c r="D11" s="414" t="s">
        <v>632</v>
      </c>
      <c r="E11" s="414" t="str">
        <f>'SC-Retro'!$A$9</f>
        <v>Lighting</v>
      </c>
      <c r="F11" s="415">
        <f t="shared" si="1"/>
        <v>6.1475998839183005E-2</v>
      </c>
      <c r="G11" s="416">
        <f>'SC-Retro'!A85</f>
        <v>263.37666569558996</v>
      </c>
      <c r="H11" s="416">
        <f>'SC-Retro'!B85</f>
        <v>-33.358198810091075</v>
      </c>
      <c r="I11" s="409" t="str">
        <f>'SC-Retro'!C85</f>
        <v>35-44W LED fixture &amp; NEW Photocell_Replacing_175W MV fixture</v>
      </c>
      <c r="J11" s="419" t="str">
        <f>'SC-Retro'!D85</f>
        <v>Montana</v>
      </c>
      <c r="K11" s="417">
        <f>'SC-Retro'!E85</f>
        <v>1.8519087901545703E-2</v>
      </c>
      <c r="L11" s="417">
        <f>'SC-Retro'!F85</f>
        <v>1.4579140888475233E-2</v>
      </c>
      <c r="M11" s="417">
        <f>'SC-Retro'!G85</f>
        <v>1.1474518199434956E-2</v>
      </c>
      <c r="N11" s="417">
        <f>'SC-Retro'!H85</f>
        <v>9.0324503311671848E-3</v>
      </c>
      <c r="O11" s="417">
        <f>'SC-Retro'!I85</f>
        <v>7.1101598256704639E-3</v>
      </c>
      <c r="P11" s="417">
        <f>'SC-Retro'!J85</f>
        <v>5.5797964548863158E-3</v>
      </c>
      <c r="Q11" s="417">
        <f>'SC-Retro'!K85</f>
        <v>4.3788072404037041E-3</v>
      </c>
      <c r="R11" s="417">
        <f>'SC-Retro'!L85</f>
        <v>3.4372396059408586E-3</v>
      </c>
      <c r="S11" s="417">
        <f>'SC-Retro'!M85</f>
        <v>2.6987308736401293E-3</v>
      </c>
      <c r="T11" s="417">
        <f>'SC-Retro'!N85</f>
        <v>2.1192841923232271E-3</v>
      </c>
      <c r="U11" s="417">
        <f>'SC-Retro'!O85</f>
        <v>1.6644821672742317E-3</v>
      </c>
      <c r="V11" s="417">
        <f>'SC-Retro'!P85</f>
        <v>1.3074402704783979E-3</v>
      </c>
      <c r="W11" s="417">
        <f>'SC-Retro'!Q85</f>
        <v>1.0270805143564213E-3</v>
      </c>
      <c r="X11" s="417">
        <f>'SC-Retro'!R85</f>
        <v>8.0690461814641524E-4</v>
      </c>
      <c r="Y11" s="417">
        <f>'SC-Retro'!S85</f>
        <v>6.3396511108704246E-4</v>
      </c>
      <c r="Z11" s="417">
        <f>'SC-Retro'!T85</f>
        <v>4.9809492664545213E-4</v>
      </c>
      <c r="AA11" s="417">
        <f>'SC-Retro'!U85</f>
        <v>3.9136188588507868E-4</v>
      </c>
      <c r="AB11" s="417">
        <f>'SC-Retro'!V85</f>
        <v>3.0750496200602345E-4</v>
      </c>
      <c r="AC11" s="417">
        <f>'SC-Retro'!W85</f>
        <v>2.4161936743888037E-4</v>
      </c>
      <c r="AD11" s="417">
        <f>'SC-Retro'!X85</f>
        <v>1.8984838249894273E-4</v>
      </c>
      <c r="AE11" s="417">
        <f>'SC-Retro'!Y85</f>
        <v>9.9202383102776889E-2</v>
      </c>
      <c r="AF11" s="418">
        <f t="shared" si="2"/>
        <v>10.787240859755801</v>
      </c>
      <c r="AG11" s="418">
        <f t="shared" si="3"/>
        <v>7.9746025118689534</v>
      </c>
      <c r="AH11" s="418">
        <f t="shared" si="4"/>
        <v>7.4287100500447325</v>
      </c>
      <c r="AI11" s="418">
        <f t="shared" si="5"/>
        <v>4.2646263168246801</v>
      </c>
      <c r="AJ11" s="418">
        <f t="shared" si="6"/>
        <v>3.4257270811452276</v>
      </c>
      <c r="AK11" s="418">
        <f t="shared" si="7"/>
        <v>2.6573621692161979</v>
      </c>
      <c r="AL11" s="418">
        <f t="shared" si="8"/>
        <v>2.7729366773493336</v>
      </c>
      <c r="AM11" s="418">
        <f t="shared" si="9"/>
        <v>4.0361008882236931</v>
      </c>
      <c r="AN11" s="418">
        <f t="shared" si="10"/>
        <v>5.0992966622164104</v>
      </c>
      <c r="AO11" s="418">
        <f t="shared" si="11"/>
        <v>8.3189267957519117</v>
      </c>
      <c r="AP11" s="418">
        <f t="shared" si="12"/>
        <v>9.6335408152923012</v>
      </c>
      <c r="AQ11" s="418">
        <f t="shared" si="13"/>
        <v>11.348116822652125</v>
      </c>
      <c r="AR11" s="418"/>
      <c r="AS11" s="418">
        <f t="shared" si="14"/>
        <v>17.878155575653324</v>
      </c>
      <c r="AT11" s="418">
        <f t="shared" si="15"/>
        <v>15.507801890375703</v>
      </c>
      <c r="AU11" s="418">
        <f t="shared" si="16"/>
        <v>15.633542251011525</v>
      </c>
      <c r="AV11" s="418">
        <f t="shared" si="17"/>
        <v>14.88704037976057</v>
      </c>
      <c r="AW11" s="418">
        <f t="shared" si="18"/>
        <v>13.711721984008088</v>
      </c>
      <c r="AX11" s="418">
        <f t="shared" si="19"/>
        <v>12.458372933264844</v>
      </c>
      <c r="AY11" s="418">
        <f t="shared" si="20"/>
        <v>13.604221802145107</v>
      </c>
      <c r="AZ11" s="418">
        <f t="shared" si="21"/>
        <v>14.689886708249871</v>
      </c>
      <c r="BA11" s="418">
        <f t="shared" si="22"/>
        <v>15.834183398964122</v>
      </c>
      <c r="BB11" s="418">
        <f t="shared" si="23"/>
        <v>16.341774294107989</v>
      </c>
      <c r="BC11" s="418">
        <f t="shared" si="24"/>
        <v>17.130743252833245</v>
      </c>
      <c r="BD11" s="418">
        <f t="shared" si="25"/>
        <v>17.952033574874257</v>
      </c>
    </row>
    <row r="12" spans="1:56" ht="15">
      <c r="A12" s="414" t="str">
        <f>VLOOKUP(CONCATENATE($C12," - ",$B12),[2]ACHIEV!$B$17:$C$50,2,FALSE)</f>
        <v>Retro20Fast</v>
      </c>
      <c r="B12" s="414" t="str">
        <f>'SC-Retro'!$C$7</f>
        <v>Retro</v>
      </c>
      <c r="C12" s="414" t="str">
        <f>'SC-Retro'!$C$8</f>
        <v>Lighting</v>
      </c>
      <c r="D12" s="414" t="s">
        <v>632</v>
      </c>
      <c r="E12" s="414" t="str">
        <f>'SC-Retro'!$A$9</f>
        <v>Lighting</v>
      </c>
      <c r="F12" s="415">
        <f t="shared" si="1"/>
        <v>6.1859228788794879E-2</v>
      </c>
      <c r="G12" s="416">
        <f>'SC-Retro'!A86</f>
        <v>265.0185068731119</v>
      </c>
      <c r="H12" s="416">
        <f>'SC-Retro'!B86</f>
        <v>-32.644780358969037</v>
      </c>
      <c r="I12" s="409" t="str">
        <f>'SC-Retro'!C86</f>
        <v>35-44W LED fixture &amp; NEW Photocell_Replacing_200W HID fixture</v>
      </c>
      <c r="J12" s="419" t="str">
        <f>'SC-Retro'!D86</f>
        <v>Montana</v>
      </c>
      <c r="K12" s="417">
        <f>'SC-Retro'!E86</f>
        <v>1.8634532453198002E-2</v>
      </c>
      <c r="L12" s="417">
        <f>'SC-Retro'!F86</f>
        <v>1.4670024542804952E-2</v>
      </c>
      <c r="M12" s="417">
        <f>'SC-Retro'!G86</f>
        <v>1.1546048213008106E-2</v>
      </c>
      <c r="N12" s="417">
        <f>'SC-Retro'!H86</f>
        <v>9.0887569475808505E-3</v>
      </c>
      <c r="O12" s="417">
        <f>'SC-Retro'!I86</f>
        <v>7.1544832403880017E-3</v>
      </c>
      <c r="P12" s="417">
        <f>'SC-Retro'!J86</f>
        <v>5.6145798688141532E-3</v>
      </c>
      <c r="Q12" s="417">
        <f>'SC-Retro'!K86</f>
        <v>4.4061039108081942E-3</v>
      </c>
      <c r="R12" s="417">
        <f>'SC-Retro'!L86</f>
        <v>3.4586667187305911E-3</v>
      </c>
      <c r="S12" s="417">
        <f>'SC-Retro'!M86</f>
        <v>2.7155542602666171E-3</v>
      </c>
      <c r="T12" s="417">
        <f>'SC-Retro'!N86</f>
        <v>2.1324954160458682E-3</v>
      </c>
      <c r="U12" s="417">
        <f>'SC-Retro'!O86</f>
        <v>1.6748582397112649E-3</v>
      </c>
      <c r="V12" s="417">
        <f>'SC-Retro'!P86</f>
        <v>1.3155906100977127E-3</v>
      </c>
      <c r="W12" s="417">
        <f>'SC-Retro'!Q86</f>
        <v>1.033483143369311E-3</v>
      </c>
      <c r="X12" s="417">
        <f>'SC-Retro'!R86</f>
        <v>8.1193471154860232E-4</v>
      </c>
      <c r="Y12" s="417">
        <f>'SC-Retro'!S86</f>
        <v>6.3791713174819709E-4</v>
      </c>
      <c r="Z12" s="417">
        <f>'SC-Retro'!T86</f>
        <v>5.0119995783233214E-4</v>
      </c>
      <c r="AA12" s="417">
        <f>'SC-Retro'!U86</f>
        <v>3.9380156313538386E-4</v>
      </c>
      <c r="AB12" s="417">
        <f>'SC-Retro'!V86</f>
        <v>3.0942189078018203E-4</v>
      </c>
      <c r="AC12" s="417">
        <f>'SC-Retro'!W86</f>
        <v>2.4312557766331409E-4</v>
      </c>
      <c r="AD12" s="417">
        <f>'SC-Retro'!X86</f>
        <v>1.9103186202644562E-4</v>
      </c>
      <c r="AE12" s="417">
        <f>'SC-Retro'!Y86</f>
        <v>9.9820792319312013E-2</v>
      </c>
      <c r="AF12" s="418">
        <f t="shared" si="2"/>
        <v>10.854486514144428</v>
      </c>
      <c r="AG12" s="418">
        <f t="shared" si="3"/>
        <v>8.0243147016097467</v>
      </c>
      <c r="AH12" s="418">
        <f t="shared" si="4"/>
        <v>7.4750192476489419</v>
      </c>
      <c r="AI12" s="418">
        <f t="shared" si="5"/>
        <v>4.2912112045755162</v>
      </c>
      <c r="AJ12" s="418">
        <f t="shared" si="6"/>
        <v>3.4470824269953315</v>
      </c>
      <c r="AK12" s="418">
        <f t="shared" si="7"/>
        <v>2.6739276710289177</v>
      </c>
      <c r="AL12" s="418">
        <f t="shared" si="8"/>
        <v>2.7902226491627786</v>
      </c>
      <c r="AM12" s="418">
        <f t="shared" si="9"/>
        <v>4.0612611909309102</v>
      </c>
      <c r="AN12" s="418">
        <f t="shared" si="10"/>
        <v>5.1310847297519908</v>
      </c>
      <c r="AO12" s="418">
        <f t="shared" si="11"/>
        <v>8.3707854390754726</v>
      </c>
      <c r="AP12" s="418">
        <f t="shared" si="12"/>
        <v>9.6935945180533754</v>
      </c>
      <c r="AQ12" s="418">
        <f t="shared" si="13"/>
        <v>11.418858873537888</v>
      </c>
      <c r="AR12" s="418"/>
      <c r="AS12" s="418">
        <f t="shared" si="14"/>
        <v>17.989604674322447</v>
      </c>
      <c r="AT12" s="418">
        <f t="shared" si="15"/>
        <v>15.604474644771873</v>
      </c>
      <c r="AU12" s="418">
        <f t="shared" si="16"/>
        <v>15.730998847443296</v>
      </c>
      <c r="AV12" s="418">
        <f t="shared" si="17"/>
        <v>14.979843422286645</v>
      </c>
      <c r="AW12" s="418">
        <f t="shared" si="18"/>
        <v>13.79719831012309</v>
      </c>
      <c r="AX12" s="418">
        <f t="shared" si="19"/>
        <v>12.536036114369889</v>
      </c>
      <c r="AY12" s="418">
        <f t="shared" si="20"/>
        <v>13.689027992108496</v>
      </c>
      <c r="AZ12" s="418">
        <f t="shared" si="21"/>
        <v>14.781460731434649</v>
      </c>
      <c r="BA12" s="418">
        <f t="shared" si="22"/>
        <v>15.932890755017077</v>
      </c>
      <c r="BB12" s="418">
        <f t="shared" si="23"/>
        <v>16.443645877450333</v>
      </c>
      <c r="BC12" s="418">
        <f t="shared" si="24"/>
        <v>17.237533122010824</v>
      </c>
      <c r="BD12" s="418">
        <f t="shared" si="25"/>
        <v>18.063943215258089</v>
      </c>
    </row>
    <row r="13" spans="1:56" ht="15">
      <c r="A13" s="414" t="str">
        <f>VLOOKUP(CONCATENATE($C13," - ",$B13),[2]ACHIEV!$B$17:$C$50,2,FALSE)</f>
        <v>Retro20Fast</v>
      </c>
      <c r="B13" s="414" t="str">
        <f>'SC-Retro'!$C$7</f>
        <v>Retro</v>
      </c>
      <c r="C13" s="414" t="str">
        <f>'SC-Retro'!$C$8</f>
        <v>Lighting</v>
      </c>
      <c r="D13" s="414" t="s">
        <v>632</v>
      </c>
      <c r="E13" s="414" t="str">
        <f>'SC-Retro'!$A$9</f>
        <v>Lighting</v>
      </c>
      <c r="F13" s="415">
        <f t="shared" si="1"/>
        <v>6.1475998839183005E-2</v>
      </c>
      <c r="G13" s="416">
        <f>'SC-Retro'!A87</f>
        <v>263.37666569558996</v>
      </c>
      <c r="H13" s="416">
        <f>'SC-Retro'!B87</f>
        <v>-33.358198810091075</v>
      </c>
      <c r="I13" s="409" t="str">
        <f>'SC-Retro'!C87</f>
        <v>35-44W LED fixture &amp; NEW Photocell_Replacing_100W HID fixture</v>
      </c>
      <c r="J13" s="419" t="str">
        <f>'SC-Retro'!D87</f>
        <v>Washington</v>
      </c>
      <c r="K13" s="417">
        <f>'SC-Retro'!E87</f>
        <v>4.8943303739799347E-2</v>
      </c>
      <c r="L13" s="417">
        <f>'SC-Retro'!F87</f>
        <v>3.8523492278719068E-2</v>
      </c>
      <c r="M13" s="417">
        <f>'SC-Retro'!G87</f>
        <v>3.0330086959741112E-2</v>
      </c>
      <c r="N13" s="417">
        <f>'SC-Retro'!H87</f>
        <v>2.3885031962433741E-2</v>
      </c>
      <c r="O13" s="417">
        <f>'SC-Retro'!I87</f>
        <v>1.8938639879792392E-2</v>
      </c>
      <c r="P13" s="417">
        <f>'SC-Retro'!J87</f>
        <v>1.4932320311424453E-2</v>
      </c>
      <c r="Q13" s="417">
        <f>'SC-Retro'!K87</f>
        <v>1.1768155032726284E-2</v>
      </c>
      <c r="R13" s="417">
        <f>'SC-Retro'!L87</f>
        <v>9.2776710797311639E-3</v>
      </c>
      <c r="S13" s="417">
        <f>'SC-Retro'!M87</f>
        <v>7.3110230044968055E-3</v>
      </c>
      <c r="T13" s="417">
        <f>'SC-Retro'!N87</f>
        <v>5.8058973103727214E-3</v>
      </c>
      <c r="U13" s="417">
        <f>'SC-Retro'!O87</f>
        <v>4.5740532546920658E-3</v>
      </c>
      <c r="V13" s="417">
        <f>'SC-Retro'!P87</f>
        <v>3.6019879566420478E-3</v>
      </c>
      <c r="W13" s="417">
        <f>'SC-Retro'!Q87</f>
        <v>2.8372835690952118E-3</v>
      </c>
      <c r="X13" s="417">
        <f>'SC-Retro'!R87</f>
        <v>2.2339537754650415E-3</v>
      </c>
      <c r="Y13" s="417">
        <f>'SC-Retro'!S87</f>
        <v>1.7710000497739072E-3</v>
      </c>
      <c r="Z13" s="417">
        <f>'SC-Retro'!T87</f>
        <v>1.3954436668714165E-3</v>
      </c>
      <c r="AA13" s="417">
        <f>'SC-Retro'!U87</f>
        <v>1.0997944339149743E-3</v>
      </c>
      <c r="AB13" s="417">
        <f>'SC-Retro'!V87</f>
        <v>8.666813502692755E-4</v>
      </c>
      <c r="AC13" s="417">
        <f>'SC-Retro'!W87</f>
        <v>6.8267896836379143E-4</v>
      </c>
      <c r="AD13" s="417">
        <f>'SC-Retro'!X87</f>
        <v>5.4168661568552968E-4</v>
      </c>
      <c r="AE13" s="417">
        <f>'SC-Retro'!Y87</f>
        <v>0.28305009747018445</v>
      </c>
      <c r="AF13" s="418">
        <f t="shared" si="2"/>
        <v>10.787240859755801</v>
      </c>
      <c r="AG13" s="418">
        <f t="shared" si="3"/>
        <v>7.9746025118689534</v>
      </c>
      <c r="AH13" s="418">
        <f t="shared" si="4"/>
        <v>7.4287100500447325</v>
      </c>
      <c r="AI13" s="418">
        <f t="shared" si="5"/>
        <v>4.2646263168246801</v>
      </c>
      <c r="AJ13" s="418">
        <f t="shared" si="6"/>
        <v>3.4257270811452276</v>
      </c>
      <c r="AK13" s="418">
        <f t="shared" si="7"/>
        <v>2.6573621692161979</v>
      </c>
      <c r="AL13" s="418">
        <f t="shared" si="8"/>
        <v>2.7729366773493336</v>
      </c>
      <c r="AM13" s="418">
        <f t="shared" si="9"/>
        <v>4.0361008882236931</v>
      </c>
      <c r="AN13" s="418">
        <f t="shared" si="10"/>
        <v>5.0992966622164104</v>
      </c>
      <c r="AO13" s="418">
        <f t="shared" si="11"/>
        <v>8.3189267957519117</v>
      </c>
      <c r="AP13" s="418">
        <f t="shared" si="12"/>
        <v>9.6335408152923012</v>
      </c>
      <c r="AQ13" s="418">
        <f t="shared" si="13"/>
        <v>11.348116822652125</v>
      </c>
      <c r="AR13" s="418"/>
      <c r="AS13" s="418">
        <f t="shared" si="14"/>
        <v>17.878155575653324</v>
      </c>
      <c r="AT13" s="418">
        <f t="shared" si="15"/>
        <v>15.507801890375703</v>
      </c>
      <c r="AU13" s="418">
        <f t="shared" si="16"/>
        <v>15.633542251011525</v>
      </c>
      <c r="AV13" s="418">
        <f t="shared" si="17"/>
        <v>14.88704037976057</v>
      </c>
      <c r="AW13" s="418">
        <f t="shared" si="18"/>
        <v>13.711721984008088</v>
      </c>
      <c r="AX13" s="418">
        <f t="shared" si="19"/>
        <v>12.458372933264844</v>
      </c>
      <c r="AY13" s="418">
        <f t="shared" si="20"/>
        <v>13.604221802145107</v>
      </c>
      <c r="AZ13" s="418">
        <f t="shared" si="21"/>
        <v>14.689886708249871</v>
      </c>
      <c r="BA13" s="418">
        <f t="shared" si="22"/>
        <v>15.834183398964122</v>
      </c>
      <c r="BB13" s="418">
        <f t="shared" si="23"/>
        <v>16.341774294107989</v>
      </c>
      <c r="BC13" s="418">
        <f t="shared" si="24"/>
        <v>17.130743252833245</v>
      </c>
      <c r="BD13" s="418">
        <f t="shared" si="25"/>
        <v>17.952033574874257</v>
      </c>
    </row>
    <row r="14" spans="1:56" ht="15">
      <c r="A14" s="414" t="str">
        <f>VLOOKUP(CONCATENATE($C14," - ",$B14),[2]ACHIEV!$B$17:$C$50,2,FALSE)</f>
        <v>Retro20Fast</v>
      </c>
      <c r="B14" s="414" t="str">
        <f>'SC-Retro'!$C$7</f>
        <v>Retro</v>
      </c>
      <c r="C14" s="414" t="str">
        <f>'SC-Retro'!$C$8</f>
        <v>Lighting</v>
      </c>
      <c r="D14" s="414" t="s">
        <v>632</v>
      </c>
      <c r="E14" s="414" t="str">
        <f>'SC-Retro'!$A$9</f>
        <v>Lighting</v>
      </c>
      <c r="F14" s="415">
        <f t="shared" si="1"/>
        <v>6.1823360562789545E-2</v>
      </c>
      <c r="G14" s="416">
        <f>'SC-Retro'!A88</f>
        <v>264.86483952409634</v>
      </c>
      <c r="H14" s="416">
        <f>'SC-Retro'!B88</f>
        <v>-32.850302911189921</v>
      </c>
      <c r="I14" s="409" t="str">
        <f>'SC-Retro'!C88</f>
        <v>35-44W LED fixture &amp; NEW Photocell_Replacing_150W HID fixture</v>
      </c>
      <c r="J14" s="419" t="str">
        <f>'SC-Retro'!D88</f>
        <v>Washington</v>
      </c>
      <c r="K14" s="417">
        <f>'SC-Retro'!E88</f>
        <v>4.9219851183794981E-2</v>
      </c>
      <c r="L14" s="417">
        <f>'SC-Retro'!F88</f>
        <v>3.8741164003131115E-2</v>
      </c>
      <c r="M14" s="417">
        <f>'SC-Retro'!G88</f>
        <v>3.0501462967978597E-2</v>
      </c>
      <c r="N14" s="417">
        <f>'SC-Retro'!H88</f>
        <v>2.4019991068874154E-2</v>
      </c>
      <c r="O14" s="417">
        <f>'SC-Retro'!I88</f>
        <v>1.9045650074268724E-2</v>
      </c>
      <c r="P14" s="417">
        <f>'SC-Retro'!J88</f>
        <v>1.5016693345108537E-2</v>
      </c>
      <c r="Q14" s="417">
        <f>'SC-Retro'!K88</f>
        <v>1.1834649383253718E-2</v>
      </c>
      <c r="R14" s="417">
        <f>'SC-Retro'!L88</f>
        <v>9.3300932912960405E-3</v>
      </c>
      <c r="S14" s="417">
        <f>'SC-Retro'!M88</f>
        <v>7.3523329400834126E-3</v>
      </c>
      <c r="T14" s="417">
        <f>'SC-Retro'!N88</f>
        <v>5.8387027390748927E-3</v>
      </c>
      <c r="U14" s="417">
        <f>'SC-Retro'!O88</f>
        <v>4.5998983170321538E-3</v>
      </c>
      <c r="V14" s="417">
        <f>'SC-Retro'!P88</f>
        <v>3.6223404969611102E-3</v>
      </c>
      <c r="W14" s="417">
        <f>'SC-Retro'!Q88</f>
        <v>2.8533152518580985E-3</v>
      </c>
      <c r="X14" s="417">
        <f>'SC-Retro'!R88</f>
        <v>2.2465764257441007E-3</v>
      </c>
      <c r="Y14" s="417">
        <f>'SC-Retro'!S88</f>
        <v>1.7810068433423364E-3</v>
      </c>
      <c r="Z14" s="417">
        <f>'SC-Retro'!T88</f>
        <v>1.4033284304616474E-3</v>
      </c>
      <c r="AA14" s="417">
        <f>'SC-Retro'!U88</f>
        <v>1.1060086719491852E-3</v>
      </c>
      <c r="AB14" s="417">
        <f>'SC-Retro'!V88</f>
        <v>8.7157841470632009E-4</v>
      </c>
      <c r="AC14" s="417">
        <f>'SC-Retro'!W88</f>
        <v>6.8653635250717239E-4</v>
      </c>
      <c r="AD14" s="417">
        <f>'SC-Retro'!X88</f>
        <v>5.447473418230802E-4</v>
      </c>
      <c r="AE14" s="417">
        <f>'SC-Retro'!Y88</f>
        <v>0.284649433334274</v>
      </c>
      <c r="AF14" s="418">
        <f t="shared" si="2"/>
        <v>10.848192688904698</v>
      </c>
      <c r="AG14" s="418">
        <f t="shared" si="3"/>
        <v>8.0196619127067699</v>
      </c>
      <c r="AH14" s="418">
        <f t="shared" si="4"/>
        <v>7.4706849601866079</v>
      </c>
      <c r="AI14" s="418">
        <f t="shared" si="5"/>
        <v>4.288723004571473</v>
      </c>
      <c r="AJ14" s="418">
        <f t="shared" si="6"/>
        <v>3.4450836834938139</v>
      </c>
      <c r="AK14" s="418">
        <f t="shared" si="7"/>
        <v>2.6723772307162226</v>
      </c>
      <c r="AL14" s="418">
        <f t="shared" si="8"/>
        <v>2.7886047768008861</v>
      </c>
      <c r="AM14" s="418">
        <f t="shared" si="9"/>
        <v>4.0589063242907137</v>
      </c>
      <c r="AN14" s="418">
        <f t="shared" si="10"/>
        <v>5.1281095405952097</v>
      </c>
      <c r="AO14" s="418">
        <f t="shared" si="11"/>
        <v>8.365931753863908</v>
      </c>
      <c r="AP14" s="418">
        <f t="shared" si="12"/>
        <v>9.6879738201270449</v>
      </c>
      <c r="AQ14" s="418">
        <f t="shared" si="13"/>
        <v>11.412237804720533</v>
      </c>
      <c r="AR14" s="418"/>
      <c r="AS14" s="418">
        <f t="shared" si="14"/>
        <v>17.979173648607457</v>
      </c>
      <c r="AT14" s="418">
        <f t="shared" si="15"/>
        <v>15.595426604015268</v>
      </c>
      <c r="AU14" s="418">
        <f t="shared" si="16"/>
        <v>15.721877443361841</v>
      </c>
      <c r="AV14" s="418">
        <f t="shared" si="17"/>
        <v>14.971157565383553</v>
      </c>
      <c r="AW14" s="418">
        <f t="shared" si="18"/>
        <v>13.789198193779615</v>
      </c>
      <c r="AX14" s="418">
        <f t="shared" si="19"/>
        <v>12.528767265640841</v>
      </c>
      <c r="AY14" s="418">
        <f t="shared" si="20"/>
        <v>13.681090596841402</v>
      </c>
      <c r="AZ14" s="418">
        <f t="shared" si="21"/>
        <v>14.772889904015925</v>
      </c>
      <c r="BA14" s="418">
        <f t="shared" si="22"/>
        <v>15.923652286680031</v>
      </c>
      <c r="BB14" s="418">
        <f t="shared" si="23"/>
        <v>16.434111254755667</v>
      </c>
      <c r="BC14" s="418">
        <f t="shared" si="24"/>
        <v>17.227538174677971</v>
      </c>
      <c r="BD14" s="418">
        <f t="shared" si="25"/>
        <v>18.05346908535898</v>
      </c>
    </row>
    <row r="15" spans="1:56" ht="15">
      <c r="A15" s="414" t="str">
        <f>VLOOKUP(CONCATENATE($C15," - ",$B15),[2]ACHIEV!$B$17:$C$50,2,FALSE)</f>
        <v>Retro20Fast</v>
      </c>
      <c r="B15" s="414" t="str">
        <f>'SC-Retro'!$C$7</f>
        <v>Retro</v>
      </c>
      <c r="C15" s="414" t="str">
        <f>'SC-Retro'!$C$8</f>
        <v>Lighting</v>
      </c>
      <c r="D15" s="414" t="s">
        <v>632</v>
      </c>
      <c r="E15" s="414" t="str">
        <f>'SC-Retro'!$A$9</f>
        <v>Lighting</v>
      </c>
      <c r="F15" s="415">
        <f t="shared" si="1"/>
        <v>6.2219579338429934E-2</v>
      </c>
      <c r="G15" s="416">
        <f>'SC-Retro'!A89</f>
        <v>266.56232768182667</v>
      </c>
      <c r="H15" s="416">
        <f>'SC-Retro'!B89</f>
        <v>-32.508813064490326</v>
      </c>
      <c r="I15" s="409" t="str">
        <f>'SC-Retro'!C89</f>
        <v>35-44W LED fixture &amp; NEW Photocell_Replacing_175W MH fixture</v>
      </c>
      <c r="J15" s="419" t="str">
        <f>'SC-Retro'!D89</f>
        <v>Washington</v>
      </c>
      <c r="K15" s="417">
        <f>'SC-Retro'!E89</f>
        <v>4.9535295523858623E-2</v>
      </c>
      <c r="L15" s="417">
        <f>'SC-Retro'!F89</f>
        <v>3.8989451647614873E-2</v>
      </c>
      <c r="M15" s="417">
        <f>'SC-Retro'!G89</f>
        <v>3.069694332042788E-2</v>
      </c>
      <c r="N15" s="417">
        <f>'SC-Retro'!H89</f>
        <v>2.4173932416700704E-2</v>
      </c>
      <c r="O15" s="417">
        <f>'SC-Retro'!I89</f>
        <v>1.9167711445326644E-2</v>
      </c>
      <c r="P15" s="417">
        <f>'SC-Retro'!J89</f>
        <v>1.511293359793859E-2</v>
      </c>
      <c r="Q15" s="417">
        <f>'SC-Retro'!K89</f>
        <v>1.1910496283941098E-2</v>
      </c>
      <c r="R15" s="417">
        <f>'SC-Retro'!L89</f>
        <v>9.3898887813314534E-3</v>
      </c>
      <c r="S15" s="417">
        <f>'SC-Retro'!M89</f>
        <v>7.399453192510677E-3</v>
      </c>
      <c r="T15" s="417">
        <f>'SC-Retro'!N89</f>
        <v>5.8761223104075591E-3</v>
      </c>
      <c r="U15" s="417">
        <f>'SC-Retro'!O89</f>
        <v>4.6293785339380882E-3</v>
      </c>
      <c r="V15" s="417">
        <f>'SC-Retro'!P89</f>
        <v>3.6455556587315693E-3</v>
      </c>
      <c r="W15" s="417">
        <f>'SC-Retro'!Q89</f>
        <v>2.8716018196751143E-3</v>
      </c>
      <c r="X15" s="417">
        <f>'SC-Retro'!R89</f>
        <v>2.2609744745186715E-3</v>
      </c>
      <c r="Y15" s="417">
        <f>'SC-Retro'!S89</f>
        <v>1.7924211104486931E-3</v>
      </c>
      <c r="Z15" s="417">
        <f>'SC-Retro'!T89</f>
        <v>1.4123222002515338E-3</v>
      </c>
      <c r="AA15" s="417">
        <f>'SC-Retro'!U89</f>
        <v>1.1130969537549327E-3</v>
      </c>
      <c r="AB15" s="417">
        <f>'SC-Retro'!V89</f>
        <v>8.7716426007619142E-4</v>
      </c>
      <c r="AC15" s="417">
        <f>'SC-Retro'!W89</f>
        <v>6.9093628467758149E-4</v>
      </c>
      <c r="AD15" s="417">
        <f>'SC-Retro'!X89</f>
        <v>5.4823856460433425E-4</v>
      </c>
      <c r="AE15" s="417">
        <f>'SC-Retro'!Y89</f>
        <v>0.28647371866809851</v>
      </c>
      <c r="AF15" s="418">
        <f t="shared" si="2"/>
        <v>10.917717502599407</v>
      </c>
      <c r="AG15" s="418">
        <f t="shared" si="3"/>
        <v>8.071058999425718</v>
      </c>
      <c r="AH15" s="418">
        <f t="shared" si="4"/>
        <v>7.5185637170379751</v>
      </c>
      <c r="AI15" s="418">
        <f t="shared" si="5"/>
        <v>4.3162089348486896</v>
      </c>
      <c r="AJ15" s="418">
        <f t="shared" si="6"/>
        <v>3.4671628268245334</v>
      </c>
      <c r="AK15" s="418">
        <f t="shared" si="7"/>
        <v>2.6895041876587884</v>
      </c>
      <c r="AL15" s="418">
        <f t="shared" si="8"/>
        <v>2.8064766226590034</v>
      </c>
      <c r="AM15" s="418">
        <f t="shared" si="9"/>
        <v>4.0849193860138167</v>
      </c>
      <c r="AN15" s="418">
        <f t="shared" si="10"/>
        <v>5.1609750022108205</v>
      </c>
      <c r="AO15" s="418">
        <f t="shared" si="11"/>
        <v>8.4195480439916572</v>
      </c>
      <c r="AP15" s="418">
        <f t="shared" si="12"/>
        <v>9.7500629251272208</v>
      </c>
      <c r="AQ15" s="418">
        <f t="shared" si="13"/>
        <v>11.485377518400622</v>
      </c>
      <c r="AR15" s="418"/>
      <c r="AS15" s="418">
        <f t="shared" si="14"/>
        <v>18.094400095459083</v>
      </c>
      <c r="AT15" s="418">
        <f t="shared" si="15"/>
        <v>15.6953758914429</v>
      </c>
      <c r="AU15" s="418">
        <f t="shared" si="16"/>
        <v>15.822637139610483</v>
      </c>
      <c r="AV15" s="418">
        <f t="shared" si="17"/>
        <v>15.067105984661911</v>
      </c>
      <c r="AW15" s="418">
        <f t="shared" si="18"/>
        <v>13.877571571992419</v>
      </c>
      <c r="AX15" s="418">
        <f t="shared" si="19"/>
        <v>12.609062687647768</v>
      </c>
      <c r="AY15" s="418">
        <f t="shared" si="20"/>
        <v>13.768771125954668</v>
      </c>
      <c r="AZ15" s="418">
        <f t="shared" si="21"/>
        <v>14.86756764875765</v>
      </c>
      <c r="BA15" s="418">
        <f t="shared" si="22"/>
        <v>16.025705134589259</v>
      </c>
      <c r="BB15" s="418">
        <f t="shared" si="23"/>
        <v>16.539435575219997</v>
      </c>
      <c r="BC15" s="418">
        <f t="shared" si="24"/>
        <v>17.337947476610633</v>
      </c>
      <c r="BD15" s="418">
        <f t="shared" si="25"/>
        <v>18.169171683081689</v>
      </c>
    </row>
    <row r="16" spans="1:56" ht="15">
      <c r="A16" s="414" t="str">
        <f>VLOOKUP(CONCATENATE($C16," - ",$B16),[2]ACHIEV!$B$17:$C$50,2,FALSE)</f>
        <v>Retro20Fast</v>
      </c>
      <c r="B16" s="414" t="str">
        <f>'SC-Retro'!$C$7</f>
        <v>Retro</v>
      </c>
      <c r="C16" s="414" t="str">
        <f>'SC-Retro'!$C$8</f>
        <v>Lighting</v>
      </c>
      <c r="D16" s="414" t="s">
        <v>632</v>
      </c>
      <c r="E16" s="414" t="str">
        <f>'SC-Retro'!$A$9</f>
        <v>Lighting</v>
      </c>
      <c r="F16" s="415">
        <f t="shared" si="1"/>
        <v>6.1475998839183005E-2</v>
      </c>
      <c r="G16" s="416">
        <f>'SC-Retro'!A90</f>
        <v>263.37666569558996</v>
      </c>
      <c r="H16" s="416">
        <f>'SC-Retro'!B90</f>
        <v>-33.358198810091075</v>
      </c>
      <c r="I16" s="409" t="str">
        <f>'SC-Retro'!C90</f>
        <v>35-44W LED fixture &amp; NEW Photocell_Replacing_175W MV fixture</v>
      </c>
      <c r="J16" s="419" t="str">
        <f>'SC-Retro'!D90</f>
        <v>Washington</v>
      </c>
      <c r="K16" s="417">
        <f>'SC-Retro'!E90</f>
        <v>4.8943303739799347E-2</v>
      </c>
      <c r="L16" s="417">
        <f>'SC-Retro'!F90</f>
        <v>3.8523492278719068E-2</v>
      </c>
      <c r="M16" s="417">
        <f>'SC-Retro'!G90</f>
        <v>3.0330086959741112E-2</v>
      </c>
      <c r="N16" s="417">
        <f>'SC-Retro'!H90</f>
        <v>2.3885031962433741E-2</v>
      </c>
      <c r="O16" s="417">
        <f>'SC-Retro'!I90</f>
        <v>1.8938639879792392E-2</v>
      </c>
      <c r="P16" s="417">
        <f>'SC-Retro'!J90</f>
        <v>1.4932320311424453E-2</v>
      </c>
      <c r="Q16" s="417">
        <f>'SC-Retro'!K90</f>
        <v>1.1768155032726284E-2</v>
      </c>
      <c r="R16" s="417">
        <f>'SC-Retro'!L90</f>
        <v>9.2776710797311639E-3</v>
      </c>
      <c r="S16" s="417">
        <f>'SC-Retro'!M90</f>
        <v>7.3110230044968055E-3</v>
      </c>
      <c r="T16" s="417">
        <f>'SC-Retro'!N90</f>
        <v>5.8058973103727214E-3</v>
      </c>
      <c r="U16" s="417">
        <f>'SC-Retro'!O90</f>
        <v>4.5740532546920658E-3</v>
      </c>
      <c r="V16" s="417">
        <f>'SC-Retro'!P90</f>
        <v>3.6019879566420478E-3</v>
      </c>
      <c r="W16" s="417">
        <f>'SC-Retro'!Q90</f>
        <v>2.8372835690952118E-3</v>
      </c>
      <c r="X16" s="417">
        <f>'SC-Retro'!R90</f>
        <v>2.2339537754650415E-3</v>
      </c>
      <c r="Y16" s="417">
        <f>'SC-Retro'!S90</f>
        <v>1.7710000497739072E-3</v>
      </c>
      <c r="Z16" s="417">
        <f>'SC-Retro'!T90</f>
        <v>1.3954436668714165E-3</v>
      </c>
      <c r="AA16" s="417">
        <f>'SC-Retro'!U90</f>
        <v>1.0997944339149743E-3</v>
      </c>
      <c r="AB16" s="417">
        <f>'SC-Retro'!V90</f>
        <v>8.666813502692755E-4</v>
      </c>
      <c r="AC16" s="417">
        <f>'SC-Retro'!W90</f>
        <v>6.8267896836379143E-4</v>
      </c>
      <c r="AD16" s="417">
        <f>'SC-Retro'!X90</f>
        <v>5.4168661568552968E-4</v>
      </c>
      <c r="AE16" s="417">
        <f>'SC-Retro'!Y90</f>
        <v>0.28305009747018445</v>
      </c>
      <c r="AF16" s="418">
        <f t="shared" si="2"/>
        <v>10.787240859755801</v>
      </c>
      <c r="AG16" s="418">
        <f t="shared" si="3"/>
        <v>7.9746025118689534</v>
      </c>
      <c r="AH16" s="418">
        <f t="shared" si="4"/>
        <v>7.4287100500447325</v>
      </c>
      <c r="AI16" s="418">
        <f t="shared" si="5"/>
        <v>4.2646263168246801</v>
      </c>
      <c r="AJ16" s="418">
        <f t="shared" si="6"/>
        <v>3.4257270811452276</v>
      </c>
      <c r="AK16" s="418">
        <f t="shared" si="7"/>
        <v>2.6573621692161979</v>
      </c>
      <c r="AL16" s="418">
        <f t="shared" si="8"/>
        <v>2.7729366773493336</v>
      </c>
      <c r="AM16" s="418">
        <f t="shared" si="9"/>
        <v>4.0361008882236931</v>
      </c>
      <c r="AN16" s="418">
        <f t="shared" si="10"/>
        <v>5.0992966622164104</v>
      </c>
      <c r="AO16" s="418">
        <f t="shared" si="11"/>
        <v>8.3189267957519117</v>
      </c>
      <c r="AP16" s="418">
        <f t="shared" si="12"/>
        <v>9.6335408152923012</v>
      </c>
      <c r="AQ16" s="418">
        <f t="shared" si="13"/>
        <v>11.348116822652125</v>
      </c>
      <c r="AR16" s="418"/>
      <c r="AS16" s="418">
        <f t="shared" si="14"/>
        <v>17.878155575653324</v>
      </c>
      <c r="AT16" s="418">
        <f t="shared" si="15"/>
        <v>15.507801890375703</v>
      </c>
      <c r="AU16" s="418">
        <f t="shared" si="16"/>
        <v>15.633542251011525</v>
      </c>
      <c r="AV16" s="418">
        <f t="shared" si="17"/>
        <v>14.88704037976057</v>
      </c>
      <c r="AW16" s="418">
        <f t="shared" si="18"/>
        <v>13.711721984008088</v>
      </c>
      <c r="AX16" s="418">
        <f t="shared" si="19"/>
        <v>12.458372933264844</v>
      </c>
      <c r="AY16" s="418">
        <f t="shared" si="20"/>
        <v>13.604221802145107</v>
      </c>
      <c r="AZ16" s="418">
        <f t="shared" si="21"/>
        <v>14.689886708249871</v>
      </c>
      <c r="BA16" s="418">
        <f t="shared" si="22"/>
        <v>15.834183398964122</v>
      </c>
      <c r="BB16" s="418">
        <f t="shared" si="23"/>
        <v>16.341774294107989</v>
      </c>
      <c r="BC16" s="418">
        <f t="shared" si="24"/>
        <v>17.130743252833245</v>
      </c>
      <c r="BD16" s="418">
        <f t="shared" si="25"/>
        <v>17.952033574874257</v>
      </c>
    </row>
    <row r="17" spans="1:56" ht="15">
      <c r="A17" s="414" t="str">
        <f>VLOOKUP(CONCATENATE($C17," - ",$B17),[2]ACHIEV!$B$17:$C$50,2,FALSE)</f>
        <v>Retro20Fast</v>
      </c>
      <c r="B17" s="414" t="str">
        <f>'SC-Retro'!$C$7</f>
        <v>Retro</v>
      </c>
      <c r="C17" s="414" t="str">
        <f>'SC-Retro'!$C$8</f>
        <v>Lighting</v>
      </c>
      <c r="D17" s="414" t="s">
        <v>632</v>
      </c>
      <c r="E17" s="414" t="str">
        <f>'SC-Retro'!$A$9</f>
        <v>Lighting</v>
      </c>
      <c r="F17" s="415">
        <f t="shared" si="1"/>
        <v>6.1859228788794879E-2</v>
      </c>
      <c r="G17" s="416">
        <f>'SC-Retro'!A91</f>
        <v>265.0185068731119</v>
      </c>
      <c r="H17" s="416">
        <f>'SC-Retro'!B91</f>
        <v>-32.644780358969037</v>
      </c>
      <c r="I17" s="409" t="str">
        <f>'SC-Retro'!C91</f>
        <v>35-44W LED fixture &amp; NEW Photocell_Replacing_200W HID fixture</v>
      </c>
      <c r="J17" s="419" t="str">
        <f>'SC-Retro'!D91</f>
        <v>Washington</v>
      </c>
      <c r="K17" s="417">
        <f>'SC-Retro'!E91</f>
        <v>1.8634532453198002E-2</v>
      </c>
      <c r="L17" s="417">
        <f>'SC-Retro'!F91</f>
        <v>1.4670024542804952E-2</v>
      </c>
      <c r="M17" s="417">
        <f>'SC-Retro'!G91</f>
        <v>1.1546048213008106E-2</v>
      </c>
      <c r="N17" s="417">
        <f>'SC-Retro'!H91</f>
        <v>9.0887569475808505E-3</v>
      </c>
      <c r="O17" s="417">
        <f>'SC-Retro'!I91</f>
        <v>7.1544832403880017E-3</v>
      </c>
      <c r="P17" s="417">
        <f>'SC-Retro'!J91</f>
        <v>5.6145798688141532E-3</v>
      </c>
      <c r="Q17" s="417">
        <f>'SC-Retro'!K91</f>
        <v>4.4061039108081942E-3</v>
      </c>
      <c r="R17" s="417">
        <f>'SC-Retro'!L91</f>
        <v>3.4586667187305911E-3</v>
      </c>
      <c r="S17" s="417">
        <f>'SC-Retro'!M91</f>
        <v>2.7155542602666171E-3</v>
      </c>
      <c r="T17" s="417">
        <f>'SC-Retro'!N91</f>
        <v>2.1324954160458682E-3</v>
      </c>
      <c r="U17" s="417">
        <f>'SC-Retro'!O91</f>
        <v>1.6748582397112649E-3</v>
      </c>
      <c r="V17" s="417">
        <f>'SC-Retro'!P91</f>
        <v>1.3155906100977127E-3</v>
      </c>
      <c r="W17" s="417">
        <f>'SC-Retro'!Q91</f>
        <v>1.033483143369311E-3</v>
      </c>
      <c r="X17" s="417">
        <f>'SC-Retro'!R91</f>
        <v>8.1193471154860232E-4</v>
      </c>
      <c r="Y17" s="417">
        <f>'SC-Retro'!S91</f>
        <v>6.3791713174819709E-4</v>
      </c>
      <c r="Z17" s="417">
        <f>'SC-Retro'!T91</f>
        <v>5.0119995783233214E-4</v>
      </c>
      <c r="AA17" s="417">
        <f>'SC-Retro'!U91</f>
        <v>3.9380156313538386E-4</v>
      </c>
      <c r="AB17" s="417">
        <f>'SC-Retro'!V91</f>
        <v>3.0942189078018203E-4</v>
      </c>
      <c r="AC17" s="417">
        <f>'SC-Retro'!W91</f>
        <v>2.4312557766331409E-4</v>
      </c>
      <c r="AD17" s="417">
        <f>'SC-Retro'!X91</f>
        <v>1.9103186202644562E-4</v>
      </c>
      <c r="AE17" s="417">
        <f>'SC-Retro'!Y91</f>
        <v>0.28481457916449393</v>
      </c>
      <c r="AF17" s="418">
        <f t="shared" si="2"/>
        <v>10.854486514144428</v>
      </c>
      <c r="AG17" s="418">
        <f t="shared" si="3"/>
        <v>8.0243147016097467</v>
      </c>
      <c r="AH17" s="418">
        <f t="shared" si="4"/>
        <v>7.4750192476489419</v>
      </c>
      <c r="AI17" s="418">
        <f t="shared" si="5"/>
        <v>4.2912112045755162</v>
      </c>
      <c r="AJ17" s="418">
        <f t="shared" si="6"/>
        <v>3.4470824269953315</v>
      </c>
      <c r="AK17" s="418">
        <f t="shared" si="7"/>
        <v>2.6739276710289177</v>
      </c>
      <c r="AL17" s="418">
        <f t="shared" si="8"/>
        <v>2.7902226491627786</v>
      </c>
      <c r="AM17" s="418">
        <f t="shared" si="9"/>
        <v>4.0612611909309102</v>
      </c>
      <c r="AN17" s="418">
        <f t="shared" si="10"/>
        <v>5.1310847297519908</v>
      </c>
      <c r="AO17" s="418">
        <f t="shared" si="11"/>
        <v>8.3707854390754726</v>
      </c>
      <c r="AP17" s="418">
        <f t="shared" si="12"/>
        <v>9.6935945180533754</v>
      </c>
      <c r="AQ17" s="418">
        <f t="shared" si="13"/>
        <v>11.418858873537888</v>
      </c>
      <c r="AR17" s="418"/>
      <c r="AS17" s="418">
        <f t="shared" si="14"/>
        <v>17.989604674322447</v>
      </c>
      <c r="AT17" s="418">
        <f t="shared" si="15"/>
        <v>15.604474644771873</v>
      </c>
      <c r="AU17" s="418">
        <f t="shared" si="16"/>
        <v>15.730998847443296</v>
      </c>
      <c r="AV17" s="418">
        <f t="shared" si="17"/>
        <v>14.979843422286645</v>
      </c>
      <c r="AW17" s="418">
        <f t="shared" si="18"/>
        <v>13.79719831012309</v>
      </c>
      <c r="AX17" s="418">
        <f t="shared" si="19"/>
        <v>12.536036114369889</v>
      </c>
      <c r="AY17" s="418">
        <f t="shared" si="20"/>
        <v>13.689027992108496</v>
      </c>
      <c r="AZ17" s="418">
        <f t="shared" si="21"/>
        <v>14.781460731434649</v>
      </c>
      <c r="BA17" s="418">
        <f t="shared" si="22"/>
        <v>15.932890755017077</v>
      </c>
      <c r="BB17" s="418">
        <f t="shared" si="23"/>
        <v>16.443645877450333</v>
      </c>
      <c r="BC17" s="418">
        <f t="shared" si="24"/>
        <v>17.237533122010824</v>
      </c>
      <c r="BD17" s="418">
        <f t="shared" si="25"/>
        <v>18.063943215258089</v>
      </c>
    </row>
    <row r="18" spans="1:56" ht="15">
      <c r="A18" s="414" t="str">
        <f>VLOOKUP(CONCATENATE($C18," - ",$B18),[2]ACHIEV!$B$17:$C$50,2,FALSE)</f>
        <v>Retro20Fast</v>
      </c>
      <c r="B18" s="414" t="str">
        <f>'SC-Retro'!$C$7</f>
        <v>Retro</v>
      </c>
      <c r="C18" s="414" t="str">
        <f>'SC-Retro'!$C$8</f>
        <v>Lighting</v>
      </c>
      <c r="D18" s="414" t="s">
        <v>632</v>
      </c>
      <c r="E18" s="414" t="str">
        <f>'SC-Retro'!$A$9</f>
        <v>Lighting</v>
      </c>
      <c r="F18" s="415">
        <f t="shared" si="1"/>
        <v>6.1475998839183005E-2</v>
      </c>
      <c r="G18" s="416">
        <f>'SC-Retro'!A92</f>
        <v>263.37666569558996</v>
      </c>
      <c r="H18" s="416">
        <f>'SC-Retro'!B92</f>
        <v>-33.358198810091075</v>
      </c>
      <c r="I18" s="409" t="str">
        <f>'SC-Retro'!C92</f>
        <v>35-44W LED fixture &amp; NEW Photocell_Replacing_100W HID fixture</v>
      </c>
      <c r="J18" s="419" t="str">
        <f>'SC-Retro'!D92</f>
        <v>Oregon</v>
      </c>
      <c r="K18" s="417">
        <f>'SC-Retro'!E92</f>
        <v>1.8519087901545703E-2</v>
      </c>
      <c r="L18" s="417">
        <f>'SC-Retro'!F92</f>
        <v>1.4579140888475233E-2</v>
      </c>
      <c r="M18" s="417">
        <f>'SC-Retro'!G92</f>
        <v>1.1474518199434956E-2</v>
      </c>
      <c r="N18" s="417">
        <f>'SC-Retro'!H92</f>
        <v>9.0324503311671848E-3</v>
      </c>
      <c r="O18" s="417">
        <f>'SC-Retro'!I92</f>
        <v>7.1101598256704639E-3</v>
      </c>
      <c r="P18" s="417">
        <f>'SC-Retro'!J92</f>
        <v>5.5797964548863158E-3</v>
      </c>
      <c r="Q18" s="417">
        <f>'SC-Retro'!K92</f>
        <v>4.3788072404037041E-3</v>
      </c>
      <c r="R18" s="417">
        <f>'SC-Retro'!L92</f>
        <v>3.4372396059408586E-3</v>
      </c>
      <c r="S18" s="417">
        <f>'SC-Retro'!M92</f>
        <v>2.6987308736401293E-3</v>
      </c>
      <c r="T18" s="417">
        <f>'SC-Retro'!N92</f>
        <v>2.1192841923232271E-3</v>
      </c>
      <c r="U18" s="417">
        <f>'SC-Retro'!O92</f>
        <v>1.6644821672742317E-3</v>
      </c>
      <c r="V18" s="417">
        <f>'SC-Retro'!P92</f>
        <v>1.3074402704783979E-3</v>
      </c>
      <c r="W18" s="417">
        <f>'SC-Retro'!Q92</f>
        <v>1.0270805143564213E-3</v>
      </c>
      <c r="X18" s="417">
        <f>'SC-Retro'!R92</f>
        <v>8.0690461814641524E-4</v>
      </c>
      <c r="Y18" s="417">
        <f>'SC-Retro'!S92</f>
        <v>6.3396511108704246E-4</v>
      </c>
      <c r="Z18" s="417">
        <f>'SC-Retro'!T92</f>
        <v>4.9809492664545213E-4</v>
      </c>
      <c r="AA18" s="417">
        <f>'SC-Retro'!U92</f>
        <v>3.9136188588507868E-4</v>
      </c>
      <c r="AB18" s="417">
        <f>'SC-Retro'!V92</f>
        <v>3.0750496200602345E-4</v>
      </c>
      <c r="AC18" s="417">
        <f>'SC-Retro'!W92</f>
        <v>2.4161936743888037E-4</v>
      </c>
      <c r="AD18" s="417">
        <f>'SC-Retro'!X92</f>
        <v>1.8984838249894273E-4</v>
      </c>
      <c r="AE18" s="417">
        <f>'SC-Retro'!Y92</f>
        <v>0.27026406891257548</v>
      </c>
      <c r="AF18" s="418">
        <f t="shared" si="2"/>
        <v>10.787240859755801</v>
      </c>
      <c r="AG18" s="418">
        <f t="shared" si="3"/>
        <v>7.9746025118689534</v>
      </c>
      <c r="AH18" s="418">
        <f t="shared" si="4"/>
        <v>7.4287100500447325</v>
      </c>
      <c r="AI18" s="418">
        <f t="shared" si="5"/>
        <v>4.2646263168246801</v>
      </c>
      <c r="AJ18" s="418">
        <f t="shared" si="6"/>
        <v>3.4257270811452276</v>
      </c>
      <c r="AK18" s="418">
        <f t="shared" si="7"/>
        <v>2.6573621692161979</v>
      </c>
      <c r="AL18" s="418">
        <f t="shared" si="8"/>
        <v>2.7729366773493336</v>
      </c>
      <c r="AM18" s="418">
        <f t="shared" si="9"/>
        <v>4.0361008882236931</v>
      </c>
      <c r="AN18" s="418">
        <f t="shared" si="10"/>
        <v>5.0992966622164104</v>
      </c>
      <c r="AO18" s="418">
        <f t="shared" si="11"/>
        <v>8.3189267957519117</v>
      </c>
      <c r="AP18" s="418">
        <f t="shared" si="12"/>
        <v>9.6335408152923012</v>
      </c>
      <c r="AQ18" s="418">
        <f t="shared" si="13"/>
        <v>11.348116822652125</v>
      </c>
      <c r="AR18" s="418"/>
      <c r="AS18" s="418">
        <f t="shared" si="14"/>
        <v>17.878155575653324</v>
      </c>
      <c r="AT18" s="418">
        <f t="shared" si="15"/>
        <v>15.507801890375703</v>
      </c>
      <c r="AU18" s="418">
        <f t="shared" si="16"/>
        <v>15.633542251011525</v>
      </c>
      <c r="AV18" s="418">
        <f t="shared" si="17"/>
        <v>14.88704037976057</v>
      </c>
      <c r="AW18" s="418">
        <f t="shared" si="18"/>
        <v>13.711721984008088</v>
      </c>
      <c r="AX18" s="418">
        <f t="shared" si="19"/>
        <v>12.458372933264844</v>
      </c>
      <c r="AY18" s="418">
        <f t="shared" si="20"/>
        <v>13.604221802145107</v>
      </c>
      <c r="AZ18" s="418">
        <f t="shared" si="21"/>
        <v>14.689886708249871</v>
      </c>
      <c r="BA18" s="418">
        <f t="shared" si="22"/>
        <v>15.834183398964122</v>
      </c>
      <c r="BB18" s="418">
        <f t="shared" si="23"/>
        <v>16.341774294107989</v>
      </c>
      <c r="BC18" s="418">
        <f t="shared" si="24"/>
        <v>17.130743252833245</v>
      </c>
      <c r="BD18" s="418">
        <f t="shared" si="25"/>
        <v>17.952033574874257</v>
      </c>
    </row>
    <row r="19" spans="1:56" ht="15">
      <c r="A19" s="414" t="str">
        <f>VLOOKUP(CONCATENATE($C19," - ",$B19),[2]ACHIEV!$B$17:$C$50,2,FALSE)</f>
        <v>Retro20Fast</v>
      </c>
      <c r="B19" s="414" t="str">
        <f>'SC-Retro'!$C$7</f>
        <v>Retro</v>
      </c>
      <c r="C19" s="414" t="str">
        <f>'SC-Retro'!$C$8</f>
        <v>Lighting</v>
      </c>
      <c r="D19" s="414" t="s">
        <v>632</v>
      </c>
      <c r="E19" s="414" t="str">
        <f>'SC-Retro'!$A$9</f>
        <v>Lighting</v>
      </c>
      <c r="F19" s="415">
        <f t="shared" si="1"/>
        <v>6.1823360562789545E-2</v>
      </c>
      <c r="G19" s="416">
        <f>'SC-Retro'!A93</f>
        <v>264.86483952409634</v>
      </c>
      <c r="H19" s="416">
        <f>'SC-Retro'!B93</f>
        <v>-32.850302911189921</v>
      </c>
      <c r="I19" s="409" t="str">
        <f>'SC-Retro'!C93</f>
        <v>35-44W LED fixture &amp; NEW Photocell_Replacing_150W HID fixture</v>
      </c>
      <c r="J19" s="419" t="str">
        <f>'SC-Retro'!D93</f>
        <v>Oregon</v>
      </c>
      <c r="K19" s="417">
        <f>'SC-Retro'!E93</f>
        <v>1.8623727474949451E-2</v>
      </c>
      <c r="L19" s="417">
        <f>'SC-Retro'!F93</f>
        <v>1.4661518330132925E-2</v>
      </c>
      <c r="M19" s="417">
        <f>'SC-Retro'!G93</f>
        <v>1.1539353395195446E-2</v>
      </c>
      <c r="N19" s="417">
        <f>'SC-Retro'!H93</f>
        <v>9.0834869564301937E-3</v>
      </c>
      <c r="O19" s="417">
        <f>'SC-Retro'!I93</f>
        <v>7.1503348113363917E-3</v>
      </c>
      <c r="P19" s="417">
        <f>'SC-Retro'!J93</f>
        <v>5.6113243316274998E-3</v>
      </c>
      <c r="Q19" s="417">
        <f>'SC-Retro'!K93</f>
        <v>4.4035490918430979E-3</v>
      </c>
      <c r="R19" s="417">
        <f>'SC-Retro'!L93</f>
        <v>3.4566612582362785E-3</v>
      </c>
      <c r="S19" s="417">
        <f>'SC-Retro'!M93</f>
        <v>2.7139796833466632E-3</v>
      </c>
      <c r="T19" s="417">
        <f>'SC-Retro'!N93</f>
        <v>2.1312589178056583E-3</v>
      </c>
      <c r="U19" s="417">
        <f>'SC-Retro'!O93</f>
        <v>1.6738870961156348E-3</v>
      </c>
      <c r="V19" s="417">
        <f>'SC-Retro'!P93</f>
        <v>1.3148277829131937E-3</v>
      </c>
      <c r="W19" s="417">
        <f>'SC-Retro'!Q93</f>
        <v>1.0328838923329678E-3</v>
      </c>
      <c r="X19" s="417">
        <f>'SC-Retro'!R93</f>
        <v>8.1146392233403196E-4</v>
      </c>
      <c r="Y19" s="417">
        <f>'SC-Retro'!S93</f>
        <v>6.375472442422868E-4</v>
      </c>
      <c r="Z19" s="417">
        <f>'SC-Retro'!T93</f>
        <v>5.0090934390594822E-4</v>
      </c>
      <c r="AA19" s="417">
        <f>'SC-Retro'!U93</f>
        <v>3.9357322269622288E-4</v>
      </c>
      <c r="AB19" s="417">
        <f>'SC-Retro'!V93</f>
        <v>3.0924247673757579E-4</v>
      </c>
      <c r="AC19" s="417">
        <f>'SC-Retro'!W93</f>
        <v>2.4298460462924865E-4</v>
      </c>
      <c r="AD19" s="417">
        <f>'SC-Retro'!X93</f>
        <v>1.9092109481942497E-4</v>
      </c>
      <c r="AE19" s="417">
        <f>'SC-Retro'!Y93</f>
        <v>0.27179115907099594</v>
      </c>
      <c r="AF19" s="418">
        <f t="shared" si="2"/>
        <v>10.848192688904698</v>
      </c>
      <c r="AG19" s="418">
        <f t="shared" si="3"/>
        <v>8.0196619127067699</v>
      </c>
      <c r="AH19" s="418">
        <f t="shared" si="4"/>
        <v>7.4706849601866079</v>
      </c>
      <c r="AI19" s="418">
        <f t="shared" si="5"/>
        <v>4.288723004571473</v>
      </c>
      <c r="AJ19" s="418">
        <f t="shared" si="6"/>
        <v>3.4450836834938139</v>
      </c>
      <c r="AK19" s="418">
        <f t="shared" si="7"/>
        <v>2.6723772307162226</v>
      </c>
      <c r="AL19" s="418">
        <f t="shared" si="8"/>
        <v>2.7886047768008861</v>
      </c>
      <c r="AM19" s="418">
        <f t="shared" si="9"/>
        <v>4.0589063242907137</v>
      </c>
      <c r="AN19" s="418">
        <f t="shared" si="10"/>
        <v>5.1281095405952097</v>
      </c>
      <c r="AO19" s="418">
        <f t="shared" si="11"/>
        <v>8.365931753863908</v>
      </c>
      <c r="AP19" s="418">
        <f t="shared" si="12"/>
        <v>9.6879738201270449</v>
      </c>
      <c r="AQ19" s="418">
        <f t="shared" si="13"/>
        <v>11.412237804720533</v>
      </c>
      <c r="AR19" s="418"/>
      <c r="AS19" s="418">
        <f t="shared" si="14"/>
        <v>17.979173648607457</v>
      </c>
      <c r="AT19" s="418">
        <f t="shared" si="15"/>
        <v>15.595426604015268</v>
      </c>
      <c r="AU19" s="418">
        <f t="shared" si="16"/>
        <v>15.721877443361841</v>
      </c>
      <c r="AV19" s="418">
        <f t="shared" si="17"/>
        <v>14.971157565383553</v>
      </c>
      <c r="AW19" s="418">
        <f t="shared" si="18"/>
        <v>13.789198193779615</v>
      </c>
      <c r="AX19" s="418">
        <f t="shared" si="19"/>
        <v>12.528767265640841</v>
      </c>
      <c r="AY19" s="418">
        <f t="shared" si="20"/>
        <v>13.681090596841402</v>
      </c>
      <c r="AZ19" s="418">
        <f t="shared" si="21"/>
        <v>14.772889904015925</v>
      </c>
      <c r="BA19" s="418">
        <f t="shared" si="22"/>
        <v>15.923652286680031</v>
      </c>
      <c r="BB19" s="418">
        <f t="shared" si="23"/>
        <v>16.434111254755667</v>
      </c>
      <c r="BC19" s="418">
        <f t="shared" si="24"/>
        <v>17.227538174677971</v>
      </c>
      <c r="BD19" s="418">
        <f t="shared" si="25"/>
        <v>18.05346908535898</v>
      </c>
    </row>
    <row r="20" spans="1:56" ht="15">
      <c r="A20" s="414" t="str">
        <f>VLOOKUP(CONCATENATE($C20," - ",$B20),[2]ACHIEV!$B$17:$C$50,2,FALSE)</f>
        <v>Retro20Fast</v>
      </c>
      <c r="B20" s="414" t="str">
        <f>'SC-Retro'!$C$7</f>
        <v>Retro</v>
      </c>
      <c r="C20" s="414" t="str">
        <f>'SC-Retro'!$C$8</f>
        <v>Lighting</v>
      </c>
      <c r="D20" s="414" t="s">
        <v>632</v>
      </c>
      <c r="E20" s="414" t="str">
        <f>'SC-Retro'!$A$9</f>
        <v>Lighting</v>
      </c>
      <c r="F20" s="415">
        <f t="shared" si="1"/>
        <v>6.2219579338429934E-2</v>
      </c>
      <c r="G20" s="416">
        <f>'SC-Retro'!A94</f>
        <v>266.56232768182667</v>
      </c>
      <c r="H20" s="416">
        <f>'SC-Retro'!B94</f>
        <v>-32.508813064490326</v>
      </c>
      <c r="I20" s="409" t="str">
        <f>'SC-Retro'!C94</f>
        <v>35-44W LED fixture &amp; NEW Photocell_Replacing_175W MH fixture</v>
      </c>
      <c r="J20" s="419" t="str">
        <f>'SC-Retro'!D94</f>
        <v>Oregon</v>
      </c>
      <c r="K20" s="417">
        <f>'SC-Retro'!E94</f>
        <v>4.9535295523858623E-2</v>
      </c>
      <c r="L20" s="417">
        <f>'SC-Retro'!F94</f>
        <v>3.8989451647614873E-2</v>
      </c>
      <c r="M20" s="417">
        <f>'SC-Retro'!G94</f>
        <v>3.069694332042788E-2</v>
      </c>
      <c r="N20" s="417">
        <f>'SC-Retro'!H94</f>
        <v>2.4173932416700704E-2</v>
      </c>
      <c r="O20" s="417">
        <f>'SC-Retro'!I94</f>
        <v>1.9167711445326644E-2</v>
      </c>
      <c r="P20" s="417">
        <f>'SC-Retro'!J94</f>
        <v>1.511293359793859E-2</v>
      </c>
      <c r="Q20" s="417">
        <f>'SC-Retro'!K94</f>
        <v>1.1910496283941098E-2</v>
      </c>
      <c r="R20" s="417">
        <f>'SC-Retro'!L94</f>
        <v>9.3898887813314534E-3</v>
      </c>
      <c r="S20" s="417">
        <f>'SC-Retro'!M94</f>
        <v>7.399453192510677E-3</v>
      </c>
      <c r="T20" s="417">
        <f>'SC-Retro'!N94</f>
        <v>5.8761223104075591E-3</v>
      </c>
      <c r="U20" s="417">
        <f>'SC-Retro'!O94</f>
        <v>4.6293785339380882E-3</v>
      </c>
      <c r="V20" s="417">
        <f>'SC-Retro'!P94</f>
        <v>3.6455556587315693E-3</v>
      </c>
      <c r="W20" s="417">
        <f>'SC-Retro'!Q94</f>
        <v>2.8716018196751143E-3</v>
      </c>
      <c r="X20" s="417">
        <f>'SC-Retro'!R94</f>
        <v>2.2609744745186715E-3</v>
      </c>
      <c r="Y20" s="417">
        <f>'SC-Retro'!S94</f>
        <v>1.7924211104486931E-3</v>
      </c>
      <c r="Z20" s="417">
        <f>'SC-Retro'!T94</f>
        <v>1.4123222002515338E-3</v>
      </c>
      <c r="AA20" s="417">
        <f>'SC-Retro'!U94</f>
        <v>1.1130969537549327E-3</v>
      </c>
      <c r="AB20" s="417">
        <f>'SC-Retro'!V94</f>
        <v>8.7716426007619142E-4</v>
      </c>
      <c r="AC20" s="417">
        <f>'SC-Retro'!W94</f>
        <v>6.9093628467758149E-4</v>
      </c>
      <c r="AD20" s="417">
        <f>'SC-Retro'!X94</f>
        <v>5.4823856460433425E-4</v>
      </c>
      <c r="AE20" s="417">
        <f>'SC-Retro'!Y94</f>
        <v>0.27353303721053224</v>
      </c>
      <c r="AF20" s="418">
        <f t="shared" si="2"/>
        <v>10.917717502599407</v>
      </c>
      <c r="AG20" s="418">
        <f t="shared" si="3"/>
        <v>8.071058999425718</v>
      </c>
      <c r="AH20" s="418">
        <f t="shared" si="4"/>
        <v>7.5185637170379751</v>
      </c>
      <c r="AI20" s="418">
        <f t="shared" si="5"/>
        <v>4.3162089348486896</v>
      </c>
      <c r="AJ20" s="418">
        <f t="shared" si="6"/>
        <v>3.4671628268245334</v>
      </c>
      <c r="AK20" s="418">
        <f t="shared" si="7"/>
        <v>2.6895041876587884</v>
      </c>
      <c r="AL20" s="418">
        <f t="shared" si="8"/>
        <v>2.8064766226590034</v>
      </c>
      <c r="AM20" s="418">
        <f t="shared" si="9"/>
        <v>4.0849193860138167</v>
      </c>
      <c r="AN20" s="418">
        <f t="shared" si="10"/>
        <v>5.1609750022108205</v>
      </c>
      <c r="AO20" s="418">
        <f t="shared" si="11"/>
        <v>8.4195480439916572</v>
      </c>
      <c r="AP20" s="418">
        <f t="shared" si="12"/>
        <v>9.7500629251272208</v>
      </c>
      <c r="AQ20" s="418">
        <f t="shared" si="13"/>
        <v>11.485377518400622</v>
      </c>
      <c r="AR20" s="418"/>
      <c r="AS20" s="418">
        <f t="shared" si="14"/>
        <v>18.094400095459083</v>
      </c>
      <c r="AT20" s="418">
        <f t="shared" si="15"/>
        <v>15.6953758914429</v>
      </c>
      <c r="AU20" s="418">
        <f t="shared" si="16"/>
        <v>15.822637139610483</v>
      </c>
      <c r="AV20" s="418">
        <f t="shared" si="17"/>
        <v>15.067105984661911</v>
      </c>
      <c r="AW20" s="418">
        <f t="shared" si="18"/>
        <v>13.877571571992419</v>
      </c>
      <c r="AX20" s="418">
        <f t="shared" si="19"/>
        <v>12.609062687647768</v>
      </c>
      <c r="AY20" s="418">
        <f t="shared" si="20"/>
        <v>13.768771125954668</v>
      </c>
      <c r="AZ20" s="418">
        <f t="shared" si="21"/>
        <v>14.86756764875765</v>
      </c>
      <c r="BA20" s="418">
        <f t="shared" si="22"/>
        <v>16.025705134589259</v>
      </c>
      <c r="BB20" s="418">
        <f t="shared" si="23"/>
        <v>16.539435575219997</v>
      </c>
      <c r="BC20" s="418">
        <f t="shared" si="24"/>
        <v>17.337947476610633</v>
      </c>
      <c r="BD20" s="418">
        <f t="shared" si="25"/>
        <v>18.169171683081689</v>
      </c>
    </row>
    <row r="21" spans="1:56" ht="15">
      <c r="A21" s="414" t="str">
        <f>VLOOKUP(CONCATENATE($C21," - ",$B21),[2]ACHIEV!$B$17:$C$50,2,FALSE)</f>
        <v>Retro20Fast</v>
      </c>
      <c r="B21" s="414" t="str">
        <f>'SC-Retro'!$C$7</f>
        <v>Retro</v>
      </c>
      <c r="C21" s="414" t="str">
        <f>'SC-Retro'!$C$8</f>
        <v>Lighting</v>
      </c>
      <c r="D21" s="414" t="s">
        <v>632</v>
      </c>
      <c r="E21" s="414" t="str">
        <f>'SC-Retro'!$A$9</f>
        <v>Lighting</v>
      </c>
      <c r="F21" s="415">
        <f t="shared" si="1"/>
        <v>6.1475998839183005E-2</v>
      </c>
      <c r="G21" s="416">
        <f>'SC-Retro'!A95</f>
        <v>263.37666569558996</v>
      </c>
      <c r="H21" s="416">
        <f>'SC-Retro'!B95</f>
        <v>-33.358198810091075</v>
      </c>
      <c r="I21" s="409" t="str">
        <f>'SC-Retro'!C95</f>
        <v>35-44W LED fixture &amp; NEW Photocell_Replacing_175W MV fixture</v>
      </c>
      <c r="J21" s="419" t="str">
        <f>'SC-Retro'!D95</f>
        <v>Oregon</v>
      </c>
      <c r="K21" s="417">
        <f>'SC-Retro'!E95</f>
        <v>4.8943303739799347E-2</v>
      </c>
      <c r="L21" s="417">
        <f>'SC-Retro'!F95</f>
        <v>3.8523492278719068E-2</v>
      </c>
      <c r="M21" s="417">
        <f>'SC-Retro'!G95</f>
        <v>3.0330086959741112E-2</v>
      </c>
      <c r="N21" s="417">
        <f>'SC-Retro'!H95</f>
        <v>2.3885031962433741E-2</v>
      </c>
      <c r="O21" s="417">
        <f>'SC-Retro'!I95</f>
        <v>1.8938639879792392E-2</v>
      </c>
      <c r="P21" s="417">
        <f>'SC-Retro'!J95</f>
        <v>1.4932320311424453E-2</v>
      </c>
      <c r="Q21" s="417">
        <f>'SC-Retro'!K95</f>
        <v>1.1768155032726284E-2</v>
      </c>
      <c r="R21" s="417">
        <f>'SC-Retro'!L95</f>
        <v>9.2776710797311639E-3</v>
      </c>
      <c r="S21" s="417">
        <f>'SC-Retro'!M95</f>
        <v>7.3110230044968055E-3</v>
      </c>
      <c r="T21" s="417">
        <f>'SC-Retro'!N95</f>
        <v>5.8058973103727214E-3</v>
      </c>
      <c r="U21" s="417">
        <f>'SC-Retro'!O95</f>
        <v>4.5740532546920658E-3</v>
      </c>
      <c r="V21" s="417">
        <f>'SC-Retro'!P95</f>
        <v>3.6019879566420478E-3</v>
      </c>
      <c r="W21" s="417">
        <f>'SC-Retro'!Q95</f>
        <v>2.8372835690952118E-3</v>
      </c>
      <c r="X21" s="417">
        <f>'SC-Retro'!R95</f>
        <v>2.2339537754650415E-3</v>
      </c>
      <c r="Y21" s="417">
        <f>'SC-Retro'!S95</f>
        <v>1.7710000497739072E-3</v>
      </c>
      <c r="Z21" s="417">
        <f>'SC-Retro'!T95</f>
        <v>1.3954436668714165E-3</v>
      </c>
      <c r="AA21" s="417">
        <f>'SC-Retro'!U95</f>
        <v>1.0997944339149743E-3</v>
      </c>
      <c r="AB21" s="417">
        <f>'SC-Retro'!V95</f>
        <v>8.666813502692755E-4</v>
      </c>
      <c r="AC21" s="417">
        <f>'SC-Retro'!W95</f>
        <v>6.8267896836379143E-4</v>
      </c>
      <c r="AD21" s="417">
        <f>'SC-Retro'!X95</f>
        <v>5.4168661568552968E-4</v>
      </c>
      <c r="AE21" s="417">
        <f>'SC-Retro'!Y95</f>
        <v>0.27026406891257548</v>
      </c>
      <c r="AF21" s="418">
        <f t="shared" si="2"/>
        <v>10.787240859755801</v>
      </c>
      <c r="AG21" s="418">
        <f t="shared" si="3"/>
        <v>7.9746025118689534</v>
      </c>
      <c r="AH21" s="418">
        <f t="shared" si="4"/>
        <v>7.4287100500447325</v>
      </c>
      <c r="AI21" s="418">
        <f t="shared" si="5"/>
        <v>4.2646263168246801</v>
      </c>
      <c r="AJ21" s="418">
        <f t="shared" si="6"/>
        <v>3.4257270811452276</v>
      </c>
      <c r="AK21" s="418">
        <f t="shared" si="7"/>
        <v>2.6573621692161979</v>
      </c>
      <c r="AL21" s="418">
        <f t="shared" si="8"/>
        <v>2.7729366773493336</v>
      </c>
      <c r="AM21" s="418">
        <f t="shared" si="9"/>
        <v>4.0361008882236931</v>
      </c>
      <c r="AN21" s="418">
        <f t="shared" si="10"/>
        <v>5.0992966622164104</v>
      </c>
      <c r="AO21" s="418">
        <f t="shared" si="11"/>
        <v>8.3189267957519117</v>
      </c>
      <c r="AP21" s="418">
        <f t="shared" si="12"/>
        <v>9.6335408152923012</v>
      </c>
      <c r="AQ21" s="418">
        <f t="shared" si="13"/>
        <v>11.348116822652125</v>
      </c>
      <c r="AR21" s="418"/>
      <c r="AS21" s="418">
        <f t="shared" si="14"/>
        <v>17.878155575653324</v>
      </c>
      <c r="AT21" s="418">
        <f t="shared" si="15"/>
        <v>15.507801890375703</v>
      </c>
      <c r="AU21" s="418">
        <f t="shared" si="16"/>
        <v>15.633542251011525</v>
      </c>
      <c r="AV21" s="418">
        <f t="shared" si="17"/>
        <v>14.88704037976057</v>
      </c>
      <c r="AW21" s="418">
        <f t="shared" si="18"/>
        <v>13.711721984008088</v>
      </c>
      <c r="AX21" s="418">
        <f t="shared" si="19"/>
        <v>12.458372933264844</v>
      </c>
      <c r="AY21" s="418">
        <f t="shared" si="20"/>
        <v>13.604221802145107</v>
      </c>
      <c r="AZ21" s="418">
        <f t="shared" si="21"/>
        <v>14.689886708249871</v>
      </c>
      <c r="BA21" s="418">
        <f t="shared" si="22"/>
        <v>15.834183398964122</v>
      </c>
      <c r="BB21" s="418">
        <f t="shared" si="23"/>
        <v>16.341774294107989</v>
      </c>
      <c r="BC21" s="418">
        <f t="shared" si="24"/>
        <v>17.130743252833245</v>
      </c>
      <c r="BD21" s="418">
        <f t="shared" si="25"/>
        <v>17.952033574874257</v>
      </c>
    </row>
    <row r="22" spans="1:56" ht="15">
      <c r="A22" s="414" t="str">
        <f>VLOOKUP(CONCATENATE($C22," - ",$B22),[2]ACHIEV!$B$17:$C$50,2,FALSE)</f>
        <v>Retro20Fast</v>
      </c>
      <c r="B22" s="414" t="str">
        <f>'SC-Retro'!$C$7</f>
        <v>Retro</v>
      </c>
      <c r="C22" s="414" t="str">
        <f>'SC-Retro'!$C$8</f>
        <v>Lighting</v>
      </c>
      <c r="D22" s="414" t="s">
        <v>632</v>
      </c>
      <c r="E22" s="414" t="str">
        <f>'SC-Retro'!$A$9</f>
        <v>Lighting</v>
      </c>
      <c r="F22" s="415">
        <f t="shared" si="1"/>
        <v>6.1859228788794879E-2</v>
      </c>
      <c r="G22" s="416">
        <f>'SC-Retro'!A96</f>
        <v>265.0185068731119</v>
      </c>
      <c r="H22" s="416">
        <f>'SC-Retro'!B96</f>
        <v>-32.644780358969037</v>
      </c>
      <c r="I22" s="409" t="str">
        <f>'SC-Retro'!C96</f>
        <v>35-44W LED fixture &amp; NEW Photocell_Replacing_200W HID fixture</v>
      </c>
      <c r="J22" s="419" t="str">
        <f>'SC-Retro'!D96</f>
        <v>Oregon</v>
      </c>
      <c r="K22" s="417">
        <f>'SC-Retro'!E96</f>
        <v>4.6586331132994999E-2</v>
      </c>
      <c r="L22" s="417">
        <f>'SC-Retro'!F96</f>
        <v>3.6648307413999832E-2</v>
      </c>
      <c r="M22" s="417">
        <f>'SC-Retro'!G96</f>
        <v>2.8828837987459152E-2</v>
      </c>
      <c r="N22" s="417">
        <f>'SC-Retro'!H96</f>
        <v>2.2702863719983955E-2</v>
      </c>
      <c r="O22" s="417">
        <f>'SC-Retro'!I96</f>
        <v>1.8031146859777528E-2</v>
      </c>
      <c r="P22" s="417">
        <f>'SC-Retro'!J96</f>
        <v>1.4212290307503601E-2</v>
      </c>
      <c r="Q22" s="417">
        <f>'SC-Retro'!K96</f>
        <v>1.120219456125275E-2</v>
      </c>
      <c r="R22" s="417">
        <f>'SC-Retro'!L96</f>
        <v>8.8361493909385018E-3</v>
      </c>
      <c r="S22" s="417">
        <f>'SC-Retro'!M96</f>
        <v>6.9646241346085526E-3</v>
      </c>
      <c r="T22" s="417">
        <f>'SC-Retro'!N96</f>
        <v>5.5399116190047171E-3</v>
      </c>
      <c r="U22" s="417">
        <f>'SC-Retro'!O96</f>
        <v>4.3656757934789547E-3</v>
      </c>
      <c r="V22" s="417">
        <f>'SC-Retro'!P96</f>
        <v>3.4401517696883411E-3</v>
      </c>
      <c r="W22" s="417">
        <f>'SC-Retro'!Q96</f>
        <v>2.708826006627761E-3</v>
      </c>
      <c r="X22" s="417">
        <f>'SC-Retro'!R96</f>
        <v>2.134295772691482E-3</v>
      </c>
      <c r="Y22" s="417">
        <f>'SC-Retro'!S96</f>
        <v>1.694808737459322E-3</v>
      </c>
      <c r="Z22" s="417">
        <f>'SC-Retro'!T96</f>
        <v>1.3358288728244961E-3</v>
      </c>
      <c r="AA22" s="417">
        <f>'SC-Retro'!U96</f>
        <v>1.0534692772112427E-3</v>
      </c>
      <c r="AB22" s="417">
        <f>'SC-Retro'!V96</f>
        <v>8.3069534477483455E-4</v>
      </c>
      <c r="AC22" s="417">
        <f>'SC-Retro'!W96</f>
        <v>6.5455001257686072E-4</v>
      </c>
      <c r="AD22" s="417">
        <f>'SC-Retro'!X96</f>
        <v>5.204416134814377E-4</v>
      </c>
      <c r="AE22" s="417">
        <f>'SC-Retro'!Y96</f>
        <v>0.27194884488152238</v>
      </c>
      <c r="AF22" s="418">
        <f t="shared" si="2"/>
        <v>10.854486514144428</v>
      </c>
      <c r="AG22" s="418">
        <f t="shared" si="3"/>
        <v>8.0243147016097467</v>
      </c>
      <c r="AH22" s="418">
        <f t="shared" si="4"/>
        <v>7.4750192476489419</v>
      </c>
      <c r="AI22" s="418">
        <f t="shared" si="5"/>
        <v>4.2912112045755162</v>
      </c>
      <c r="AJ22" s="418">
        <f t="shared" si="6"/>
        <v>3.4470824269953315</v>
      </c>
      <c r="AK22" s="418">
        <f t="shared" si="7"/>
        <v>2.6739276710289177</v>
      </c>
      <c r="AL22" s="418">
        <f t="shared" si="8"/>
        <v>2.7902226491627786</v>
      </c>
      <c r="AM22" s="418">
        <f t="shared" si="9"/>
        <v>4.0612611909309102</v>
      </c>
      <c r="AN22" s="418">
        <f t="shared" si="10"/>
        <v>5.1310847297519908</v>
      </c>
      <c r="AO22" s="418">
        <f t="shared" si="11"/>
        <v>8.3707854390754726</v>
      </c>
      <c r="AP22" s="418">
        <f t="shared" si="12"/>
        <v>9.6935945180533754</v>
      </c>
      <c r="AQ22" s="418">
        <f t="shared" si="13"/>
        <v>11.418858873537888</v>
      </c>
      <c r="AR22" s="418"/>
      <c r="AS22" s="418">
        <f t="shared" si="14"/>
        <v>17.989604674322447</v>
      </c>
      <c r="AT22" s="418">
        <f t="shared" si="15"/>
        <v>15.604474644771873</v>
      </c>
      <c r="AU22" s="418">
        <f t="shared" si="16"/>
        <v>15.730998847443296</v>
      </c>
      <c r="AV22" s="418">
        <f t="shared" si="17"/>
        <v>14.979843422286645</v>
      </c>
      <c r="AW22" s="418">
        <f t="shared" si="18"/>
        <v>13.79719831012309</v>
      </c>
      <c r="AX22" s="418">
        <f t="shared" si="19"/>
        <v>12.536036114369889</v>
      </c>
      <c r="AY22" s="418">
        <f t="shared" si="20"/>
        <v>13.689027992108496</v>
      </c>
      <c r="AZ22" s="418">
        <f t="shared" si="21"/>
        <v>14.781460731434649</v>
      </c>
      <c r="BA22" s="418">
        <f t="shared" si="22"/>
        <v>15.932890755017077</v>
      </c>
      <c r="BB22" s="418">
        <f t="shared" si="23"/>
        <v>16.443645877450333</v>
      </c>
      <c r="BC22" s="418">
        <f t="shared" si="24"/>
        <v>17.237533122010824</v>
      </c>
      <c r="BD22" s="418">
        <f t="shared" si="25"/>
        <v>18.063943215258089</v>
      </c>
    </row>
    <row r="23" spans="1:56" ht="15">
      <c r="A23" s="414"/>
      <c r="B23" s="414"/>
      <c r="C23" s="414"/>
      <c r="D23" s="414"/>
      <c r="E23" s="414"/>
      <c r="F23" s="415"/>
      <c r="G23" s="416"/>
      <c r="H23" s="416"/>
      <c r="K23" s="417"/>
      <c r="L23" s="417"/>
      <c r="M23" s="417"/>
      <c r="N23" s="417"/>
      <c r="O23" s="417"/>
      <c r="P23" s="417"/>
      <c r="Q23" s="417"/>
      <c r="R23" s="417"/>
      <c r="S23" s="417"/>
      <c r="T23" s="417"/>
      <c r="U23" s="417"/>
      <c r="V23" s="417"/>
      <c r="W23" s="417"/>
      <c r="X23" s="417"/>
      <c r="Y23" s="417"/>
      <c r="Z23" s="417"/>
      <c r="AA23" s="417"/>
      <c r="AB23" s="417"/>
      <c r="AC23" s="417"/>
      <c r="AD23" s="417"/>
      <c r="AE23" s="417"/>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8"/>
      <c r="BC23" s="418"/>
      <c r="BD23" s="418"/>
    </row>
    <row r="24" spans="1:56" ht="15">
      <c r="A24" s="414"/>
      <c r="B24" s="414"/>
      <c r="C24" s="414"/>
      <c r="D24" s="414"/>
      <c r="E24" s="414"/>
      <c r="F24" s="415"/>
      <c r="G24" s="416"/>
      <c r="H24" s="416"/>
      <c r="K24" s="417"/>
      <c r="L24" s="417"/>
      <c r="M24" s="417"/>
      <c r="N24" s="417"/>
      <c r="O24" s="417"/>
      <c r="P24" s="417"/>
      <c r="Q24" s="417"/>
      <c r="R24" s="417"/>
      <c r="S24" s="417"/>
      <c r="T24" s="417"/>
      <c r="U24" s="417"/>
      <c r="V24" s="417"/>
      <c r="W24" s="417"/>
      <c r="X24" s="417"/>
      <c r="Y24" s="417"/>
      <c r="Z24" s="417"/>
      <c r="AA24" s="417"/>
      <c r="AB24" s="417"/>
      <c r="AC24" s="417"/>
      <c r="AD24" s="417"/>
      <c r="AE24" s="417"/>
      <c r="AF24" s="418"/>
      <c r="AG24" s="418"/>
      <c r="AH24" s="418"/>
      <c r="AI24" s="418"/>
      <c r="AJ24" s="418"/>
      <c r="AK24" s="418"/>
      <c r="AL24" s="418"/>
      <c r="AM24" s="418"/>
      <c r="AN24" s="418"/>
      <c r="AO24" s="418"/>
      <c r="AP24" s="418"/>
      <c r="AQ24" s="418"/>
      <c r="AR24" s="418"/>
      <c r="AS24" s="418"/>
      <c r="AT24" s="418"/>
      <c r="AU24" s="418"/>
      <c r="AV24" s="418"/>
      <c r="AW24" s="418"/>
      <c r="AX24" s="418"/>
      <c r="AY24" s="418"/>
      <c r="AZ24" s="418"/>
      <c r="BA24" s="418"/>
      <c r="BB24" s="418"/>
      <c r="BC24" s="418"/>
      <c r="BD24" s="418"/>
    </row>
    <row r="25" spans="1:56" ht="15">
      <c r="A25" s="414"/>
      <c r="B25" s="414"/>
      <c r="C25" s="414"/>
      <c r="D25" s="414"/>
      <c r="E25" s="414"/>
      <c r="F25" s="415"/>
      <c r="G25" s="416"/>
      <c r="H25" s="416"/>
      <c r="K25" s="417"/>
      <c r="L25" s="417"/>
      <c r="M25" s="417"/>
      <c r="N25" s="417"/>
      <c r="O25" s="417"/>
      <c r="P25" s="417"/>
      <c r="Q25" s="417"/>
      <c r="R25" s="417"/>
      <c r="S25" s="417"/>
      <c r="T25" s="417"/>
      <c r="U25" s="417"/>
      <c r="V25" s="417"/>
      <c r="W25" s="417"/>
      <c r="X25" s="417"/>
      <c r="Y25" s="417"/>
      <c r="Z25" s="417"/>
      <c r="AA25" s="417"/>
      <c r="AB25" s="417"/>
      <c r="AC25" s="417"/>
      <c r="AD25" s="417"/>
      <c r="AE25" s="417"/>
      <c r="AF25" s="418"/>
      <c r="AG25" s="418"/>
      <c r="AH25" s="418"/>
      <c r="AI25" s="418"/>
      <c r="AJ25" s="418"/>
      <c r="AK25" s="418"/>
      <c r="AL25" s="418"/>
      <c r="AM25" s="418"/>
      <c r="AN25" s="418"/>
      <c r="AO25" s="418"/>
      <c r="AP25" s="418"/>
      <c r="AQ25" s="418"/>
      <c r="AR25" s="418"/>
      <c r="AS25" s="418"/>
      <c r="AT25" s="418"/>
      <c r="AU25" s="418"/>
      <c r="AV25" s="418"/>
      <c r="AW25" s="418"/>
      <c r="AX25" s="418"/>
      <c r="AY25" s="418"/>
      <c r="AZ25" s="418"/>
      <c r="BA25" s="418"/>
      <c r="BB25" s="418"/>
      <c r="BC25" s="418"/>
      <c r="BD25" s="418"/>
    </row>
    <row r="26" spans="1:56" ht="15">
      <c r="A26" s="414"/>
      <c r="B26" s="414"/>
      <c r="C26" s="414"/>
      <c r="D26" s="414"/>
      <c r="E26" s="414"/>
      <c r="F26" s="415"/>
      <c r="G26" s="416"/>
      <c r="H26" s="416"/>
      <c r="K26" s="417"/>
      <c r="L26" s="417"/>
      <c r="M26" s="417"/>
      <c r="N26" s="417"/>
      <c r="O26" s="417"/>
      <c r="P26" s="417"/>
      <c r="Q26" s="417"/>
      <c r="R26" s="417"/>
      <c r="S26" s="417"/>
      <c r="T26" s="417"/>
      <c r="U26" s="417"/>
      <c r="V26" s="417"/>
      <c r="W26" s="417"/>
      <c r="X26" s="417"/>
      <c r="Y26" s="417"/>
      <c r="Z26" s="417"/>
      <c r="AA26" s="417"/>
      <c r="AB26" s="417"/>
      <c r="AC26" s="417"/>
      <c r="AD26" s="417"/>
      <c r="AE26" s="417"/>
      <c r="AF26" s="418"/>
      <c r="AG26" s="418"/>
      <c r="AH26" s="418"/>
      <c r="AI26" s="418"/>
      <c r="AJ26" s="418"/>
      <c r="AK26" s="418"/>
      <c r="AL26" s="418"/>
      <c r="AM26" s="418"/>
      <c r="AN26" s="418"/>
      <c r="AO26" s="418"/>
      <c r="AP26" s="418"/>
      <c r="AQ26" s="418"/>
      <c r="AR26" s="418"/>
      <c r="AS26" s="418"/>
      <c r="AT26" s="418"/>
      <c r="AU26" s="418"/>
      <c r="AV26" s="418"/>
      <c r="AW26" s="418"/>
      <c r="AX26" s="418"/>
      <c r="AY26" s="418"/>
      <c r="AZ26" s="418"/>
      <c r="BA26" s="418"/>
      <c r="BB26" s="418"/>
      <c r="BC26" s="418"/>
      <c r="BD26" s="418"/>
    </row>
    <row r="27" spans="1:56" ht="15">
      <c r="A27" s="414"/>
      <c r="B27" s="414"/>
      <c r="C27" s="414"/>
      <c r="D27" s="414"/>
      <c r="E27" s="414"/>
      <c r="F27" s="415"/>
      <c r="G27" s="416"/>
      <c r="H27" s="416"/>
      <c r="K27" s="417"/>
      <c r="L27" s="417"/>
      <c r="M27" s="417"/>
      <c r="N27" s="417"/>
      <c r="O27" s="417"/>
      <c r="P27" s="417"/>
      <c r="Q27" s="417"/>
      <c r="R27" s="417"/>
      <c r="S27" s="417"/>
      <c r="T27" s="417"/>
      <c r="U27" s="417"/>
      <c r="V27" s="417"/>
      <c r="W27" s="417"/>
      <c r="X27" s="417"/>
      <c r="Y27" s="417"/>
      <c r="Z27" s="417"/>
      <c r="AA27" s="417"/>
      <c r="AB27" s="417"/>
      <c r="AC27" s="417"/>
      <c r="AD27" s="417"/>
      <c r="AE27" s="417"/>
      <c r="AF27" s="418"/>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418"/>
      <c r="BC27" s="418"/>
      <c r="BD27" s="418"/>
    </row>
    <row r="28" spans="1:56" ht="15">
      <c r="A28" s="414"/>
      <c r="B28" s="414"/>
      <c r="C28" s="414"/>
      <c r="D28" s="414"/>
      <c r="E28" s="414"/>
      <c r="F28" s="415"/>
      <c r="G28" s="416"/>
      <c r="H28" s="416"/>
      <c r="K28" s="417"/>
      <c r="L28" s="417"/>
      <c r="M28" s="417"/>
      <c r="N28" s="417"/>
      <c r="O28" s="417"/>
      <c r="P28" s="417"/>
      <c r="Q28" s="417"/>
      <c r="R28" s="417"/>
      <c r="S28" s="417"/>
      <c r="T28" s="417"/>
      <c r="U28" s="417"/>
      <c r="V28" s="417"/>
      <c r="W28" s="417"/>
      <c r="X28" s="417"/>
      <c r="Y28" s="417"/>
      <c r="Z28" s="417"/>
      <c r="AA28" s="417"/>
      <c r="AB28" s="417"/>
      <c r="AC28" s="417"/>
      <c r="AD28" s="417"/>
      <c r="AE28" s="417"/>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row>
    <row r="29" spans="1:56" ht="15">
      <c r="A29" s="414"/>
      <c r="B29" s="414"/>
      <c r="C29" s="414"/>
      <c r="D29" s="414"/>
      <c r="E29" s="414"/>
      <c r="F29" s="415"/>
      <c r="G29" s="416"/>
      <c r="H29" s="416"/>
      <c r="K29" s="417"/>
      <c r="L29" s="417"/>
      <c r="M29" s="417"/>
      <c r="N29" s="417"/>
      <c r="O29" s="417"/>
      <c r="P29" s="417"/>
      <c r="Q29" s="417"/>
      <c r="R29" s="417"/>
      <c r="S29" s="417"/>
      <c r="T29" s="417"/>
      <c r="U29" s="417"/>
      <c r="V29" s="417"/>
      <c r="W29" s="417"/>
      <c r="X29" s="417"/>
      <c r="Y29" s="417"/>
      <c r="Z29" s="417"/>
      <c r="AA29" s="417"/>
      <c r="AB29" s="417"/>
      <c r="AC29" s="417"/>
      <c r="AD29" s="417"/>
      <c r="AE29" s="417"/>
      <c r="AF29" s="418"/>
      <c r="AG29" s="418"/>
      <c r="AH29" s="418"/>
      <c r="AI29" s="418"/>
      <c r="AJ29" s="418"/>
      <c r="AK29" s="418"/>
      <c r="AL29" s="418"/>
      <c r="AM29" s="418"/>
      <c r="AN29" s="418"/>
      <c r="AO29" s="418"/>
      <c r="AP29" s="418"/>
      <c r="AQ29" s="418"/>
      <c r="AR29" s="418"/>
      <c r="AS29" s="418"/>
      <c r="AT29" s="418"/>
      <c r="AU29" s="418"/>
      <c r="AV29" s="418"/>
      <c r="AW29" s="418"/>
      <c r="AX29" s="418"/>
      <c r="AY29" s="418"/>
      <c r="AZ29" s="418"/>
      <c r="BA29" s="418"/>
      <c r="BB29" s="418"/>
      <c r="BC29" s="418"/>
      <c r="BD29" s="418"/>
    </row>
    <row r="30" spans="1:56" ht="15">
      <c r="A30" s="414"/>
      <c r="B30" s="414"/>
      <c r="C30" s="414"/>
      <c r="D30" s="414"/>
      <c r="E30" s="414"/>
      <c r="F30" s="415"/>
      <c r="G30" s="416"/>
      <c r="H30" s="416"/>
      <c r="K30" s="417"/>
      <c r="L30" s="417"/>
      <c r="M30" s="417"/>
      <c r="N30" s="417"/>
      <c r="O30" s="417"/>
      <c r="P30" s="417"/>
      <c r="Q30" s="417"/>
      <c r="R30" s="417"/>
      <c r="S30" s="417"/>
      <c r="T30" s="417"/>
      <c r="U30" s="417"/>
      <c r="V30" s="417"/>
      <c r="W30" s="417"/>
      <c r="X30" s="417"/>
      <c r="Y30" s="417"/>
      <c r="Z30" s="417"/>
      <c r="AA30" s="417"/>
      <c r="AB30" s="417"/>
      <c r="AC30" s="417"/>
      <c r="AD30" s="417"/>
      <c r="AE30" s="417"/>
      <c r="AF30" s="418"/>
      <c r="AG30" s="418"/>
      <c r="AH30" s="418"/>
      <c r="AI30" s="418"/>
      <c r="AJ30" s="418"/>
      <c r="AK30" s="418"/>
      <c r="AL30" s="418"/>
      <c r="AM30" s="418"/>
      <c r="AN30" s="418"/>
      <c r="AO30" s="418"/>
      <c r="AP30" s="418"/>
      <c r="AQ30" s="418"/>
      <c r="AR30" s="418"/>
      <c r="AS30" s="418"/>
      <c r="AT30" s="418"/>
      <c r="AU30" s="418"/>
      <c r="AV30" s="418"/>
      <c r="AW30" s="418"/>
      <c r="AX30" s="418"/>
      <c r="AY30" s="418"/>
      <c r="AZ30" s="418"/>
      <c r="BA30" s="418"/>
      <c r="BB30" s="418"/>
      <c r="BC30" s="418"/>
      <c r="BD30" s="418"/>
    </row>
    <row r="31" spans="1:56" ht="15">
      <c r="A31" s="414"/>
      <c r="B31" s="414"/>
      <c r="C31" s="414"/>
      <c r="D31" s="414"/>
      <c r="E31" s="414"/>
      <c r="F31" s="415"/>
      <c r="G31" s="416"/>
      <c r="H31" s="416"/>
      <c r="K31" s="417"/>
      <c r="L31" s="417"/>
      <c r="M31" s="417"/>
      <c r="N31" s="417"/>
      <c r="O31" s="417"/>
      <c r="P31" s="417"/>
      <c r="Q31" s="417"/>
      <c r="R31" s="417"/>
      <c r="S31" s="417"/>
      <c r="T31" s="417"/>
      <c r="U31" s="417"/>
      <c r="V31" s="417"/>
      <c r="W31" s="417"/>
      <c r="X31" s="417"/>
      <c r="Y31" s="417"/>
      <c r="Z31" s="417"/>
      <c r="AA31" s="417"/>
      <c r="AB31" s="417"/>
      <c r="AC31" s="417"/>
      <c r="AD31" s="417"/>
      <c r="AE31" s="417"/>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c r="BB31" s="418"/>
      <c r="BC31" s="418"/>
      <c r="BD31" s="418"/>
    </row>
    <row r="32" spans="1:56" ht="15">
      <c r="A32" s="414"/>
      <c r="B32" s="414"/>
      <c r="C32" s="414"/>
      <c r="D32" s="414"/>
      <c r="E32" s="414"/>
      <c r="F32" s="415"/>
      <c r="G32" s="416"/>
      <c r="H32" s="416"/>
      <c r="K32" s="417"/>
      <c r="L32" s="417"/>
      <c r="M32" s="417"/>
      <c r="N32" s="417"/>
      <c r="O32" s="417"/>
      <c r="P32" s="417"/>
      <c r="Q32" s="417"/>
      <c r="R32" s="417"/>
      <c r="S32" s="417"/>
      <c r="T32" s="417"/>
      <c r="U32" s="417"/>
      <c r="V32" s="417"/>
      <c r="W32" s="417"/>
      <c r="X32" s="417"/>
      <c r="Y32" s="417"/>
      <c r="Z32" s="417"/>
      <c r="AA32" s="417"/>
      <c r="AB32" s="417"/>
      <c r="AC32" s="417"/>
      <c r="AD32" s="417"/>
      <c r="AE32" s="417"/>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8"/>
      <c r="BC32" s="418"/>
      <c r="BD32" s="418"/>
    </row>
    <row r="33" spans="1:56" ht="15">
      <c r="A33" s="414"/>
      <c r="B33" s="414"/>
      <c r="C33" s="414"/>
      <c r="D33" s="414"/>
      <c r="E33" s="414"/>
      <c r="F33" s="415"/>
      <c r="G33" s="416"/>
      <c r="H33" s="416"/>
      <c r="K33" s="417"/>
      <c r="L33" s="417"/>
      <c r="M33" s="417"/>
      <c r="N33" s="417"/>
      <c r="O33" s="417"/>
      <c r="P33" s="417"/>
      <c r="Q33" s="417"/>
      <c r="R33" s="417"/>
      <c r="S33" s="417"/>
      <c r="T33" s="417"/>
      <c r="U33" s="417"/>
      <c r="V33" s="417"/>
      <c r="W33" s="417"/>
      <c r="X33" s="417"/>
      <c r="Y33" s="417"/>
      <c r="Z33" s="417"/>
      <c r="AA33" s="417"/>
      <c r="AB33" s="417"/>
      <c r="AC33" s="417"/>
      <c r="AD33" s="417"/>
      <c r="AE33" s="417"/>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418"/>
      <c r="BD33" s="418"/>
    </row>
    <row r="34" spans="1:56" ht="15">
      <c r="A34" s="414"/>
      <c r="B34" s="414"/>
      <c r="C34" s="414"/>
      <c r="D34" s="414"/>
      <c r="E34" s="414"/>
      <c r="F34" s="415"/>
      <c r="G34" s="416"/>
      <c r="H34" s="416"/>
      <c r="K34" s="417"/>
      <c r="L34" s="417"/>
      <c r="M34" s="417"/>
      <c r="N34" s="417"/>
      <c r="O34" s="417"/>
      <c r="P34" s="417"/>
      <c r="Q34" s="417"/>
      <c r="R34" s="417"/>
      <c r="S34" s="417"/>
      <c r="T34" s="417"/>
      <c r="U34" s="417"/>
      <c r="V34" s="417"/>
      <c r="W34" s="417"/>
      <c r="X34" s="417"/>
      <c r="Y34" s="417"/>
      <c r="Z34" s="417"/>
      <c r="AA34" s="417"/>
      <c r="AB34" s="417"/>
      <c r="AC34" s="417"/>
      <c r="AD34" s="417"/>
      <c r="AE34" s="417"/>
      <c r="AF34" s="418"/>
      <c r="AG34" s="418"/>
      <c r="AH34" s="418"/>
      <c r="AI34" s="418"/>
      <c r="AJ34" s="418"/>
      <c r="AK34" s="418"/>
      <c r="AL34" s="418"/>
      <c r="AM34" s="418"/>
      <c r="AN34" s="418"/>
      <c r="AO34" s="418"/>
      <c r="AP34" s="418"/>
      <c r="AQ34" s="418"/>
      <c r="AR34" s="418"/>
      <c r="AS34" s="418"/>
      <c r="AT34" s="418"/>
      <c r="AU34" s="418"/>
      <c r="AV34" s="418"/>
      <c r="AW34" s="418"/>
      <c r="AX34" s="418"/>
      <c r="AY34" s="418"/>
      <c r="AZ34" s="418"/>
      <c r="BA34" s="418"/>
      <c r="BB34" s="418"/>
      <c r="BC34" s="418"/>
      <c r="BD34" s="418"/>
    </row>
    <row r="35" spans="1:56" ht="15">
      <c r="A35" s="414"/>
      <c r="B35" s="414"/>
      <c r="C35" s="414"/>
      <c r="D35" s="414"/>
      <c r="E35" s="414"/>
      <c r="F35" s="415"/>
      <c r="G35" s="416"/>
      <c r="H35" s="416"/>
      <c r="K35" s="417"/>
      <c r="L35" s="417"/>
      <c r="M35" s="417"/>
      <c r="N35" s="417"/>
      <c r="O35" s="417"/>
      <c r="P35" s="417"/>
      <c r="Q35" s="417"/>
      <c r="R35" s="417"/>
      <c r="S35" s="417"/>
      <c r="T35" s="417"/>
      <c r="U35" s="417"/>
      <c r="V35" s="417"/>
      <c r="W35" s="417"/>
      <c r="X35" s="417"/>
      <c r="Y35" s="417"/>
      <c r="Z35" s="417"/>
      <c r="AA35" s="417"/>
      <c r="AB35" s="417"/>
      <c r="AC35" s="417"/>
      <c r="AD35" s="417"/>
      <c r="AE35" s="417"/>
      <c r="AF35" s="418"/>
      <c r="AG35" s="418"/>
      <c r="AH35" s="418"/>
      <c r="AI35" s="418"/>
      <c r="AJ35" s="418"/>
      <c r="AK35" s="418"/>
      <c r="AL35" s="418"/>
      <c r="AM35" s="418"/>
      <c r="AN35" s="418"/>
      <c r="AO35" s="418"/>
      <c r="AP35" s="418"/>
      <c r="AQ35" s="418"/>
      <c r="AR35" s="418"/>
      <c r="AS35" s="418"/>
      <c r="AT35" s="418"/>
      <c r="AU35" s="418"/>
      <c r="AV35" s="418"/>
      <c r="AW35" s="418"/>
      <c r="AX35" s="418"/>
      <c r="AY35" s="418"/>
      <c r="AZ35" s="418"/>
      <c r="BA35" s="418"/>
      <c r="BB35" s="418"/>
      <c r="BC35" s="418"/>
      <c r="BD35" s="418"/>
    </row>
    <row r="36" spans="1:56" ht="15">
      <c r="A36" s="414"/>
      <c r="B36" s="414"/>
      <c r="C36" s="414"/>
      <c r="D36" s="414"/>
      <c r="E36" s="414"/>
      <c r="F36" s="415"/>
      <c r="G36" s="416"/>
      <c r="H36" s="416"/>
      <c r="K36" s="417"/>
      <c r="L36" s="417"/>
      <c r="M36" s="417"/>
      <c r="N36" s="417"/>
      <c r="O36" s="417"/>
      <c r="P36" s="417"/>
      <c r="Q36" s="417"/>
      <c r="R36" s="417"/>
      <c r="S36" s="417"/>
      <c r="T36" s="417"/>
      <c r="U36" s="417"/>
      <c r="V36" s="417"/>
      <c r="W36" s="417"/>
      <c r="X36" s="417"/>
      <c r="Y36" s="417"/>
      <c r="Z36" s="417"/>
      <c r="AA36" s="417"/>
      <c r="AB36" s="417"/>
      <c r="AC36" s="417"/>
      <c r="AD36" s="417"/>
      <c r="AE36" s="417"/>
      <c r="AF36" s="418"/>
      <c r="AG36" s="418"/>
      <c r="AH36" s="418"/>
      <c r="AI36" s="418"/>
      <c r="AJ36" s="418"/>
      <c r="AK36" s="418"/>
      <c r="AL36" s="418"/>
      <c r="AM36" s="418"/>
      <c r="AN36" s="418"/>
      <c r="AO36" s="418"/>
      <c r="AP36" s="418"/>
      <c r="AQ36" s="418"/>
      <c r="AR36" s="418"/>
      <c r="AS36" s="418"/>
      <c r="AT36" s="418"/>
      <c r="AU36" s="418"/>
      <c r="AV36" s="418"/>
      <c r="AW36" s="418"/>
      <c r="AX36" s="418"/>
      <c r="AY36" s="418"/>
      <c r="AZ36" s="418"/>
      <c r="BA36" s="418"/>
      <c r="BB36" s="418"/>
      <c r="BC36" s="418"/>
      <c r="BD36" s="418"/>
    </row>
    <row r="37" spans="1:56" ht="15">
      <c r="A37" s="414"/>
      <c r="B37" s="414"/>
      <c r="C37" s="414"/>
      <c r="D37" s="414"/>
      <c r="E37" s="414"/>
      <c r="F37" s="415"/>
      <c r="G37" s="416"/>
      <c r="H37" s="416"/>
      <c r="K37" s="417"/>
      <c r="L37" s="417"/>
      <c r="M37" s="417"/>
      <c r="N37" s="417"/>
      <c r="O37" s="417"/>
      <c r="P37" s="417"/>
      <c r="Q37" s="417"/>
      <c r="R37" s="417"/>
      <c r="S37" s="417"/>
      <c r="T37" s="417"/>
      <c r="U37" s="417"/>
      <c r="V37" s="417"/>
      <c r="W37" s="417"/>
      <c r="X37" s="417"/>
      <c r="Y37" s="417"/>
      <c r="Z37" s="417"/>
      <c r="AA37" s="417"/>
      <c r="AB37" s="417"/>
      <c r="AC37" s="417"/>
      <c r="AD37" s="417"/>
      <c r="AE37" s="417"/>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418"/>
      <c r="BD37" s="418"/>
    </row>
    <row r="38" spans="1:56" ht="15">
      <c r="A38" s="414"/>
      <c r="B38" s="414"/>
      <c r="C38" s="414"/>
      <c r="D38" s="414"/>
      <c r="E38" s="414"/>
      <c r="F38" s="415"/>
      <c r="G38" s="416"/>
      <c r="H38" s="416"/>
      <c r="K38" s="417"/>
      <c r="L38" s="417"/>
      <c r="M38" s="417"/>
      <c r="N38" s="417"/>
      <c r="O38" s="417"/>
      <c r="P38" s="417"/>
      <c r="Q38" s="417"/>
      <c r="R38" s="417"/>
      <c r="S38" s="417"/>
      <c r="T38" s="417"/>
      <c r="U38" s="417"/>
      <c r="V38" s="417"/>
      <c r="W38" s="417"/>
      <c r="X38" s="417"/>
      <c r="Y38" s="417"/>
      <c r="Z38" s="417"/>
      <c r="AA38" s="417"/>
      <c r="AB38" s="417"/>
      <c r="AC38" s="417"/>
      <c r="AD38" s="417"/>
      <c r="AE38" s="417"/>
      <c r="AF38" s="418"/>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18"/>
      <c r="BC38" s="418"/>
      <c r="BD38" s="418"/>
    </row>
    <row r="39" spans="1:56" ht="15">
      <c r="A39" s="414"/>
      <c r="B39" s="414"/>
      <c r="C39" s="414"/>
      <c r="D39" s="414"/>
      <c r="E39" s="414"/>
      <c r="F39" s="415"/>
      <c r="G39" s="416"/>
      <c r="H39" s="416"/>
      <c r="K39" s="417"/>
      <c r="L39" s="417"/>
      <c r="M39" s="417"/>
      <c r="N39" s="417"/>
      <c r="O39" s="417"/>
      <c r="P39" s="417"/>
      <c r="Q39" s="417"/>
      <c r="R39" s="417"/>
      <c r="S39" s="417"/>
      <c r="T39" s="417"/>
      <c r="U39" s="417"/>
      <c r="V39" s="417"/>
      <c r="W39" s="417"/>
      <c r="X39" s="417"/>
      <c r="Y39" s="417"/>
      <c r="Z39" s="417"/>
      <c r="AA39" s="417"/>
      <c r="AB39" s="417"/>
      <c r="AC39" s="417"/>
      <c r="AD39" s="417"/>
      <c r="AE39" s="417"/>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c r="BC39" s="418"/>
      <c r="BD39" s="418"/>
    </row>
    <row r="40" spans="1:56" ht="15">
      <c r="A40" s="414"/>
      <c r="B40" s="414"/>
      <c r="C40" s="414"/>
      <c r="D40" s="414"/>
      <c r="E40" s="414"/>
      <c r="F40" s="415"/>
      <c r="G40" s="416"/>
      <c r="H40" s="416"/>
      <c r="K40" s="417"/>
      <c r="L40" s="417"/>
      <c r="M40" s="417"/>
      <c r="N40" s="417"/>
      <c r="O40" s="417"/>
      <c r="P40" s="417"/>
      <c r="Q40" s="417"/>
      <c r="R40" s="417"/>
      <c r="S40" s="417"/>
      <c r="T40" s="417"/>
      <c r="U40" s="417"/>
      <c r="V40" s="417"/>
      <c r="W40" s="417"/>
      <c r="X40" s="417"/>
      <c r="Y40" s="417"/>
      <c r="Z40" s="417"/>
      <c r="AA40" s="417"/>
      <c r="AB40" s="417"/>
      <c r="AC40" s="417"/>
      <c r="AD40" s="417"/>
      <c r="AE40" s="417"/>
      <c r="AF40" s="418"/>
      <c r="AG40" s="418"/>
      <c r="AH40" s="418"/>
      <c r="AI40" s="418"/>
      <c r="AJ40" s="418"/>
      <c r="AK40" s="418"/>
      <c r="AL40" s="418"/>
      <c r="AM40" s="418"/>
      <c r="AN40" s="418"/>
      <c r="AO40" s="418"/>
      <c r="AP40" s="418"/>
      <c r="AQ40" s="418"/>
      <c r="AR40" s="418"/>
      <c r="AS40" s="418"/>
      <c r="AT40" s="418"/>
      <c r="AU40" s="418"/>
      <c r="AV40" s="418"/>
      <c r="AW40" s="418"/>
      <c r="AX40" s="418"/>
      <c r="AY40" s="418"/>
      <c r="AZ40" s="418"/>
      <c r="BA40" s="418"/>
      <c r="BB40" s="418"/>
      <c r="BC40" s="418"/>
      <c r="BD40" s="418"/>
    </row>
    <row r="41" spans="1:56" ht="15">
      <c r="A41" s="414"/>
      <c r="B41" s="414"/>
      <c r="C41" s="414"/>
      <c r="D41" s="414"/>
      <c r="E41" s="414"/>
      <c r="F41" s="415"/>
      <c r="G41" s="416"/>
      <c r="H41" s="416"/>
      <c r="K41" s="417"/>
      <c r="L41" s="417"/>
      <c r="M41" s="417"/>
      <c r="N41" s="417"/>
      <c r="O41" s="417"/>
      <c r="P41" s="417"/>
      <c r="Q41" s="417"/>
      <c r="R41" s="417"/>
      <c r="S41" s="417"/>
      <c r="T41" s="417"/>
      <c r="U41" s="417"/>
      <c r="V41" s="417"/>
      <c r="W41" s="417"/>
      <c r="X41" s="417"/>
      <c r="Y41" s="417"/>
      <c r="Z41" s="417"/>
      <c r="AA41" s="417"/>
      <c r="AB41" s="417"/>
      <c r="AC41" s="417"/>
      <c r="AD41" s="417"/>
      <c r="AE41" s="417"/>
      <c r="AF41" s="418"/>
      <c r="AG41" s="418"/>
      <c r="AH41" s="418"/>
      <c r="AI41" s="418"/>
      <c r="AJ41" s="418"/>
      <c r="AK41" s="418"/>
      <c r="AL41" s="418"/>
      <c r="AM41" s="418"/>
      <c r="AN41" s="418"/>
      <c r="AO41" s="418"/>
      <c r="AP41" s="418"/>
      <c r="AQ41" s="418"/>
      <c r="AR41" s="418"/>
      <c r="AS41" s="418"/>
      <c r="AT41" s="418"/>
      <c r="AU41" s="418"/>
      <c r="AV41" s="418"/>
      <c r="AW41" s="418"/>
      <c r="AX41" s="418"/>
      <c r="AY41" s="418"/>
      <c r="AZ41" s="418"/>
      <c r="BA41" s="418"/>
      <c r="BB41" s="418"/>
      <c r="BC41" s="418"/>
      <c r="BD41" s="418"/>
    </row>
    <row r="42" spans="1:56" ht="15">
      <c r="A42" s="414"/>
      <c r="B42" s="414"/>
      <c r="C42" s="414"/>
      <c r="D42" s="414"/>
      <c r="E42" s="414"/>
      <c r="F42" s="415"/>
      <c r="G42" s="416"/>
      <c r="H42" s="416"/>
      <c r="K42" s="417"/>
      <c r="L42" s="417"/>
      <c r="M42" s="417"/>
      <c r="N42" s="417"/>
      <c r="O42" s="417"/>
      <c r="P42" s="417"/>
      <c r="Q42" s="417"/>
      <c r="R42" s="417"/>
      <c r="S42" s="417"/>
      <c r="T42" s="417"/>
      <c r="U42" s="417"/>
      <c r="V42" s="417"/>
      <c r="W42" s="417"/>
      <c r="X42" s="417"/>
      <c r="Y42" s="417"/>
      <c r="Z42" s="417"/>
      <c r="AA42" s="417"/>
      <c r="AB42" s="417"/>
      <c r="AC42" s="417"/>
      <c r="AD42" s="417"/>
      <c r="AE42" s="417"/>
      <c r="AF42" s="418"/>
      <c r="AG42" s="418"/>
      <c r="AH42" s="418"/>
      <c r="AI42" s="418"/>
      <c r="AJ42" s="418"/>
      <c r="AK42" s="418"/>
      <c r="AL42" s="418"/>
      <c r="AM42" s="418"/>
      <c r="AN42" s="418"/>
      <c r="AO42" s="418"/>
      <c r="AP42" s="418"/>
      <c r="AQ42" s="418"/>
      <c r="AR42" s="418"/>
      <c r="AS42" s="418"/>
      <c r="AT42" s="418"/>
      <c r="AU42" s="418"/>
      <c r="AV42" s="418"/>
      <c r="AW42" s="418"/>
      <c r="AX42" s="418"/>
      <c r="AY42" s="418"/>
      <c r="AZ42" s="418"/>
      <c r="BA42" s="418"/>
      <c r="BB42" s="418"/>
      <c r="BC42" s="418"/>
      <c r="BD42" s="418"/>
    </row>
    <row r="43" spans="1:56" ht="15">
      <c r="A43" s="414"/>
      <c r="B43" s="414"/>
      <c r="C43" s="414"/>
      <c r="D43" s="414"/>
      <c r="E43" s="414"/>
      <c r="F43" s="415"/>
      <c r="G43" s="416"/>
      <c r="H43" s="416"/>
      <c r="K43" s="417"/>
      <c r="L43" s="417"/>
      <c r="M43" s="417"/>
      <c r="N43" s="417"/>
      <c r="O43" s="417"/>
      <c r="P43" s="417"/>
      <c r="Q43" s="417"/>
      <c r="R43" s="417"/>
      <c r="S43" s="417"/>
      <c r="T43" s="417"/>
      <c r="U43" s="417"/>
      <c r="V43" s="417"/>
      <c r="W43" s="417"/>
      <c r="X43" s="417"/>
      <c r="Y43" s="417"/>
      <c r="Z43" s="417"/>
      <c r="AA43" s="417"/>
      <c r="AB43" s="417"/>
      <c r="AC43" s="417"/>
      <c r="AD43" s="417"/>
      <c r="AE43" s="417"/>
      <c r="AF43" s="418"/>
      <c r="AG43" s="418"/>
      <c r="AH43" s="418"/>
      <c r="AI43" s="418"/>
      <c r="AJ43" s="418"/>
      <c r="AK43" s="418"/>
      <c r="AL43" s="418"/>
      <c r="AM43" s="418"/>
      <c r="AN43" s="418"/>
      <c r="AO43" s="418"/>
      <c r="AP43" s="418"/>
      <c r="AQ43" s="418"/>
      <c r="AR43" s="418"/>
      <c r="AS43" s="418"/>
      <c r="AT43" s="418"/>
      <c r="AU43" s="418"/>
      <c r="AV43" s="418"/>
      <c r="AW43" s="418"/>
      <c r="AX43" s="418"/>
      <c r="AY43" s="418"/>
      <c r="AZ43" s="418"/>
      <c r="BA43" s="418"/>
      <c r="BB43" s="418"/>
      <c r="BC43" s="418"/>
      <c r="BD43" s="418"/>
    </row>
    <row r="44" spans="1:56" ht="15">
      <c r="A44" s="414"/>
      <c r="B44" s="414"/>
      <c r="C44" s="414"/>
      <c r="D44" s="414"/>
      <c r="E44" s="414"/>
      <c r="F44" s="415"/>
      <c r="G44" s="416"/>
      <c r="H44" s="416"/>
      <c r="K44" s="417"/>
      <c r="L44" s="417"/>
      <c r="M44" s="417"/>
      <c r="N44" s="417"/>
      <c r="O44" s="417"/>
      <c r="P44" s="417"/>
      <c r="Q44" s="417"/>
      <c r="R44" s="417"/>
      <c r="S44" s="417"/>
      <c r="T44" s="417"/>
      <c r="U44" s="417"/>
      <c r="V44" s="417"/>
      <c r="W44" s="417"/>
      <c r="X44" s="417"/>
      <c r="Y44" s="417"/>
      <c r="Z44" s="417"/>
      <c r="AA44" s="417"/>
      <c r="AB44" s="417"/>
      <c r="AC44" s="417"/>
      <c r="AD44" s="417"/>
      <c r="AE44" s="417"/>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8"/>
      <c r="BC44" s="418"/>
      <c r="BD44" s="418"/>
    </row>
    <row r="45" spans="1:56" ht="15">
      <c r="A45" s="414"/>
      <c r="B45" s="414"/>
      <c r="C45" s="414"/>
      <c r="D45" s="414"/>
      <c r="E45" s="414"/>
      <c r="F45" s="415"/>
      <c r="G45" s="416"/>
      <c r="H45" s="416"/>
      <c r="K45" s="417"/>
      <c r="L45" s="417"/>
      <c r="M45" s="417"/>
      <c r="N45" s="417"/>
      <c r="O45" s="417"/>
      <c r="P45" s="417"/>
      <c r="Q45" s="417"/>
      <c r="R45" s="417"/>
      <c r="S45" s="417"/>
      <c r="T45" s="417"/>
      <c r="U45" s="417"/>
      <c r="V45" s="417"/>
      <c r="W45" s="417"/>
      <c r="X45" s="417"/>
      <c r="Y45" s="417"/>
      <c r="Z45" s="417"/>
      <c r="AA45" s="417"/>
      <c r="AB45" s="417"/>
      <c r="AC45" s="417"/>
      <c r="AD45" s="417"/>
      <c r="AE45" s="417"/>
      <c r="AF45" s="418"/>
      <c r="AG45" s="418"/>
      <c r="AH45" s="418"/>
      <c r="AI45" s="418"/>
      <c r="AJ45" s="418"/>
      <c r="AK45" s="418"/>
      <c r="AL45" s="418"/>
      <c r="AM45" s="418"/>
      <c r="AN45" s="418"/>
      <c r="AO45" s="418"/>
      <c r="AP45" s="418"/>
      <c r="AQ45" s="418"/>
      <c r="AR45" s="418"/>
      <c r="AS45" s="418"/>
      <c r="AT45" s="418"/>
      <c r="AU45" s="418"/>
      <c r="AV45" s="418"/>
      <c r="AW45" s="418"/>
      <c r="AX45" s="418"/>
      <c r="AY45" s="418"/>
      <c r="AZ45" s="418"/>
      <c r="BA45" s="418"/>
      <c r="BB45" s="418"/>
      <c r="BC45" s="418"/>
      <c r="BD45" s="418"/>
    </row>
    <row r="46" spans="1:56" ht="15">
      <c r="A46" s="414"/>
      <c r="B46" s="414"/>
      <c r="C46" s="414"/>
      <c r="D46" s="414"/>
      <c r="E46" s="414"/>
      <c r="F46" s="415"/>
      <c r="G46" s="416"/>
      <c r="H46" s="416"/>
      <c r="K46" s="417"/>
      <c r="L46" s="417"/>
      <c r="M46" s="417"/>
      <c r="N46" s="417"/>
      <c r="O46" s="417"/>
      <c r="P46" s="417"/>
      <c r="Q46" s="417"/>
      <c r="R46" s="417"/>
      <c r="S46" s="417"/>
      <c r="T46" s="417"/>
      <c r="U46" s="417"/>
      <c r="V46" s="417"/>
      <c r="W46" s="417"/>
      <c r="X46" s="417"/>
      <c r="Y46" s="417"/>
      <c r="Z46" s="417"/>
      <c r="AA46" s="417"/>
      <c r="AB46" s="417"/>
      <c r="AC46" s="417"/>
      <c r="AD46" s="417"/>
      <c r="AE46" s="417"/>
      <c r="AF46" s="418"/>
      <c r="AG46" s="418"/>
      <c r="AH46" s="418"/>
      <c r="AI46" s="418"/>
      <c r="AJ46" s="418"/>
      <c r="AK46" s="418"/>
      <c r="AL46" s="418"/>
      <c r="AM46" s="418"/>
      <c r="AN46" s="418"/>
      <c r="AO46" s="418"/>
      <c r="AP46" s="418"/>
      <c r="AQ46" s="418"/>
      <c r="AR46" s="418"/>
      <c r="AS46" s="418"/>
      <c r="AT46" s="418"/>
      <c r="AU46" s="418"/>
      <c r="AV46" s="418"/>
      <c r="AW46" s="418"/>
      <c r="AX46" s="418"/>
      <c r="AY46" s="418"/>
      <c r="AZ46" s="418"/>
      <c r="BA46" s="418"/>
      <c r="BB46" s="418"/>
      <c r="BC46" s="418"/>
      <c r="BD46" s="418"/>
    </row>
    <row r="47" spans="1:56" ht="15">
      <c r="A47" s="414"/>
      <c r="B47" s="414"/>
      <c r="C47" s="414"/>
      <c r="D47" s="414"/>
      <c r="E47" s="414"/>
      <c r="F47" s="415"/>
      <c r="G47" s="416"/>
      <c r="H47" s="416"/>
      <c r="K47" s="417"/>
      <c r="L47" s="417"/>
      <c r="M47" s="417"/>
      <c r="N47" s="417"/>
      <c r="O47" s="417"/>
      <c r="P47" s="417"/>
      <c r="Q47" s="417"/>
      <c r="R47" s="417"/>
      <c r="S47" s="417"/>
      <c r="T47" s="417"/>
      <c r="U47" s="417"/>
      <c r="V47" s="417"/>
      <c r="W47" s="417"/>
      <c r="X47" s="417"/>
      <c r="Y47" s="417"/>
      <c r="Z47" s="417"/>
      <c r="AA47" s="417"/>
      <c r="AB47" s="417"/>
      <c r="AC47" s="417"/>
      <c r="AD47" s="417"/>
      <c r="AE47" s="417"/>
      <c r="AF47" s="418"/>
      <c r="AG47" s="418"/>
      <c r="AH47" s="418"/>
      <c r="AI47" s="418"/>
      <c r="AJ47" s="418"/>
      <c r="AK47" s="418"/>
      <c r="AL47" s="418"/>
      <c r="AM47" s="418"/>
      <c r="AN47" s="418"/>
      <c r="AO47" s="418"/>
      <c r="AP47" s="418"/>
      <c r="AQ47" s="418"/>
      <c r="AR47" s="418"/>
      <c r="AS47" s="418"/>
      <c r="AT47" s="418"/>
      <c r="AU47" s="418"/>
      <c r="AV47" s="418"/>
      <c r="AW47" s="418"/>
      <c r="AX47" s="418"/>
      <c r="AY47" s="418"/>
      <c r="AZ47" s="418"/>
      <c r="BA47" s="418"/>
      <c r="BB47" s="418"/>
      <c r="BC47" s="418"/>
      <c r="BD47" s="418"/>
    </row>
    <row r="48" spans="1:56" ht="15">
      <c r="A48" s="414"/>
      <c r="B48" s="414"/>
      <c r="C48" s="414"/>
      <c r="D48" s="414"/>
      <c r="E48" s="414"/>
      <c r="F48" s="415"/>
      <c r="G48" s="416"/>
      <c r="H48" s="416"/>
      <c r="K48" s="417"/>
      <c r="L48" s="417"/>
      <c r="M48" s="417"/>
      <c r="N48" s="417"/>
      <c r="O48" s="417"/>
      <c r="P48" s="417"/>
      <c r="Q48" s="417"/>
      <c r="R48" s="417"/>
      <c r="S48" s="417"/>
      <c r="T48" s="417"/>
      <c r="U48" s="417"/>
      <c r="V48" s="417"/>
      <c r="W48" s="417"/>
      <c r="X48" s="417"/>
      <c r="Y48" s="417"/>
      <c r="Z48" s="417"/>
      <c r="AA48" s="417"/>
      <c r="AB48" s="417"/>
      <c r="AC48" s="417"/>
      <c r="AD48" s="417"/>
      <c r="AE48" s="417"/>
      <c r="AF48" s="418"/>
      <c r="AG48" s="418"/>
      <c r="AH48" s="418"/>
      <c r="AI48" s="418"/>
      <c r="AJ48" s="418"/>
      <c r="AK48" s="418"/>
      <c r="AL48" s="418"/>
      <c r="AM48" s="418"/>
      <c r="AN48" s="418"/>
      <c r="AO48" s="418"/>
      <c r="AP48" s="418"/>
      <c r="AQ48" s="418"/>
      <c r="AR48" s="418"/>
      <c r="AS48" s="418"/>
      <c r="AT48" s="418"/>
      <c r="AU48" s="418"/>
      <c r="AV48" s="418"/>
      <c r="AW48" s="418"/>
      <c r="AX48" s="418"/>
      <c r="AY48" s="418"/>
      <c r="AZ48" s="418"/>
      <c r="BA48" s="418"/>
      <c r="BB48" s="418"/>
      <c r="BC48" s="418"/>
      <c r="BD48" s="418"/>
    </row>
    <row r="49" spans="1:56" ht="15">
      <c r="A49" s="414"/>
      <c r="B49" s="414"/>
      <c r="C49" s="414"/>
      <c r="D49" s="414"/>
      <c r="E49" s="414"/>
      <c r="F49" s="415"/>
      <c r="G49" s="416"/>
      <c r="H49" s="416"/>
      <c r="K49" s="417"/>
      <c r="L49" s="417"/>
      <c r="M49" s="417"/>
      <c r="N49" s="417"/>
      <c r="O49" s="417"/>
      <c r="P49" s="417"/>
      <c r="Q49" s="417"/>
      <c r="R49" s="417"/>
      <c r="S49" s="417"/>
      <c r="T49" s="417"/>
      <c r="U49" s="417"/>
      <c r="V49" s="417"/>
      <c r="W49" s="417"/>
      <c r="X49" s="417"/>
      <c r="Y49" s="417"/>
      <c r="Z49" s="417"/>
      <c r="AA49" s="417"/>
      <c r="AB49" s="417"/>
      <c r="AC49" s="417"/>
      <c r="AD49" s="417"/>
      <c r="AE49" s="417"/>
      <c r="AF49" s="418"/>
      <c r="AG49" s="418"/>
      <c r="AH49" s="418"/>
      <c r="AI49" s="418"/>
      <c r="AJ49" s="418"/>
      <c r="AK49" s="418"/>
      <c r="AL49" s="418"/>
      <c r="AM49" s="418"/>
      <c r="AN49" s="418"/>
      <c r="AO49" s="418"/>
      <c r="AP49" s="418"/>
      <c r="AQ49" s="418"/>
      <c r="AR49" s="418"/>
      <c r="AS49" s="418"/>
      <c r="AT49" s="418"/>
      <c r="AU49" s="418"/>
      <c r="AV49" s="418"/>
      <c r="AW49" s="418"/>
      <c r="AX49" s="418"/>
      <c r="AY49" s="418"/>
      <c r="AZ49" s="418"/>
      <c r="BA49" s="418"/>
      <c r="BB49" s="418"/>
      <c r="BC49" s="418"/>
      <c r="BD49" s="418"/>
    </row>
    <row r="50" spans="1:56" ht="15">
      <c r="A50" s="414"/>
      <c r="B50" s="414"/>
      <c r="C50" s="414"/>
      <c r="D50" s="414"/>
      <c r="E50" s="414"/>
      <c r="F50" s="415"/>
      <c r="G50" s="416"/>
      <c r="H50" s="416"/>
      <c r="K50" s="417"/>
      <c r="L50" s="417"/>
      <c r="M50" s="417"/>
      <c r="N50" s="417"/>
      <c r="O50" s="417"/>
      <c r="P50" s="417"/>
      <c r="Q50" s="417"/>
      <c r="R50" s="417"/>
      <c r="S50" s="417"/>
      <c r="T50" s="417"/>
      <c r="U50" s="417"/>
      <c r="V50" s="417"/>
      <c r="W50" s="417"/>
      <c r="X50" s="417"/>
      <c r="Y50" s="417"/>
      <c r="Z50" s="417"/>
      <c r="AA50" s="417"/>
      <c r="AB50" s="417"/>
      <c r="AC50" s="417"/>
      <c r="AD50" s="417"/>
      <c r="AE50" s="417"/>
      <c r="AF50" s="418"/>
      <c r="AG50" s="418"/>
      <c r="AH50" s="418"/>
      <c r="AI50" s="418"/>
      <c r="AJ50" s="418"/>
      <c r="AK50" s="418"/>
      <c r="AL50" s="418"/>
      <c r="AM50" s="418"/>
      <c r="AN50" s="418"/>
      <c r="AO50" s="418"/>
      <c r="AP50" s="418"/>
      <c r="AQ50" s="418"/>
      <c r="AR50" s="418"/>
      <c r="AS50" s="418"/>
      <c r="AT50" s="418"/>
      <c r="AU50" s="418"/>
      <c r="AV50" s="418"/>
      <c r="AW50" s="418"/>
      <c r="AX50" s="418"/>
      <c r="AY50" s="418"/>
      <c r="AZ50" s="418"/>
      <c r="BA50" s="418"/>
      <c r="BB50" s="418"/>
      <c r="BC50" s="418"/>
      <c r="BD50" s="418"/>
    </row>
    <row r="51" spans="1:56" ht="15">
      <c r="A51" s="414"/>
      <c r="B51" s="414"/>
      <c r="C51" s="414"/>
      <c r="D51" s="414"/>
      <c r="E51" s="414"/>
      <c r="F51" s="415"/>
      <c r="G51" s="416"/>
      <c r="H51" s="416"/>
      <c r="K51" s="417"/>
      <c r="L51" s="417"/>
      <c r="M51" s="417"/>
      <c r="N51" s="417"/>
      <c r="O51" s="417"/>
      <c r="P51" s="417"/>
      <c r="Q51" s="417"/>
      <c r="R51" s="417"/>
      <c r="S51" s="417"/>
      <c r="T51" s="417"/>
      <c r="U51" s="417"/>
      <c r="V51" s="417"/>
      <c r="W51" s="417"/>
      <c r="X51" s="417"/>
      <c r="Y51" s="417"/>
      <c r="Z51" s="417"/>
      <c r="AA51" s="417"/>
      <c r="AB51" s="417"/>
      <c r="AC51" s="417"/>
      <c r="AD51" s="417"/>
      <c r="AE51" s="417"/>
      <c r="AF51" s="418"/>
      <c r="AG51" s="418"/>
      <c r="AH51" s="418"/>
      <c r="AI51" s="418"/>
      <c r="AJ51" s="418"/>
      <c r="AK51" s="418"/>
      <c r="AL51" s="418"/>
      <c r="AM51" s="418"/>
      <c r="AN51" s="418"/>
      <c r="AO51" s="418"/>
      <c r="AP51" s="418"/>
      <c r="AQ51" s="418"/>
      <c r="AR51" s="418"/>
      <c r="AS51" s="418"/>
      <c r="AT51" s="418"/>
      <c r="AU51" s="418"/>
      <c r="AV51" s="418"/>
      <c r="AW51" s="418"/>
      <c r="AX51" s="418"/>
      <c r="AY51" s="418"/>
      <c r="AZ51" s="418"/>
      <c r="BA51" s="418"/>
      <c r="BB51" s="418"/>
      <c r="BC51" s="418"/>
      <c r="BD51" s="418"/>
    </row>
    <row r="52" spans="1:56" ht="15">
      <c r="A52" s="414"/>
      <c r="B52" s="414"/>
      <c r="C52" s="414"/>
      <c r="D52" s="414"/>
      <c r="E52" s="414"/>
      <c r="F52" s="415"/>
      <c r="G52" s="416"/>
      <c r="H52" s="416"/>
      <c r="K52" s="417"/>
      <c r="L52" s="417"/>
      <c r="M52" s="417"/>
      <c r="N52" s="417"/>
      <c r="O52" s="417"/>
      <c r="P52" s="417"/>
      <c r="Q52" s="417"/>
      <c r="R52" s="417"/>
      <c r="S52" s="417"/>
      <c r="T52" s="417"/>
      <c r="U52" s="417"/>
      <c r="V52" s="417"/>
      <c r="W52" s="417"/>
      <c r="X52" s="417"/>
      <c r="Y52" s="417"/>
      <c r="Z52" s="417"/>
      <c r="AA52" s="417"/>
      <c r="AB52" s="417"/>
      <c r="AC52" s="417"/>
      <c r="AD52" s="417"/>
      <c r="AE52" s="417"/>
      <c r="AF52" s="418"/>
      <c r="AG52" s="418"/>
      <c r="AH52" s="418"/>
      <c r="AI52" s="418"/>
      <c r="AJ52" s="418"/>
      <c r="AK52" s="418"/>
      <c r="AL52" s="418"/>
      <c r="AM52" s="418"/>
      <c r="AN52" s="418"/>
      <c r="AO52" s="418"/>
      <c r="AP52" s="418"/>
      <c r="AQ52" s="418"/>
      <c r="AR52" s="418"/>
      <c r="AS52" s="418"/>
      <c r="AT52" s="418"/>
      <c r="AU52" s="418"/>
      <c r="AV52" s="418"/>
      <c r="AW52" s="418"/>
      <c r="AX52" s="418"/>
      <c r="AY52" s="418"/>
      <c r="AZ52" s="418"/>
      <c r="BA52" s="418"/>
      <c r="BB52" s="418"/>
      <c r="BC52" s="418"/>
      <c r="BD52" s="418"/>
    </row>
    <row r="53" spans="1:56" ht="15">
      <c r="A53" s="414"/>
      <c r="B53" s="414"/>
      <c r="C53" s="414"/>
      <c r="D53" s="414"/>
      <c r="E53" s="414"/>
      <c r="F53" s="415"/>
      <c r="G53" s="416"/>
      <c r="H53" s="416"/>
      <c r="K53" s="417"/>
      <c r="L53" s="417"/>
      <c r="M53" s="417"/>
      <c r="N53" s="417"/>
      <c r="O53" s="417"/>
      <c r="P53" s="417"/>
      <c r="Q53" s="417"/>
      <c r="R53" s="417"/>
      <c r="S53" s="417"/>
      <c r="T53" s="417"/>
      <c r="U53" s="417"/>
      <c r="V53" s="417"/>
      <c r="W53" s="417"/>
      <c r="X53" s="417"/>
      <c r="Y53" s="417"/>
      <c r="Z53" s="417"/>
      <c r="AA53" s="417"/>
      <c r="AB53" s="417"/>
      <c r="AC53" s="417"/>
      <c r="AD53" s="417"/>
      <c r="AE53" s="417"/>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row>
    <row r="54" spans="1:56" ht="15">
      <c r="A54" s="414"/>
      <c r="B54" s="414"/>
      <c r="C54" s="414"/>
      <c r="D54" s="414"/>
      <c r="E54" s="414"/>
      <c r="F54" s="415"/>
      <c r="G54" s="416"/>
      <c r="H54" s="416"/>
      <c r="K54" s="417"/>
      <c r="L54" s="417"/>
      <c r="M54" s="417"/>
      <c r="N54" s="417"/>
      <c r="O54" s="417"/>
      <c r="P54" s="417"/>
      <c r="Q54" s="417"/>
      <c r="R54" s="417"/>
      <c r="S54" s="417"/>
      <c r="T54" s="417"/>
      <c r="U54" s="417"/>
      <c r="V54" s="417"/>
      <c r="W54" s="417"/>
      <c r="X54" s="417"/>
      <c r="Y54" s="417"/>
      <c r="Z54" s="417"/>
      <c r="AA54" s="417"/>
      <c r="AB54" s="417"/>
      <c r="AC54" s="417"/>
      <c r="AD54" s="417"/>
      <c r="AE54" s="417"/>
      <c r="AF54" s="418"/>
      <c r="AG54" s="418"/>
      <c r="AH54" s="418"/>
      <c r="AI54" s="418"/>
      <c r="AJ54" s="418"/>
      <c r="AK54" s="418"/>
      <c r="AL54" s="418"/>
      <c r="AM54" s="418"/>
      <c r="AN54" s="418"/>
      <c r="AO54" s="418"/>
      <c r="AP54" s="418"/>
      <c r="AQ54" s="418"/>
      <c r="AR54" s="418"/>
      <c r="AS54" s="418"/>
      <c r="AT54" s="418"/>
      <c r="AU54" s="418"/>
      <c r="AV54" s="418"/>
      <c r="AW54" s="418"/>
      <c r="AX54" s="418"/>
      <c r="AY54" s="418"/>
      <c r="AZ54" s="418"/>
      <c r="BA54" s="418"/>
      <c r="BB54" s="418"/>
      <c r="BC54" s="418"/>
      <c r="BD54" s="4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187"/>
  <sheetViews>
    <sheetView workbookViewId="0">
      <selection activeCell="A41" sqref="A41"/>
    </sheetView>
  </sheetViews>
  <sheetFormatPr defaultRowHeight="12.75"/>
  <cols>
    <col min="1" max="1" width="35" style="7" customWidth="1"/>
    <col min="2" max="2" width="30.140625" style="7" customWidth="1"/>
    <col min="3" max="3" width="72.85546875" style="7" customWidth="1"/>
    <col min="4" max="4" width="16.7109375" style="7" bestFit="1" customWidth="1"/>
    <col min="5" max="5" width="15.140625" style="7" bestFit="1" customWidth="1"/>
    <col min="6" max="7" width="12.5703125" style="7" bestFit="1" customWidth="1"/>
    <col min="8" max="27" width="9.140625" style="7"/>
    <col min="28" max="28" width="21.7109375" style="7" customWidth="1"/>
    <col min="29" max="29" width="35.85546875" style="7" customWidth="1"/>
    <col min="30" max="30" width="35.28515625" style="7" customWidth="1"/>
    <col min="31" max="31" width="15" style="7" customWidth="1"/>
    <col min="32" max="32" width="17.7109375" style="7" customWidth="1"/>
    <col min="33" max="33" width="15.140625" style="7" customWidth="1"/>
    <col min="34" max="34" width="15.7109375" style="7" customWidth="1"/>
    <col min="35" max="35" width="21.28515625" style="7" customWidth="1"/>
    <col min="36" max="36" width="17.7109375" style="7" bestFit="1" customWidth="1"/>
    <col min="37" max="37" width="15.42578125" style="7" bestFit="1" customWidth="1"/>
    <col min="38" max="38" width="14.28515625" style="7" bestFit="1" customWidth="1"/>
    <col min="39" max="39" width="14.28515625" style="7" customWidth="1"/>
    <col min="40" max="40" width="12.5703125" style="7" customWidth="1"/>
    <col min="41" max="41" width="14" style="7" bestFit="1" customWidth="1"/>
    <col min="42" max="43" width="10.85546875" style="7" bestFit="1" customWidth="1"/>
    <col min="44" max="44" width="13.42578125" style="7" customWidth="1"/>
    <col min="45" max="45" width="11.85546875" style="7" bestFit="1" customWidth="1"/>
    <col min="46" max="46" width="11" style="7" bestFit="1" customWidth="1"/>
    <col min="47" max="47" width="14.28515625" style="7" bestFit="1" customWidth="1"/>
    <col min="48" max="48" width="10.7109375" style="7" customWidth="1"/>
    <col min="49" max="49" width="13.85546875" style="7" bestFit="1" customWidth="1"/>
    <col min="50" max="50" width="11.7109375" style="7" bestFit="1" customWidth="1"/>
    <col min="51" max="51" width="15.28515625" style="7" bestFit="1" customWidth="1"/>
    <col min="52" max="54" width="12.28515625" style="7" bestFit="1" customWidth="1"/>
    <col min="55" max="55" width="12.5703125" style="7" bestFit="1" customWidth="1"/>
    <col min="56" max="58" width="14.28515625" style="7" bestFit="1" customWidth="1"/>
    <col min="59" max="59" width="13.7109375" style="7" bestFit="1" customWidth="1"/>
    <col min="60" max="60" width="14" style="7" bestFit="1" customWidth="1"/>
    <col min="61" max="61" width="12.85546875" style="7" bestFit="1" customWidth="1"/>
    <col min="62" max="62" width="15.28515625" style="7" bestFit="1" customWidth="1"/>
    <col min="63" max="63" width="12.28515625" style="7" bestFit="1" customWidth="1"/>
    <col min="64" max="64" width="10.85546875" style="7" bestFit="1" customWidth="1"/>
    <col min="65" max="65" width="12.28515625" style="7" bestFit="1" customWidth="1"/>
    <col min="66" max="66" width="12.5703125" style="7" bestFit="1" customWidth="1"/>
    <col min="67" max="16384" width="9.140625" style="7"/>
  </cols>
  <sheetData>
    <row r="1" spans="1:68">
      <c r="A1" s="38" t="s">
        <v>24</v>
      </c>
      <c r="B1" s="421" t="s">
        <v>25</v>
      </c>
      <c r="C1" s="421"/>
      <c r="D1" s="421"/>
      <c r="E1" s="421"/>
      <c r="F1" s="421"/>
      <c r="G1" s="421"/>
      <c r="H1" s="421"/>
      <c r="I1" s="421"/>
      <c r="J1" s="421"/>
      <c r="K1" s="421"/>
      <c r="L1" s="421"/>
      <c r="M1" s="421"/>
      <c r="N1" s="421"/>
      <c r="O1" s="421"/>
      <c r="P1" s="421"/>
      <c r="Q1" s="421"/>
      <c r="R1" s="421"/>
      <c r="S1" s="421"/>
    </row>
    <row r="2" spans="1:68">
      <c r="A2" s="39" t="s">
        <v>136</v>
      </c>
      <c r="B2" s="421"/>
      <c r="C2" s="421"/>
      <c r="D2" s="421"/>
      <c r="E2" s="421"/>
      <c r="F2" s="421"/>
      <c r="G2" s="421"/>
      <c r="H2" s="421"/>
      <c r="I2" s="421"/>
      <c r="J2" s="421"/>
      <c r="K2" s="421"/>
      <c r="L2" s="421"/>
      <c r="M2" s="421"/>
      <c r="N2" s="421"/>
      <c r="O2" s="421"/>
      <c r="P2" s="421"/>
      <c r="Q2" s="421"/>
      <c r="R2" s="421"/>
      <c r="S2" s="421"/>
    </row>
    <row r="3" spans="1:68">
      <c r="B3" s="421"/>
      <c r="C3" s="421"/>
      <c r="D3" s="421"/>
      <c r="E3" s="421"/>
      <c r="F3" s="421"/>
      <c r="G3" s="421"/>
      <c r="H3" s="421"/>
      <c r="I3" s="421"/>
      <c r="J3" s="421"/>
      <c r="K3" s="421"/>
      <c r="L3" s="421"/>
      <c r="M3" s="421"/>
      <c r="N3" s="421"/>
      <c r="O3" s="421"/>
      <c r="P3" s="421"/>
      <c r="Q3" s="421"/>
      <c r="R3" s="421"/>
      <c r="S3" s="421"/>
    </row>
    <row r="4" spans="1:68">
      <c r="B4" s="421"/>
      <c r="C4" s="421"/>
      <c r="D4" s="421"/>
      <c r="E4" s="421"/>
      <c r="F4" s="421"/>
      <c r="G4" s="421"/>
      <c r="H4" s="421"/>
      <c r="I4" s="421"/>
      <c r="J4" s="421"/>
      <c r="K4" s="421"/>
      <c r="L4" s="421"/>
      <c r="M4" s="421"/>
      <c r="N4" s="421"/>
      <c r="O4" s="421"/>
      <c r="P4" s="421"/>
      <c r="Q4" s="421"/>
      <c r="R4" s="421"/>
      <c r="S4" s="421"/>
    </row>
    <row r="5" spans="1:68">
      <c r="B5" s="421"/>
      <c r="C5" s="421"/>
      <c r="D5" s="421"/>
      <c r="E5" s="421"/>
      <c r="F5" s="421"/>
      <c r="G5" s="421"/>
      <c r="H5" s="421"/>
      <c r="I5" s="421"/>
      <c r="J5" s="421"/>
      <c r="K5" s="421"/>
      <c r="L5" s="421"/>
      <c r="M5" s="421"/>
      <c r="N5" s="421"/>
      <c r="O5" s="421"/>
      <c r="P5" s="421"/>
      <c r="Q5" s="421"/>
      <c r="R5" s="421"/>
      <c r="S5" s="421"/>
    </row>
    <row r="6" spans="1:68">
      <c r="B6" s="421"/>
      <c r="C6" s="421"/>
      <c r="D6" s="421"/>
      <c r="E6" s="421"/>
      <c r="F6" s="421"/>
      <c r="G6" s="421"/>
      <c r="H6" s="421"/>
      <c r="I6" s="421"/>
      <c r="J6" s="421"/>
      <c r="K6" s="421"/>
      <c r="L6" s="421"/>
      <c r="M6" s="421"/>
      <c r="N6" s="421"/>
      <c r="O6" s="421"/>
      <c r="P6" s="421"/>
      <c r="Q6" s="421"/>
      <c r="R6" s="421"/>
      <c r="S6" s="421"/>
    </row>
    <row r="7" spans="1:68">
      <c r="A7" s="440"/>
      <c r="B7" s="440" t="s">
        <v>23</v>
      </c>
      <c r="C7" s="47" t="s">
        <v>26</v>
      </c>
      <c r="D7" s="47" t="s">
        <v>130</v>
      </c>
    </row>
    <row r="8" spans="1:68">
      <c r="A8" s="440" t="s">
        <v>636</v>
      </c>
      <c r="B8" s="440" t="s">
        <v>27</v>
      </c>
      <c r="C8" s="47" t="s">
        <v>604</v>
      </c>
      <c r="D8" s="47" t="s">
        <v>108</v>
      </c>
    </row>
    <row r="9" spans="1:68">
      <c r="A9" s="440" t="str">
        <f>INDEX([2]ACHIEV!$A$19:$B$100,MATCH(CONCATENATE($C$8," - ",$C$7),[2]ACHIEV!$B$19:$B$100,0),1)</f>
        <v>Lighting</v>
      </c>
      <c r="B9" s="441" t="s">
        <v>28</v>
      </c>
      <c r="C9" s="47">
        <v>2035</v>
      </c>
      <c r="D9" s="48"/>
    </row>
    <row r="10" spans="1:68">
      <c r="A10" s="440"/>
      <c r="B10" s="440" t="s">
        <v>29</v>
      </c>
      <c r="C10" s="47"/>
      <c r="D10" s="49"/>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0" t="str">
        <f>CONCATENATE("# OF EXISTING HOMES FOR MEASURE -",$C$8)</f>
        <v># OF EXISTING HOMES FOR MEASURE -Lighting</v>
      </c>
      <c r="C11" s="400" t="s">
        <v>622</v>
      </c>
      <c r="E11" s="52">
        <v>2016</v>
      </c>
      <c r="F11" s="53">
        <v>2017</v>
      </c>
      <c r="G11" s="53">
        <v>2018</v>
      </c>
      <c r="H11" s="53">
        <v>2019</v>
      </c>
      <c r="I11" s="53">
        <v>2020</v>
      </c>
      <c r="J11" s="53">
        <v>2021</v>
      </c>
      <c r="K11" s="53">
        <v>2022</v>
      </c>
      <c r="L11" s="53">
        <v>2023</v>
      </c>
      <c r="M11" s="53">
        <v>2024</v>
      </c>
      <c r="N11" s="53">
        <v>2025</v>
      </c>
      <c r="O11" s="53">
        <v>2026</v>
      </c>
      <c r="P11" s="53">
        <v>2027</v>
      </c>
      <c r="Q11" s="53">
        <v>2028</v>
      </c>
      <c r="R11" s="53">
        <v>2029</v>
      </c>
      <c r="S11" s="53">
        <v>2030</v>
      </c>
      <c r="T11" s="53">
        <v>2031</v>
      </c>
      <c r="U11" s="53">
        <v>2032</v>
      </c>
      <c r="V11" s="53">
        <v>2033</v>
      </c>
      <c r="W11" s="53">
        <v>2034</v>
      </c>
      <c r="X11" s="53">
        <v>2035</v>
      </c>
      <c r="Y11" s="54"/>
      <c r="AA11" s="40"/>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55" t="str">
        <f>CONCATENATE("FARM_",E11)</f>
        <v>FARM_2016</v>
      </c>
      <c r="F12" s="55" t="str">
        <f>CONCATENATE("FARM_",F11)</f>
        <v>FARM_2017</v>
      </c>
      <c r="G12" s="55" t="str">
        <f t="shared" ref="G12:X12" si="0">CONCATENATE("FARM_",G11)</f>
        <v>FARM_2018</v>
      </c>
      <c r="H12" s="55" t="str">
        <f t="shared" si="0"/>
        <v>FARM_2019</v>
      </c>
      <c r="I12" s="55" t="str">
        <f t="shared" si="0"/>
        <v>FARM_2020</v>
      </c>
      <c r="J12" s="55" t="str">
        <f t="shared" si="0"/>
        <v>FARM_2021</v>
      </c>
      <c r="K12" s="55" t="str">
        <f t="shared" si="0"/>
        <v>FARM_2022</v>
      </c>
      <c r="L12" s="55" t="str">
        <f t="shared" si="0"/>
        <v>FARM_2023</v>
      </c>
      <c r="M12" s="55" t="str">
        <f t="shared" si="0"/>
        <v>FARM_2024</v>
      </c>
      <c r="N12" s="55" t="str">
        <f t="shared" si="0"/>
        <v>FARM_2025</v>
      </c>
      <c r="O12" s="55" t="str">
        <f t="shared" si="0"/>
        <v>FARM_2026</v>
      </c>
      <c r="P12" s="55" t="str">
        <f t="shared" si="0"/>
        <v>FARM_2027</v>
      </c>
      <c r="Q12" s="55" t="str">
        <f t="shared" si="0"/>
        <v>FARM_2028</v>
      </c>
      <c r="R12" s="55" t="str">
        <f t="shared" si="0"/>
        <v>FARM_2029</v>
      </c>
      <c r="S12" s="55" t="str">
        <f t="shared" si="0"/>
        <v>FARM_2030</v>
      </c>
      <c r="T12" s="55" t="str">
        <f t="shared" si="0"/>
        <v>FARM_2031</v>
      </c>
      <c r="U12" s="55" t="str">
        <f t="shared" si="0"/>
        <v>FARM_2032</v>
      </c>
      <c r="V12" s="55" t="str">
        <f t="shared" si="0"/>
        <v>FARM_2033</v>
      </c>
      <c r="W12" s="55" t="str">
        <f t="shared" si="0"/>
        <v>FARM_2034</v>
      </c>
      <c r="X12" s="55" t="str">
        <f t="shared" si="0"/>
        <v>FARM_2035</v>
      </c>
      <c r="Y12" s="57"/>
      <c r="AA12" s="38"/>
    </row>
    <row r="13" spans="1:68">
      <c r="D13" s="7" t="s">
        <v>133</v>
      </c>
      <c r="E13" s="32">
        <v>24000</v>
      </c>
      <c r="F13" s="32">
        <f t="shared" ref="F13:X13" si="1">E13*(1+VLOOKUP($D13,AgBase,F$11-$E$11+33,FALSE))</f>
        <v>24003.000984050726</v>
      </c>
      <c r="G13" s="32">
        <f t="shared" si="1"/>
        <v>24007.171716581652</v>
      </c>
      <c r="H13" s="32">
        <f t="shared" si="1"/>
        <v>24021.86672912291</v>
      </c>
      <c r="I13" s="32">
        <f t="shared" si="1"/>
        <v>24043.036596711816</v>
      </c>
      <c r="J13" s="32">
        <f t="shared" si="1"/>
        <v>24069.969539405345</v>
      </c>
      <c r="K13" s="32">
        <f t="shared" si="1"/>
        <v>24100.581407403461</v>
      </c>
      <c r="L13" s="32">
        <f t="shared" si="1"/>
        <v>24135.29743334556</v>
      </c>
      <c r="M13" s="32">
        <f t="shared" si="1"/>
        <v>24173.610761178792</v>
      </c>
      <c r="N13" s="32">
        <f t="shared" si="1"/>
        <v>24215.200579683806</v>
      </c>
      <c r="O13" s="32">
        <f t="shared" si="1"/>
        <v>24259.487881198755</v>
      </c>
      <c r="P13" s="32">
        <f t="shared" si="1"/>
        <v>24306.496800255962</v>
      </c>
      <c r="Q13" s="32">
        <f t="shared" si="1"/>
        <v>24355.878168495808</v>
      </c>
      <c r="R13" s="32">
        <f t="shared" si="1"/>
        <v>24407.709413682238</v>
      </c>
      <c r="S13" s="32">
        <f t="shared" si="1"/>
        <v>24461.715309503044</v>
      </c>
      <c r="T13" s="32">
        <f t="shared" si="1"/>
        <v>24516.945521736092</v>
      </c>
      <c r="U13" s="32">
        <f t="shared" si="1"/>
        <v>24574.47340705635</v>
      </c>
      <c r="V13" s="32">
        <f t="shared" si="1"/>
        <v>24633.807662362186</v>
      </c>
      <c r="W13" s="32">
        <f t="shared" si="1"/>
        <v>24695.01852092459</v>
      </c>
      <c r="X13" s="32">
        <f t="shared" si="1"/>
        <v>24757.605862327167</v>
      </c>
      <c r="Y13" s="32"/>
      <c r="AA13" s="41"/>
    </row>
    <row r="14" spans="1:68">
      <c r="D14" s="386" t="s">
        <v>132</v>
      </c>
      <c r="E14" s="32">
        <f>28000*50%</f>
        <v>14000</v>
      </c>
      <c r="F14" s="32">
        <f t="shared" ref="F14:X14" si="2">E14*(1+VLOOKUP($D14,AgBase,F$11-$E$11+33,FALSE))</f>
        <v>14151.875392197759</v>
      </c>
      <c r="G14" s="32">
        <f t="shared" si="2"/>
        <v>14301.781630838945</v>
      </c>
      <c r="H14" s="32">
        <f t="shared" si="2"/>
        <v>14455.558850365054</v>
      </c>
      <c r="I14" s="32">
        <f t="shared" si="2"/>
        <v>14611.07895595925</v>
      </c>
      <c r="J14" s="32">
        <f t="shared" si="2"/>
        <v>14722.952182899051</v>
      </c>
      <c r="K14" s="32">
        <f t="shared" si="2"/>
        <v>14835.629981709388</v>
      </c>
      <c r="L14" s="32">
        <f t="shared" si="2"/>
        <v>14953.181104495367</v>
      </c>
      <c r="M14" s="32">
        <f t="shared" si="2"/>
        <v>15074.988302966109</v>
      </c>
      <c r="N14" s="32">
        <f t="shared" si="2"/>
        <v>15200.582318180474</v>
      </c>
      <c r="O14" s="32">
        <f t="shared" si="2"/>
        <v>15329.35189986015</v>
      </c>
      <c r="P14" s="32">
        <f t="shared" si="2"/>
        <v>15461.09061015364</v>
      </c>
      <c r="Q14" s="32">
        <f t="shared" si="2"/>
        <v>15595.394970536818</v>
      </c>
      <c r="R14" s="32">
        <f t="shared" si="2"/>
        <v>15732.136642332496</v>
      </c>
      <c r="S14" s="32">
        <f t="shared" si="2"/>
        <v>15871.007151012422</v>
      </c>
      <c r="T14" s="32">
        <f t="shared" si="2"/>
        <v>16011.236333682882</v>
      </c>
      <c r="U14" s="32">
        <f t="shared" si="2"/>
        <v>16153.435367318258</v>
      </c>
      <c r="V14" s="32">
        <f t="shared" si="2"/>
        <v>16297.167109185577</v>
      </c>
      <c r="W14" s="32">
        <f t="shared" si="2"/>
        <v>16442.405487125026</v>
      </c>
      <c r="X14" s="32">
        <f t="shared" si="2"/>
        <v>16588.767981999008</v>
      </c>
      <c r="Y14" s="32"/>
      <c r="AA14" s="41"/>
    </row>
    <row r="15" spans="1:68">
      <c r="D15" s="386" t="s">
        <v>134</v>
      </c>
      <c r="E15" s="32">
        <v>35000</v>
      </c>
      <c r="F15" s="32">
        <f t="shared" ref="F15:X15" si="3">E15*(1+VLOOKUP($D15,AgBase,F$11-$E$11+33,FALSE))</f>
        <v>35353.879493831912</v>
      </c>
      <c r="G15" s="32">
        <f t="shared" si="3"/>
        <v>35709.51185730908</v>
      </c>
      <c r="H15" s="32">
        <f t="shared" si="3"/>
        <v>36108.632288092813</v>
      </c>
      <c r="I15" s="32">
        <f t="shared" si="3"/>
        <v>36823.69523873795</v>
      </c>
      <c r="J15" s="32">
        <f t="shared" si="3"/>
        <v>37268.482325650817</v>
      </c>
      <c r="K15" s="32">
        <f t="shared" si="3"/>
        <v>37718.496172138446</v>
      </c>
      <c r="L15" s="32">
        <f t="shared" si="3"/>
        <v>38202.160790321541</v>
      </c>
      <c r="M15" s="32">
        <f t="shared" si="3"/>
        <v>38663.056341754389</v>
      </c>
      <c r="N15" s="32">
        <f t="shared" si="3"/>
        <v>39488.892668416593</v>
      </c>
      <c r="O15" s="32">
        <f t="shared" si="3"/>
        <v>39957.399935219095</v>
      </c>
      <c r="P15" s="32">
        <f t="shared" si="3"/>
        <v>40429.368996394238</v>
      </c>
      <c r="Q15" s="32">
        <f t="shared" si="3"/>
        <v>40876.536546204465</v>
      </c>
      <c r="R15" s="32">
        <f t="shared" si="3"/>
        <v>41354.35060670528</v>
      </c>
      <c r="S15" s="32">
        <f t="shared" si="3"/>
        <v>42165.855489883157</v>
      </c>
      <c r="T15" s="32">
        <f t="shared" si="3"/>
        <v>42674.129257020599</v>
      </c>
      <c r="U15" s="32">
        <f t="shared" si="3"/>
        <v>43212.49449951273</v>
      </c>
      <c r="V15" s="32">
        <f t="shared" si="3"/>
        <v>43752.498624073094</v>
      </c>
      <c r="W15" s="32">
        <f t="shared" si="3"/>
        <v>44266.739936739672</v>
      </c>
      <c r="X15" s="32">
        <f t="shared" si="3"/>
        <v>45193.953943796005</v>
      </c>
      <c r="Y15" s="32"/>
      <c r="AA15" s="41"/>
    </row>
    <row r="16" spans="1:68">
      <c r="D16" s="386" t="s">
        <v>135</v>
      </c>
      <c r="E16" s="32">
        <v>37000</v>
      </c>
      <c r="F16" s="32">
        <f t="shared" ref="F16:X16" si="4">E16*(1+VLOOKUP($D16,AgBase,F$11-$E$11+33,FALSE))</f>
        <v>37394.49852163015</v>
      </c>
      <c r="G16" s="32">
        <f t="shared" si="4"/>
        <v>37803.267466509729</v>
      </c>
      <c r="H16" s="32">
        <f t="shared" si="4"/>
        <v>38225.672161675189</v>
      </c>
      <c r="I16" s="32">
        <f t="shared" si="4"/>
        <v>38918.107241848396</v>
      </c>
      <c r="J16" s="32">
        <f t="shared" si="4"/>
        <v>39400.691351798378</v>
      </c>
      <c r="K16" s="32">
        <f t="shared" si="4"/>
        <v>39871.130206869333</v>
      </c>
      <c r="L16" s="32">
        <f t="shared" si="4"/>
        <v>40361.078012536476</v>
      </c>
      <c r="M16" s="32">
        <f t="shared" si="4"/>
        <v>40839.043030195171</v>
      </c>
      <c r="N16" s="32">
        <f t="shared" si="4"/>
        <v>41642.843520895309</v>
      </c>
      <c r="O16" s="32">
        <f t="shared" si="4"/>
        <v>42125.577148537363</v>
      </c>
      <c r="P16" s="32">
        <f t="shared" si="4"/>
        <v>42595.186511998305</v>
      </c>
      <c r="Q16" s="32">
        <f t="shared" si="4"/>
        <v>43081.878474912752</v>
      </c>
      <c r="R16" s="32">
        <f t="shared" si="4"/>
        <v>43555.16780781823</v>
      </c>
      <c r="S16" s="32">
        <f t="shared" si="4"/>
        <v>44336.121914043157</v>
      </c>
      <c r="T16" s="32">
        <f t="shared" si="4"/>
        <v>44856.466399070669</v>
      </c>
      <c r="U16" s="32">
        <f t="shared" si="4"/>
        <v>45393.940867299076</v>
      </c>
      <c r="V16" s="32">
        <f t="shared" si="4"/>
        <v>45932.432126010084</v>
      </c>
      <c r="W16" s="32">
        <f t="shared" si="4"/>
        <v>46456.89016717206</v>
      </c>
      <c r="X16" s="32">
        <f t="shared" si="4"/>
        <v>47332.052389814584</v>
      </c>
      <c r="Y16" s="32"/>
      <c r="AA16" s="41"/>
    </row>
    <row r="17" spans="1:27">
      <c r="E17" s="32"/>
      <c r="F17" s="32"/>
      <c r="G17" s="32"/>
      <c r="H17" s="32"/>
      <c r="I17" s="32"/>
      <c r="J17" s="32"/>
      <c r="K17" s="32"/>
      <c r="L17" s="32"/>
      <c r="M17" s="32"/>
      <c r="N17" s="32"/>
      <c r="O17" s="32"/>
      <c r="P17" s="32"/>
      <c r="Q17" s="32"/>
      <c r="R17" s="32"/>
      <c r="S17" s="32"/>
      <c r="T17" s="32"/>
      <c r="U17" s="32"/>
      <c r="V17" s="32"/>
      <c r="W17" s="32"/>
      <c r="X17" s="32"/>
      <c r="Y17" s="32"/>
    </row>
    <row r="18" spans="1:27">
      <c r="B18" s="386" t="s">
        <v>605</v>
      </c>
      <c r="C18" s="7" t="s">
        <v>30</v>
      </c>
      <c r="E18" s="32">
        <f>SUM(E13:E16)</f>
        <v>110000</v>
      </c>
      <c r="F18" s="32">
        <f t="shared" ref="F18:X18" si="5">SUM(F13:F16)</f>
        <v>110903.25439171056</v>
      </c>
      <c r="G18" s="32">
        <f t="shared" si="5"/>
        <v>111821.7326712394</v>
      </c>
      <c r="H18" s="32">
        <f t="shared" si="5"/>
        <v>112811.73002925597</v>
      </c>
      <c r="I18" s="32">
        <f t="shared" si="5"/>
        <v>114395.91803325742</v>
      </c>
      <c r="J18" s="32">
        <f t="shared" si="5"/>
        <v>115462.09539975358</v>
      </c>
      <c r="K18" s="32">
        <f t="shared" si="5"/>
        <v>116525.83776812063</v>
      </c>
      <c r="L18" s="32">
        <f t="shared" si="5"/>
        <v>117651.71734069896</v>
      </c>
      <c r="M18" s="32">
        <f t="shared" si="5"/>
        <v>118750.69843609446</v>
      </c>
      <c r="N18" s="32">
        <f t="shared" si="5"/>
        <v>120547.51908717619</v>
      </c>
      <c r="O18" s="32">
        <f t="shared" si="5"/>
        <v>121671.81686481537</v>
      </c>
      <c r="P18" s="32">
        <f t="shared" si="5"/>
        <v>122792.14291880213</v>
      </c>
      <c r="Q18" s="32">
        <f t="shared" si="5"/>
        <v>123909.68816014985</v>
      </c>
      <c r="R18" s="32">
        <f t="shared" si="5"/>
        <v>125049.36447053825</v>
      </c>
      <c r="S18" s="32">
        <f t="shared" si="5"/>
        <v>126834.69986444176</v>
      </c>
      <c r="T18" s="32">
        <f t="shared" si="5"/>
        <v>128058.77751151024</v>
      </c>
      <c r="U18" s="32">
        <f t="shared" si="5"/>
        <v>129334.34414118642</v>
      </c>
      <c r="V18" s="32">
        <f t="shared" si="5"/>
        <v>130615.90552163094</v>
      </c>
      <c r="W18" s="32">
        <f t="shared" si="5"/>
        <v>131861.05411196136</v>
      </c>
      <c r="X18" s="32">
        <f t="shared" si="5"/>
        <v>133872.38017793675</v>
      </c>
      <c r="Y18" s="32"/>
      <c r="AA18" s="41"/>
    </row>
    <row r="19" spans="1:27">
      <c r="D19" s="32"/>
      <c r="E19" s="32"/>
      <c r="F19" s="32"/>
      <c r="G19" s="32"/>
      <c r="H19" s="32"/>
      <c r="I19" s="32"/>
      <c r="J19" s="32"/>
      <c r="K19" s="32"/>
      <c r="L19" s="32"/>
      <c r="M19" s="32"/>
      <c r="N19" s="32"/>
      <c r="O19" s="32"/>
      <c r="P19" s="32"/>
      <c r="Q19" s="32"/>
      <c r="R19" s="32"/>
      <c r="S19" s="32"/>
      <c r="T19" s="32"/>
      <c r="U19" s="32"/>
      <c r="V19" s="32"/>
      <c r="W19" s="32"/>
      <c r="X19" s="32"/>
    </row>
    <row r="20" spans="1:27">
      <c r="D20" s="32"/>
      <c r="E20" s="32"/>
      <c r="F20" s="391"/>
      <c r="G20" s="32"/>
      <c r="H20" s="32"/>
      <c r="I20" s="32"/>
      <c r="J20" s="32"/>
      <c r="K20" s="32"/>
      <c r="L20" s="32"/>
      <c r="M20" s="32"/>
      <c r="N20" s="32"/>
      <c r="O20" s="32"/>
      <c r="P20" s="32"/>
      <c r="Q20" s="32"/>
      <c r="R20" s="32"/>
      <c r="S20" s="32"/>
      <c r="T20" s="32"/>
      <c r="U20" s="32"/>
      <c r="V20" s="32"/>
      <c r="W20" s="32"/>
      <c r="X20" s="32"/>
    </row>
    <row r="21" spans="1:27" ht="15">
      <c r="A21" s="50" t="str">
        <f>CONCATENATE("# ACRES APPLICABLE BY YEAR FOR MEASURE - ",C22)</f>
        <v># ACRES APPLICABLE BY YEAR FOR MEASURE - Lighting - Retro</v>
      </c>
      <c r="B21" s="50"/>
      <c r="D21" s="32"/>
      <c r="E21" s="32"/>
      <c r="F21" s="32"/>
      <c r="G21" s="32"/>
      <c r="H21" s="32"/>
      <c r="I21" s="32"/>
      <c r="J21" s="32"/>
      <c r="K21" s="32"/>
      <c r="L21" s="32"/>
      <c r="M21" s="32"/>
      <c r="N21" s="32"/>
      <c r="O21" s="32"/>
      <c r="P21" s="32"/>
      <c r="Q21" s="32"/>
      <c r="R21" s="32"/>
      <c r="S21" s="32"/>
      <c r="T21" s="32"/>
      <c r="U21" s="32"/>
      <c r="V21" s="32"/>
      <c r="W21" s="32"/>
      <c r="X21" s="32"/>
      <c r="AA21" s="40">
        <v>0.85</v>
      </c>
    </row>
    <row r="22" spans="1:27" ht="15">
      <c r="A22" s="58" t="s">
        <v>31</v>
      </c>
      <c r="B22" s="58" t="s">
        <v>615</v>
      </c>
      <c r="C22" s="58" t="str">
        <f>CONCATENATE(C8," - ",C7)</f>
        <v>Lighting - Retro</v>
      </c>
      <c r="D22" s="7">
        <v>1</v>
      </c>
      <c r="E22" s="7">
        <v>2</v>
      </c>
      <c r="F22" s="7">
        <v>3</v>
      </c>
      <c r="G22" s="7">
        <v>4</v>
      </c>
      <c r="H22" s="386">
        <v>5</v>
      </c>
      <c r="I22" s="386">
        <v>6</v>
      </c>
      <c r="J22" s="386">
        <v>7</v>
      </c>
      <c r="K22" s="386">
        <v>8</v>
      </c>
      <c r="L22" s="386">
        <v>9</v>
      </c>
      <c r="M22" s="386">
        <v>10</v>
      </c>
      <c r="N22" s="386">
        <v>11</v>
      </c>
      <c r="O22" s="386">
        <v>12</v>
      </c>
      <c r="P22" s="386">
        <v>13</v>
      </c>
      <c r="Q22" s="386">
        <v>14</v>
      </c>
      <c r="R22" s="386">
        <v>15</v>
      </c>
      <c r="S22" s="386">
        <v>16</v>
      </c>
      <c r="T22" s="386">
        <v>17</v>
      </c>
      <c r="U22" s="386">
        <v>18</v>
      </c>
      <c r="V22" s="386">
        <v>19</v>
      </c>
      <c r="W22" s="386">
        <v>20</v>
      </c>
      <c r="X22" s="386">
        <v>21</v>
      </c>
      <c r="AA22" s="38" t="s">
        <v>32</v>
      </c>
    </row>
    <row r="23" spans="1:27">
      <c r="A23" s="51">
        <f>INDEX([2]APPLIC!$B$8:$F$67,MATCH($C23,[2]APPLIC!$B$9:$B$67,0)+1,MATCH($D23,[2]APPLIC!$C$8:$F$8,0)+1)</f>
        <v>0.18000000000000002</v>
      </c>
      <c r="B23" s="76">
        <v>1.3</v>
      </c>
      <c r="C23" t="s">
        <v>601</v>
      </c>
      <c r="D23" s="7" t="s">
        <v>133</v>
      </c>
      <c r="E23" s="32">
        <f>$A23*VLOOKUP($D23,$D$13:$X$16,E$22,FALSE)*$B23</f>
        <v>5616.0000000000018</v>
      </c>
      <c r="F23" s="32">
        <f t="shared" ref="F23:U38" si="6">$A23*VLOOKUP($D23,$D$13:$X$16,F$22,FALSE)*$B23</f>
        <v>5616.7022302678706</v>
      </c>
      <c r="G23" s="32">
        <f t="shared" si="6"/>
        <v>5617.6781816801076</v>
      </c>
      <c r="H23" s="32">
        <f t="shared" si="6"/>
        <v>5621.116814614762</v>
      </c>
      <c r="I23" s="32">
        <f t="shared" si="6"/>
        <v>5626.0705636305656</v>
      </c>
      <c r="J23" s="32">
        <f t="shared" si="6"/>
        <v>5632.3728722208516</v>
      </c>
      <c r="K23" s="32">
        <f t="shared" si="6"/>
        <v>5639.5360493324106</v>
      </c>
      <c r="L23" s="32">
        <f t="shared" si="6"/>
        <v>5647.6595994028621</v>
      </c>
      <c r="M23" s="32">
        <f t="shared" si="6"/>
        <v>5656.6249181158382</v>
      </c>
      <c r="N23" s="32">
        <f t="shared" si="6"/>
        <v>5666.3569356460112</v>
      </c>
      <c r="O23" s="32">
        <f t="shared" si="6"/>
        <v>5676.7201642005093</v>
      </c>
      <c r="P23" s="32">
        <f t="shared" si="6"/>
        <v>5687.720251259896</v>
      </c>
      <c r="Q23" s="32">
        <f t="shared" si="6"/>
        <v>5699.2754914280204</v>
      </c>
      <c r="R23" s="32">
        <f t="shared" si="6"/>
        <v>5711.4040028016452</v>
      </c>
      <c r="S23" s="32">
        <f t="shared" si="6"/>
        <v>5724.041382423713</v>
      </c>
      <c r="T23" s="32">
        <f t="shared" si="6"/>
        <v>5736.9652520862464</v>
      </c>
      <c r="U23" s="32">
        <f t="shared" si="6"/>
        <v>5750.4267772511866</v>
      </c>
      <c r="V23" s="32">
        <f t="shared" ref="V23:X42" si="7">$A23*VLOOKUP($D23,$D$13:$X$16,V$22,FALSE)*$B23</f>
        <v>5764.3109929927523</v>
      </c>
      <c r="W23" s="32">
        <f t="shared" si="7"/>
        <v>5778.6343338963552</v>
      </c>
      <c r="X23" s="32">
        <f t="shared" si="7"/>
        <v>5793.2797717845588</v>
      </c>
      <c r="Y23" s="32"/>
      <c r="Z23" s="7" t="str">
        <f>C23&amp;D23</f>
        <v>35-44W LED fixture &amp; NEW Photocell_Replacing_100W HID fixtureIdaho</v>
      </c>
      <c r="AA23" s="41">
        <f>VLOOKUP(D23,$D$13:$X$16,$X$22,FALSE)*$AA$21*$A23*B23</f>
        <v>4924.2878060168741</v>
      </c>
    </row>
    <row r="24" spans="1:27">
      <c r="A24" s="51">
        <f>INDEX([2]APPLIC!$B$8:$F$67,MATCH($C24,[2]APPLIC!$B$9:$B$67,0)+1,MATCH($D24,[2]APPLIC!$C$8:$F$8,0)+1)</f>
        <v>0.18000000000000002</v>
      </c>
      <c r="B24" s="76">
        <v>1.3</v>
      </c>
      <c r="C24" t="s">
        <v>600</v>
      </c>
      <c r="D24" s="7" t="s">
        <v>133</v>
      </c>
      <c r="E24" s="32">
        <f t="shared" ref="E24:T39" si="8">$A24*VLOOKUP($D24,$D$13:$X$16,E$22,FALSE)*$B24</f>
        <v>5616.0000000000018</v>
      </c>
      <c r="F24" s="32">
        <f t="shared" si="6"/>
        <v>5616.7022302678706</v>
      </c>
      <c r="G24" s="32">
        <f t="shared" si="6"/>
        <v>5617.6781816801076</v>
      </c>
      <c r="H24" s="32">
        <f t="shared" si="6"/>
        <v>5621.116814614762</v>
      </c>
      <c r="I24" s="32">
        <f t="shared" si="6"/>
        <v>5626.0705636305656</v>
      </c>
      <c r="J24" s="32">
        <f t="shared" si="6"/>
        <v>5632.3728722208516</v>
      </c>
      <c r="K24" s="32">
        <f t="shared" si="6"/>
        <v>5639.5360493324106</v>
      </c>
      <c r="L24" s="32">
        <f t="shared" si="6"/>
        <v>5647.6595994028621</v>
      </c>
      <c r="M24" s="32">
        <f t="shared" si="6"/>
        <v>5656.6249181158382</v>
      </c>
      <c r="N24" s="32">
        <f t="shared" si="6"/>
        <v>5666.3569356460112</v>
      </c>
      <c r="O24" s="32">
        <f t="shared" si="6"/>
        <v>5676.7201642005093</v>
      </c>
      <c r="P24" s="32">
        <f t="shared" si="6"/>
        <v>5687.720251259896</v>
      </c>
      <c r="Q24" s="32">
        <f t="shared" si="6"/>
        <v>5699.2754914280204</v>
      </c>
      <c r="R24" s="32">
        <f t="shared" si="6"/>
        <v>5711.4040028016452</v>
      </c>
      <c r="S24" s="32">
        <f t="shared" si="6"/>
        <v>5724.041382423713</v>
      </c>
      <c r="T24" s="32">
        <f t="shared" si="6"/>
        <v>5736.9652520862464</v>
      </c>
      <c r="U24" s="32">
        <f t="shared" si="6"/>
        <v>5750.4267772511866</v>
      </c>
      <c r="V24" s="32">
        <f t="shared" si="7"/>
        <v>5764.3109929927523</v>
      </c>
      <c r="W24" s="32">
        <f t="shared" si="7"/>
        <v>5778.6343338963552</v>
      </c>
      <c r="X24" s="32">
        <f t="shared" si="7"/>
        <v>5793.2797717845588</v>
      </c>
      <c r="Y24" s="32"/>
      <c r="Z24" s="7" t="str">
        <f t="shared" ref="Z24:Z34" si="9">C24&amp;D24</f>
        <v>35-44W LED fixture &amp; NEW Photocell_Replacing_150W HID fixtureIdaho</v>
      </c>
      <c r="AA24" s="41">
        <f t="shared" ref="AA24:AA42" si="10">VLOOKUP(D24,$D$13:$X$16,$X$22,FALSE)*$AA$21*$A24*B24</f>
        <v>4924.2878060168741</v>
      </c>
    </row>
    <row r="25" spans="1:27">
      <c r="A25" s="51">
        <f>INDEX([2]APPLIC!$B$8:$F$67,MATCH($C25,[2]APPLIC!$B$9:$B$67,0)+1,MATCH($D25,[2]APPLIC!$C$8:$F$8,0)+1)</f>
        <v>0.18000000000000002</v>
      </c>
      <c r="B25" s="76">
        <v>1.3</v>
      </c>
      <c r="C25" t="s">
        <v>599</v>
      </c>
      <c r="D25" s="7" t="s">
        <v>133</v>
      </c>
      <c r="E25" s="32">
        <f t="shared" si="8"/>
        <v>5616.0000000000018</v>
      </c>
      <c r="F25" s="32">
        <f t="shared" si="6"/>
        <v>5616.7022302678706</v>
      </c>
      <c r="G25" s="32">
        <f t="shared" si="6"/>
        <v>5617.6781816801076</v>
      </c>
      <c r="H25" s="32">
        <f t="shared" si="6"/>
        <v>5621.116814614762</v>
      </c>
      <c r="I25" s="32">
        <f t="shared" si="6"/>
        <v>5626.0705636305656</v>
      </c>
      <c r="J25" s="32">
        <f t="shared" si="6"/>
        <v>5632.3728722208516</v>
      </c>
      <c r="K25" s="32">
        <f t="shared" si="6"/>
        <v>5639.5360493324106</v>
      </c>
      <c r="L25" s="32">
        <f t="shared" si="6"/>
        <v>5647.6595994028621</v>
      </c>
      <c r="M25" s="32">
        <f t="shared" si="6"/>
        <v>5656.6249181158382</v>
      </c>
      <c r="N25" s="32">
        <f t="shared" si="6"/>
        <v>5666.3569356460112</v>
      </c>
      <c r="O25" s="32">
        <f t="shared" si="6"/>
        <v>5676.7201642005093</v>
      </c>
      <c r="P25" s="32">
        <f t="shared" si="6"/>
        <v>5687.720251259896</v>
      </c>
      <c r="Q25" s="32">
        <f t="shared" si="6"/>
        <v>5699.2754914280204</v>
      </c>
      <c r="R25" s="32">
        <f t="shared" si="6"/>
        <v>5711.4040028016452</v>
      </c>
      <c r="S25" s="32">
        <f t="shared" si="6"/>
        <v>5724.041382423713</v>
      </c>
      <c r="T25" s="32">
        <f t="shared" si="6"/>
        <v>5736.9652520862464</v>
      </c>
      <c r="U25" s="32">
        <f t="shared" si="6"/>
        <v>5750.4267772511866</v>
      </c>
      <c r="V25" s="32">
        <f t="shared" si="7"/>
        <v>5764.3109929927523</v>
      </c>
      <c r="W25" s="32">
        <f t="shared" si="7"/>
        <v>5778.6343338963552</v>
      </c>
      <c r="X25" s="32">
        <f t="shared" si="7"/>
        <v>5793.2797717845588</v>
      </c>
      <c r="Y25" s="32"/>
      <c r="Z25" s="7" t="str">
        <f t="shared" si="9"/>
        <v>35-44W LED fixture &amp; NEW Photocell_Replacing_175W MH fixtureIdaho</v>
      </c>
      <c r="AA25" s="41">
        <f t="shared" si="10"/>
        <v>4924.2878060168741</v>
      </c>
    </row>
    <row r="26" spans="1:27">
      <c r="A26" s="51">
        <f>INDEX([2]APPLIC!$B$8:$F$67,MATCH($C26,[2]APPLIC!$B$9:$B$67,0)+1,MATCH($D26,[2]APPLIC!$C$8:$F$8,0)+1)</f>
        <v>0.18000000000000002</v>
      </c>
      <c r="B26" s="76">
        <v>1.3</v>
      </c>
      <c r="C26" t="s">
        <v>602</v>
      </c>
      <c r="D26" s="7" t="s">
        <v>133</v>
      </c>
      <c r="E26" s="32">
        <f t="shared" si="8"/>
        <v>5616.0000000000018</v>
      </c>
      <c r="F26" s="32">
        <f t="shared" si="6"/>
        <v>5616.7022302678706</v>
      </c>
      <c r="G26" s="32">
        <f t="shared" si="6"/>
        <v>5617.6781816801076</v>
      </c>
      <c r="H26" s="32">
        <f t="shared" si="6"/>
        <v>5621.116814614762</v>
      </c>
      <c r="I26" s="32">
        <f t="shared" si="6"/>
        <v>5626.0705636305656</v>
      </c>
      <c r="J26" s="32">
        <f t="shared" si="6"/>
        <v>5632.3728722208516</v>
      </c>
      <c r="K26" s="32">
        <f t="shared" si="6"/>
        <v>5639.5360493324106</v>
      </c>
      <c r="L26" s="32">
        <f t="shared" si="6"/>
        <v>5647.6595994028621</v>
      </c>
      <c r="M26" s="32">
        <f t="shared" si="6"/>
        <v>5656.6249181158382</v>
      </c>
      <c r="N26" s="32">
        <f t="shared" si="6"/>
        <v>5666.3569356460112</v>
      </c>
      <c r="O26" s="32">
        <f t="shared" si="6"/>
        <v>5676.7201642005093</v>
      </c>
      <c r="P26" s="32">
        <f t="shared" si="6"/>
        <v>5687.720251259896</v>
      </c>
      <c r="Q26" s="32">
        <f t="shared" si="6"/>
        <v>5699.2754914280204</v>
      </c>
      <c r="R26" s="32">
        <f t="shared" si="6"/>
        <v>5711.4040028016452</v>
      </c>
      <c r="S26" s="32">
        <f t="shared" si="6"/>
        <v>5724.041382423713</v>
      </c>
      <c r="T26" s="32">
        <f t="shared" si="6"/>
        <v>5736.9652520862464</v>
      </c>
      <c r="U26" s="32">
        <f t="shared" si="6"/>
        <v>5750.4267772511866</v>
      </c>
      <c r="V26" s="32">
        <f t="shared" si="7"/>
        <v>5764.3109929927523</v>
      </c>
      <c r="W26" s="32">
        <f t="shared" si="7"/>
        <v>5778.6343338963552</v>
      </c>
      <c r="X26" s="32">
        <f t="shared" si="7"/>
        <v>5793.2797717845588</v>
      </c>
      <c r="Y26" s="32"/>
      <c r="Z26" s="7" t="str">
        <f t="shared" si="9"/>
        <v>35-44W LED fixture &amp; NEW Photocell_Replacing_175W MV fixtureIdaho</v>
      </c>
      <c r="AA26" s="41">
        <f t="shared" si="10"/>
        <v>4924.2878060168741</v>
      </c>
    </row>
    <row r="27" spans="1:27">
      <c r="A27" s="51">
        <f>INDEX([2]APPLIC!$B$8:$F$67,MATCH($C27,[2]APPLIC!$B$9:$B$67,0)+1,MATCH($D27,[2]APPLIC!$C$8:$F$8,0)+1)</f>
        <v>0.18000000000000002</v>
      </c>
      <c r="B27" s="76">
        <v>1.3</v>
      </c>
      <c r="C27" t="s">
        <v>603</v>
      </c>
      <c r="D27" s="386" t="s">
        <v>133</v>
      </c>
      <c r="E27" s="32">
        <f t="shared" si="8"/>
        <v>5616.0000000000018</v>
      </c>
      <c r="F27" s="32">
        <f t="shared" si="6"/>
        <v>5616.7022302678706</v>
      </c>
      <c r="G27" s="32">
        <f t="shared" si="6"/>
        <v>5617.6781816801076</v>
      </c>
      <c r="H27" s="32">
        <f t="shared" si="6"/>
        <v>5621.116814614762</v>
      </c>
      <c r="I27" s="32">
        <f t="shared" si="6"/>
        <v>5626.0705636305656</v>
      </c>
      <c r="J27" s="32">
        <f t="shared" si="6"/>
        <v>5632.3728722208516</v>
      </c>
      <c r="K27" s="32">
        <f t="shared" si="6"/>
        <v>5639.5360493324106</v>
      </c>
      <c r="L27" s="32">
        <f t="shared" si="6"/>
        <v>5647.6595994028621</v>
      </c>
      <c r="M27" s="32">
        <f t="shared" si="6"/>
        <v>5656.6249181158382</v>
      </c>
      <c r="N27" s="32">
        <f t="shared" si="6"/>
        <v>5666.3569356460112</v>
      </c>
      <c r="O27" s="32">
        <f t="shared" si="6"/>
        <v>5676.7201642005093</v>
      </c>
      <c r="P27" s="32">
        <f t="shared" si="6"/>
        <v>5687.720251259896</v>
      </c>
      <c r="Q27" s="32">
        <f t="shared" si="6"/>
        <v>5699.2754914280204</v>
      </c>
      <c r="R27" s="32">
        <f t="shared" si="6"/>
        <v>5711.4040028016452</v>
      </c>
      <c r="S27" s="32">
        <f t="shared" si="6"/>
        <v>5724.041382423713</v>
      </c>
      <c r="T27" s="32">
        <f t="shared" si="6"/>
        <v>5736.9652520862464</v>
      </c>
      <c r="U27" s="32">
        <f t="shared" si="6"/>
        <v>5750.4267772511866</v>
      </c>
      <c r="V27" s="32">
        <f t="shared" si="7"/>
        <v>5764.3109929927523</v>
      </c>
      <c r="W27" s="32">
        <f t="shared" si="7"/>
        <v>5778.6343338963552</v>
      </c>
      <c r="X27" s="32">
        <f t="shared" si="7"/>
        <v>5793.2797717845588</v>
      </c>
      <c r="Y27" s="32"/>
      <c r="Z27" s="7" t="str">
        <f t="shared" si="9"/>
        <v>35-44W LED fixture &amp; NEW Photocell_Replacing_200W HID fixtureIdaho</v>
      </c>
      <c r="AA27" s="41">
        <f t="shared" si="10"/>
        <v>4924.2878060168741</v>
      </c>
    </row>
    <row r="28" spans="1:27">
      <c r="A28" s="51">
        <f>INDEX([2]APPLIC!$B$8:$F$67,MATCH($C28,[2]APPLIC!$B$9:$B$67,0)+1,MATCH($D28,[2]APPLIC!$C$8:$F$8,0)+1)</f>
        <v>0.18000000000000002</v>
      </c>
      <c r="B28" s="76">
        <v>1.3</v>
      </c>
      <c r="C28" t="s">
        <v>601</v>
      </c>
      <c r="D28" s="7" t="s">
        <v>132</v>
      </c>
      <c r="E28" s="32">
        <f t="shared" si="8"/>
        <v>3276.0000000000009</v>
      </c>
      <c r="F28" s="32">
        <f t="shared" si="6"/>
        <v>3311.5388417742761</v>
      </c>
      <c r="G28" s="32">
        <f t="shared" si="6"/>
        <v>3346.6169016163135</v>
      </c>
      <c r="H28" s="32">
        <f t="shared" si="6"/>
        <v>3382.6007709854234</v>
      </c>
      <c r="I28" s="32">
        <f t="shared" si="6"/>
        <v>3418.9924756944652</v>
      </c>
      <c r="J28" s="32">
        <f t="shared" si="6"/>
        <v>3445.1708107983786</v>
      </c>
      <c r="K28" s="32">
        <f t="shared" si="6"/>
        <v>3471.5374157199972</v>
      </c>
      <c r="L28" s="32">
        <f t="shared" si="6"/>
        <v>3499.0443784519161</v>
      </c>
      <c r="M28" s="32">
        <f t="shared" si="6"/>
        <v>3527.5472628940697</v>
      </c>
      <c r="N28" s="32">
        <f t="shared" si="6"/>
        <v>3556.9362624542314</v>
      </c>
      <c r="O28" s="32">
        <f t="shared" si="6"/>
        <v>3587.0683445672753</v>
      </c>
      <c r="P28" s="32">
        <f t="shared" si="6"/>
        <v>3617.8952027759524</v>
      </c>
      <c r="Q28" s="32">
        <f t="shared" si="6"/>
        <v>3649.3224231056161</v>
      </c>
      <c r="R28" s="32">
        <f t="shared" si="6"/>
        <v>3681.3199743058049</v>
      </c>
      <c r="S28" s="32">
        <f t="shared" si="6"/>
        <v>3713.8156733369069</v>
      </c>
      <c r="T28" s="32">
        <f t="shared" si="6"/>
        <v>3746.6293020817952</v>
      </c>
      <c r="U28" s="32">
        <f t="shared" si="6"/>
        <v>3779.9038759524728</v>
      </c>
      <c r="V28" s="32">
        <f t="shared" si="7"/>
        <v>3813.5371035494259</v>
      </c>
      <c r="W28" s="32">
        <f t="shared" si="7"/>
        <v>3847.522883987257</v>
      </c>
      <c r="X28" s="32">
        <f t="shared" si="7"/>
        <v>3881.7717077877683</v>
      </c>
      <c r="Y28" s="32"/>
      <c r="Z28" s="7" t="str">
        <f t="shared" si="9"/>
        <v>35-44W LED fixture &amp; NEW Photocell_Replacing_100W HID fixtureMontana</v>
      </c>
      <c r="AA28" s="41">
        <f t="shared" si="10"/>
        <v>3299.5059516196029</v>
      </c>
    </row>
    <row r="29" spans="1:27">
      <c r="A29" s="51">
        <f>INDEX([2]APPLIC!$B$8:$F$67,MATCH($C29,[2]APPLIC!$B$9:$B$67,0)+1,MATCH($D29,[2]APPLIC!$C$8:$F$8,0)+1)</f>
        <v>0.18000000000000002</v>
      </c>
      <c r="B29" s="76">
        <v>1.3</v>
      </c>
      <c r="C29" t="s">
        <v>600</v>
      </c>
      <c r="D29" s="7" t="s">
        <v>132</v>
      </c>
      <c r="E29" s="32">
        <f t="shared" si="8"/>
        <v>3276.0000000000009</v>
      </c>
      <c r="F29" s="32">
        <f t="shared" si="6"/>
        <v>3311.5388417742761</v>
      </c>
      <c r="G29" s="32">
        <f t="shared" si="6"/>
        <v>3346.6169016163135</v>
      </c>
      <c r="H29" s="32">
        <f t="shared" si="6"/>
        <v>3382.6007709854234</v>
      </c>
      <c r="I29" s="32">
        <f t="shared" si="6"/>
        <v>3418.9924756944652</v>
      </c>
      <c r="J29" s="32">
        <f t="shared" si="6"/>
        <v>3445.1708107983786</v>
      </c>
      <c r="K29" s="32">
        <f t="shared" si="6"/>
        <v>3471.5374157199972</v>
      </c>
      <c r="L29" s="32">
        <f t="shared" si="6"/>
        <v>3499.0443784519161</v>
      </c>
      <c r="M29" s="32">
        <f t="shared" si="6"/>
        <v>3527.5472628940697</v>
      </c>
      <c r="N29" s="32">
        <f t="shared" si="6"/>
        <v>3556.9362624542314</v>
      </c>
      <c r="O29" s="32">
        <f t="shared" si="6"/>
        <v>3587.0683445672753</v>
      </c>
      <c r="P29" s="32">
        <f t="shared" si="6"/>
        <v>3617.8952027759524</v>
      </c>
      <c r="Q29" s="32">
        <f t="shared" si="6"/>
        <v>3649.3224231056161</v>
      </c>
      <c r="R29" s="32">
        <f t="shared" si="6"/>
        <v>3681.3199743058049</v>
      </c>
      <c r="S29" s="32">
        <f t="shared" si="6"/>
        <v>3713.8156733369069</v>
      </c>
      <c r="T29" s="32">
        <f t="shared" si="6"/>
        <v>3746.6293020817952</v>
      </c>
      <c r="U29" s="32">
        <f t="shared" si="6"/>
        <v>3779.9038759524728</v>
      </c>
      <c r="V29" s="32">
        <f t="shared" si="7"/>
        <v>3813.5371035494259</v>
      </c>
      <c r="W29" s="32">
        <f t="shared" si="7"/>
        <v>3847.522883987257</v>
      </c>
      <c r="X29" s="32">
        <f t="shared" si="7"/>
        <v>3881.7717077877683</v>
      </c>
      <c r="Y29" s="32"/>
      <c r="Z29" s="7" t="str">
        <f t="shared" si="9"/>
        <v>35-44W LED fixture &amp; NEW Photocell_Replacing_150W HID fixtureMontana</v>
      </c>
      <c r="AA29" s="41">
        <f t="shared" si="10"/>
        <v>3299.5059516196029</v>
      </c>
    </row>
    <row r="30" spans="1:27">
      <c r="A30" s="51">
        <f>INDEX([2]APPLIC!$B$8:$F$67,MATCH($C30,[2]APPLIC!$B$9:$B$67,0)+1,MATCH($D30,[2]APPLIC!$C$8:$F$8,0)+1)</f>
        <v>0.18000000000000002</v>
      </c>
      <c r="B30" s="76">
        <v>1.3</v>
      </c>
      <c r="C30" t="s">
        <v>599</v>
      </c>
      <c r="D30" s="7" t="s">
        <v>132</v>
      </c>
      <c r="E30" s="32">
        <f t="shared" si="8"/>
        <v>3276.0000000000009</v>
      </c>
      <c r="F30" s="32">
        <f t="shared" si="6"/>
        <v>3311.5388417742761</v>
      </c>
      <c r="G30" s="32">
        <f t="shared" si="6"/>
        <v>3346.6169016163135</v>
      </c>
      <c r="H30" s="32">
        <f t="shared" si="6"/>
        <v>3382.6007709854234</v>
      </c>
      <c r="I30" s="32">
        <f t="shared" si="6"/>
        <v>3418.9924756944652</v>
      </c>
      <c r="J30" s="32">
        <f t="shared" si="6"/>
        <v>3445.1708107983786</v>
      </c>
      <c r="K30" s="32">
        <f t="shared" si="6"/>
        <v>3471.5374157199972</v>
      </c>
      <c r="L30" s="32">
        <f t="shared" si="6"/>
        <v>3499.0443784519161</v>
      </c>
      <c r="M30" s="32">
        <f t="shared" si="6"/>
        <v>3527.5472628940697</v>
      </c>
      <c r="N30" s="32">
        <f t="shared" si="6"/>
        <v>3556.9362624542314</v>
      </c>
      <c r="O30" s="32">
        <f t="shared" si="6"/>
        <v>3587.0683445672753</v>
      </c>
      <c r="P30" s="32">
        <f t="shared" si="6"/>
        <v>3617.8952027759524</v>
      </c>
      <c r="Q30" s="32">
        <f t="shared" si="6"/>
        <v>3649.3224231056161</v>
      </c>
      <c r="R30" s="32">
        <f t="shared" si="6"/>
        <v>3681.3199743058049</v>
      </c>
      <c r="S30" s="32">
        <f t="shared" si="6"/>
        <v>3713.8156733369069</v>
      </c>
      <c r="T30" s="32">
        <f t="shared" si="6"/>
        <v>3746.6293020817952</v>
      </c>
      <c r="U30" s="32">
        <f t="shared" si="6"/>
        <v>3779.9038759524728</v>
      </c>
      <c r="V30" s="32">
        <f t="shared" si="7"/>
        <v>3813.5371035494259</v>
      </c>
      <c r="W30" s="32">
        <f t="shared" si="7"/>
        <v>3847.522883987257</v>
      </c>
      <c r="X30" s="32">
        <f t="shared" si="7"/>
        <v>3881.7717077877683</v>
      </c>
      <c r="Y30" s="32"/>
      <c r="Z30" s="7" t="str">
        <f t="shared" si="9"/>
        <v>35-44W LED fixture &amp; NEW Photocell_Replacing_175W MH fixtureMontana</v>
      </c>
      <c r="AA30" s="41">
        <f t="shared" si="10"/>
        <v>3299.5059516196029</v>
      </c>
    </row>
    <row r="31" spans="1:27">
      <c r="A31" s="51">
        <f>INDEX([2]APPLIC!$B$8:$F$67,MATCH($C31,[2]APPLIC!$B$9:$B$67,0)+1,MATCH($D31,[2]APPLIC!$C$8:$F$8,0)+1)</f>
        <v>0.18000000000000002</v>
      </c>
      <c r="B31" s="76">
        <v>1.3</v>
      </c>
      <c r="C31" t="s">
        <v>602</v>
      </c>
      <c r="D31" s="386" t="s">
        <v>132</v>
      </c>
      <c r="E31" s="32">
        <f t="shared" si="8"/>
        <v>3276.0000000000009</v>
      </c>
      <c r="F31" s="32">
        <f t="shared" si="6"/>
        <v>3311.5388417742761</v>
      </c>
      <c r="G31" s="32">
        <f t="shared" si="6"/>
        <v>3346.6169016163135</v>
      </c>
      <c r="H31" s="32">
        <f t="shared" si="6"/>
        <v>3382.6007709854234</v>
      </c>
      <c r="I31" s="32">
        <f t="shared" si="6"/>
        <v>3418.9924756944652</v>
      </c>
      <c r="J31" s="32">
        <f t="shared" si="6"/>
        <v>3445.1708107983786</v>
      </c>
      <c r="K31" s="32">
        <f t="shared" si="6"/>
        <v>3471.5374157199972</v>
      </c>
      <c r="L31" s="32">
        <f t="shared" si="6"/>
        <v>3499.0443784519161</v>
      </c>
      <c r="M31" s="32">
        <f t="shared" si="6"/>
        <v>3527.5472628940697</v>
      </c>
      <c r="N31" s="32">
        <f t="shared" si="6"/>
        <v>3556.9362624542314</v>
      </c>
      <c r="O31" s="32">
        <f t="shared" si="6"/>
        <v>3587.0683445672753</v>
      </c>
      <c r="P31" s="32">
        <f t="shared" si="6"/>
        <v>3617.8952027759524</v>
      </c>
      <c r="Q31" s="32">
        <f t="shared" si="6"/>
        <v>3649.3224231056161</v>
      </c>
      <c r="R31" s="32">
        <f t="shared" si="6"/>
        <v>3681.3199743058049</v>
      </c>
      <c r="S31" s="32">
        <f t="shared" si="6"/>
        <v>3713.8156733369069</v>
      </c>
      <c r="T31" s="32">
        <f t="shared" si="6"/>
        <v>3746.6293020817952</v>
      </c>
      <c r="U31" s="32">
        <f t="shared" si="6"/>
        <v>3779.9038759524728</v>
      </c>
      <c r="V31" s="32">
        <f t="shared" si="7"/>
        <v>3813.5371035494259</v>
      </c>
      <c r="W31" s="32">
        <f t="shared" si="7"/>
        <v>3847.522883987257</v>
      </c>
      <c r="X31" s="32">
        <f t="shared" si="7"/>
        <v>3881.7717077877683</v>
      </c>
      <c r="Y31" s="32"/>
      <c r="Z31" s="7" t="str">
        <f t="shared" si="9"/>
        <v>35-44W LED fixture &amp; NEW Photocell_Replacing_175W MV fixtureMontana</v>
      </c>
      <c r="AA31" s="41">
        <f t="shared" si="10"/>
        <v>3299.5059516196029</v>
      </c>
    </row>
    <row r="32" spans="1:27">
      <c r="A32" s="51">
        <f>INDEX([2]APPLIC!$B$8:$F$67,MATCH($C32,[2]APPLIC!$B$9:$B$67,0)+1,MATCH($D32,[2]APPLIC!$C$8:$F$8,0)+1)</f>
        <v>0.18000000000000002</v>
      </c>
      <c r="B32" s="76">
        <v>1.3</v>
      </c>
      <c r="C32" t="s">
        <v>603</v>
      </c>
      <c r="D32" s="386" t="s">
        <v>132</v>
      </c>
      <c r="E32" s="32">
        <f t="shared" si="8"/>
        <v>3276.0000000000009</v>
      </c>
      <c r="F32" s="32">
        <f t="shared" si="6"/>
        <v>3311.5388417742761</v>
      </c>
      <c r="G32" s="32">
        <f t="shared" si="6"/>
        <v>3346.6169016163135</v>
      </c>
      <c r="H32" s="32">
        <f t="shared" si="6"/>
        <v>3382.6007709854234</v>
      </c>
      <c r="I32" s="32">
        <f t="shared" si="6"/>
        <v>3418.9924756944652</v>
      </c>
      <c r="J32" s="32">
        <f t="shared" si="6"/>
        <v>3445.1708107983786</v>
      </c>
      <c r="K32" s="32">
        <f t="shared" si="6"/>
        <v>3471.5374157199972</v>
      </c>
      <c r="L32" s="32">
        <f t="shared" si="6"/>
        <v>3499.0443784519161</v>
      </c>
      <c r="M32" s="32">
        <f t="shared" si="6"/>
        <v>3527.5472628940697</v>
      </c>
      <c r="N32" s="32">
        <f t="shared" si="6"/>
        <v>3556.9362624542314</v>
      </c>
      <c r="O32" s="32">
        <f t="shared" si="6"/>
        <v>3587.0683445672753</v>
      </c>
      <c r="P32" s="32">
        <f t="shared" si="6"/>
        <v>3617.8952027759524</v>
      </c>
      <c r="Q32" s="32">
        <f t="shared" si="6"/>
        <v>3649.3224231056161</v>
      </c>
      <c r="R32" s="32">
        <f t="shared" si="6"/>
        <v>3681.3199743058049</v>
      </c>
      <c r="S32" s="32">
        <f t="shared" si="6"/>
        <v>3713.8156733369069</v>
      </c>
      <c r="T32" s="32">
        <f t="shared" si="6"/>
        <v>3746.6293020817952</v>
      </c>
      <c r="U32" s="32">
        <f t="shared" si="6"/>
        <v>3779.9038759524728</v>
      </c>
      <c r="V32" s="32">
        <f t="shared" si="7"/>
        <v>3813.5371035494259</v>
      </c>
      <c r="W32" s="32">
        <f t="shared" si="7"/>
        <v>3847.522883987257</v>
      </c>
      <c r="X32" s="32">
        <f t="shared" si="7"/>
        <v>3881.7717077877683</v>
      </c>
      <c r="Y32" s="32"/>
      <c r="Z32" s="7" t="str">
        <f t="shared" si="9"/>
        <v>35-44W LED fixture &amp; NEW Photocell_Replacing_200W HID fixtureMontana</v>
      </c>
      <c r="AA32" s="41">
        <f t="shared" si="10"/>
        <v>3299.5059516196029</v>
      </c>
    </row>
    <row r="33" spans="1:71">
      <c r="A33" s="51">
        <f>INDEX([2]APPLIC!$B$8:$F$67,MATCH($C33,[2]APPLIC!$B$9:$B$67,0)+1,MATCH($D33,[2]APPLIC!$C$8:$F$8,0)+1)</f>
        <v>0.18000000000000002</v>
      </c>
      <c r="B33" s="76">
        <v>1.3</v>
      </c>
      <c r="C33" t="s">
        <v>601</v>
      </c>
      <c r="D33" s="7" t="s">
        <v>135</v>
      </c>
      <c r="E33" s="32">
        <f t="shared" si="8"/>
        <v>8658.0000000000018</v>
      </c>
      <c r="F33" s="32">
        <f t="shared" si="6"/>
        <v>8750.3126540614558</v>
      </c>
      <c r="G33" s="32">
        <f t="shared" si="6"/>
        <v>8845.9645871632783</v>
      </c>
      <c r="H33" s="32">
        <f t="shared" si="6"/>
        <v>8944.8072858319956</v>
      </c>
      <c r="I33" s="32">
        <f t="shared" si="6"/>
        <v>9106.8370945925253</v>
      </c>
      <c r="J33" s="32">
        <f t="shared" si="6"/>
        <v>9219.7617763208218</v>
      </c>
      <c r="K33" s="32">
        <f t="shared" si="6"/>
        <v>9329.8444684074257</v>
      </c>
      <c r="L33" s="32">
        <f t="shared" si="6"/>
        <v>9444.492254933537</v>
      </c>
      <c r="M33" s="32">
        <f t="shared" si="6"/>
        <v>9556.3360690656718</v>
      </c>
      <c r="N33" s="32">
        <f t="shared" si="6"/>
        <v>9744.4253838895038</v>
      </c>
      <c r="O33" s="32">
        <f t="shared" si="6"/>
        <v>9857.3850527577433</v>
      </c>
      <c r="P33" s="32">
        <f t="shared" si="6"/>
        <v>9967.2736438076045</v>
      </c>
      <c r="Q33" s="32">
        <f t="shared" si="6"/>
        <v>10081.159563129584</v>
      </c>
      <c r="R33" s="32">
        <f t="shared" si="6"/>
        <v>10191.909267029467</v>
      </c>
      <c r="S33" s="32">
        <f t="shared" si="6"/>
        <v>10374.652527886101</v>
      </c>
      <c r="T33" s="32">
        <f t="shared" si="6"/>
        <v>10496.413137382538</v>
      </c>
      <c r="U33" s="32">
        <f t="shared" si="6"/>
        <v>10622.182162947985</v>
      </c>
      <c r="V33" s="32">
        <f t="shared" si="7"/>
        <v>10748.189117486361</v>
      </c>
      <c r="W33" s="32">
        <f t="shared" si="7"/>
        <v>10870.912299118265</v>
      </c>
      <c r="X33" s="32">
        <f t="shared" si="7"/>
        <v>11075.700259216615</v>
      </c>
      <c r="Y33" s="32"/>
      <c r="Z33" s="7" t="str">
        <f t="shared" si="9"/>
        <v>35-44W LED fixture &amp; NEW Photocell_Replacing_100W HID fixtureWashington</v>
      </c>
      <c r="AA33" s="41">
        <f t="shared" si="10"/>
        <v>9414.3452203341221</v>
      </c>
    </row>
    <row r="34" spans="1:71">
      <c r="A34" s="51">
        <f>INDEX([2]APPLIC!$B$8:$F$67,MATCH($C34,[2]APPLIC!$B$9:$B$67,0)+1,MATCH($D34,[2]APPLIC!$C$8:$F$8,0)+1)</f>
        <v>0.18000000000000002</v>
      </c>
      <c r="B34" s="76">
        <v>1.3</v>
      </c>
      <c r="C34" t="s">
        <v>600</v>
      </c>
      <c r="D34" s="386" t="s">
        <v>135</v>
      </c>
      <c r="E34" s="32">
        <f t="shared" si="8"/>
        <v>8658.0000000000018</v>
      </c>
      <c r="F34" s="32">
        <f t="shared" si="6"/>
        <v>8750.3126540614558</v>
      </c>
      <c r="G34" s="32">
        <f t="shared" si="6"/>
        <v>8845.9645871632783</v>
      </c>
      <c r="H34" s="32">
        <f t="shared" si="6"/>
        <v>8944.8072858319956</v>
      </c>
      <c r="I34" s="32">
        <f t="shared" si="6"/>
        <v>9106.8370945925253</v>
      </c>
      <c r="J34" s="32">
        <f t="shared" si="6"/>
        <v>9219.7617763208218</v>
      </c>
      <c r="K34" s="32">
        <f t="shared" si="6"/>
        <v>9329.8444684074257</v>
      </c>
      <c r="L34" s="32">
        <f t="shared" si="6"/>
        <v>9444.492254933537</v>
      </c>
      <c r="M34" s="32">
        <f t="shared" si="6"/>
        <v>9556.3360690656718</v>
      </c>
      <c r="N34" s="32">
        <f t="shared" si="6"/>
        <v>9744.4253838895038</v>
      </c>
      <c r="O34" s="32">
        <f t="shared" si="6"/>
        <v>9857.3850527577433</v>
      </c>
      <c r="P34" s="32">
        <f t="shared" si="6"/>
        <v>9967.2736438076045</v>
      </c>
      <c r="Q34" s="32">
        <f t="shared" si="6"/>
        <v>10081.159563129584</v>
      </c>
      <c r="R34" s="32">
        <f t="shared" si="6"/>
        <v>10191.909267029467</v>
      </c>
      <c r="S34" s="32">
        <f t="shared" si="6"/>
        <v>10374.652527886101</v>
      </c>
      <c r="T34" s="32">
        <f t="shared" si="6"/>
        <v>10496.413137382538</v>
      </c>
      <c r="U34" s="32">
        <f t="shared" si="6"/>
        <v>10622.182162947985</v>
      </c>
      <c r="V34" s="32">
        <f t="shared" si="7"/>
        <v>10748.189117486361</v>
      </c>
      <c r="W34" s="32">
        <f t="shared" si="7"/>
        <v>10870.912299118265</v>
      </c>
      <c r="X34" s="32">
        <f t="shared" si="7"/>
        <v>11075.700259216615</v>
      </c>
      <c r="Y34" s="32"/>
      <c r="Z34" s="7" t="str">
        <f t="shared" si="9"/>
        <v>35-44W LED fixture &amp; NEW Photocell_Replacing_150W HID fixtureWashington</v>
      </c>
      <c r="AA34" s="41">
        <f t="shared" si="10"/>
        <v>9414.3452203341221</v>
      </c>
    </row>
    <row r="35" spans="1:71" s="386" customFormat="1">
      <c r="A35" s="51">
        <f>INDEX([2]APPLIC!$B$8:$F$67,MATCH($C35,[2]APPLIC!$B$9:$B$67,0)+1,MATCH($D35,[2]APPLIC!$C$8:$F$8,0)+1)</f>
        <v>0.18000000000000002</v>
      </c>
      <c r="B35" s="76">
        <v>1.3</v>
      </c>
      <c r="C35" t="s">
        <v>599</v>
      </c>
      <c r="D35" s="386" t="s">
        <v>135</v>
      </c>
      <c r="E35" s="32">
        <f t="shared" si="8"/>
        <v>8658.0000000000018</v>
      </c>
      <c r="F35" s="32">
        <f t="shared" si="6"/>
        <v>8750.3126540614558</v>
      </c>
      <c r="G35" s="32">
        <f t="shared" si="6"/>
        <v>8845.9645871632783</v>
      </c>
      <c r="H35" s="32">
        <f t="shared" si="6"/>
        <v>8944.8072858319956</v>
      </c>
      <c r="I35" s="32">
        <f t="shared" si="6"/>
        <v>9106.8370945925253</v>
      </c>
      <c r="J35" s="32">
        <f t="shared" si="6"/>
        <v>9219.7617763208218</v>
      </c>
      <c r="K35" s="32">
        <f t="shared" si="6"/>
        <v>9329.8444684074257</v>
      </c>
      <c r="L35" s="32">
        <f t="shared" si="6"/>
        <v>9444.492254933537</v>
      </c>
      <c r="M35" s="32">
        <f t="shared" si="6"/>
        <v>9556.3360690656718</v>
      </c>
      <c r="N35" s="32">
        <f t="shared" si="6"/>
        <v>9744.4253838895038</v>
      </c>
      <c r="O35" s="32">
        <f t="shared" si="6"/>
        <v>9857.3850527577433</v>
      </c>
      <c r="P35" s="32">
        <f t="shared" si="6"/>
        <v>9967.2736438076045</v>
      </c>
      <c r="Q35" s="32">
        <f t="shared" si="6"/>
        <v>10081.159563129584</v>
      </c>
      <c r="R35" s="32">
        <f t="shared" si="6"/>
        <v>10191.909267029467</v>
      </c>
      <c r="S35" s="32">
        <f t="shared" si="6"/>
        <v>10374.652527886101</v>
      </c>
      <c r="T35" s="32">
        <f t="shared" si="6"/>
        <v>10496.413137382538</v>
      </c>
      <c r="U35" s="32">
        <f t="shared" si="6"/>
        <v>10622.182162947985</v>
      </c>
      <c r="V35" s="32">
        <f t="shared" si="7"/>
        <v>10748.189117486361</v>
      </c>
      <c r="W35" s="32">
        <f t="shared" si="7"/>
        <v>10870.912299118265</v>
      </c>
      <c r="X35" s="32">
        <f t="shared" si="7"/>
        <v>11075.700259216615</v>
      </c>
      <c r="Y35" s="32"/>
      <c r="Z35" s="386" t="str">
        <f>C35&amp;D35</f>
        <v>35-44W LED fixture &amp; NEW Photocell_Replacing_175W MH fixtureWashington</v>
      </c>
      <c r="AA35" s="41">
        <f t="shared" si="10"/>
        <v>9414.3452203341221</v>
      </c>
    </row>
    <row r="36" spans="1:71" s="386" customFormat="1">
      <c r="A36" s="51">
        <f>INDEX([2]APPLIC!$B$8:$F$67,MATCH($C36,[2]APPLIC!$B$9:$B$67,0)+1,MATCH($D36,[2]APPLIC!$C$8:$F$8,0)+1)</f>
        <v>0.18000000000000002</v>
      </c>
      <c r="B36" s="76">
        <v>1.3</v>
      </c>
      <c r="C36" t="s">
        <v>602</v>
      </c>
      <c r="D36" s="386" t="s">
        <v>135</v>
      </c>
      <c r="E36" s="32">
        <f t="shared" si="8"/>
        <v>8658.0000000000018</v>
      </c>
      <c r="F36" s="32">
        <f t="shared" si="6"/>
        <v>8750.3126540614558</v>
      </c>
      <c r="G36" s="32">
        <f t="shared" si="6"/>
        <v>8845.9645871632783</v>
      </c>
      <c r="H36" s="32">
        <f t="shared" si="6"/>
        <v>8944.8072858319956</v>
      </c>
      <c r="I36" s="32">
        <f t="shared" si="6"/>
        <v>9106.8370945925253</v>
      </c>
      <c r="J36" s="32">
        <f t="shared" si="6"/>
        <v>9219.7617763208218</v>
      </c>
      <c r="K36" s="32">
        <f t="shared" si="6"/>
        <v>9329.8444684074257</v>
      </c>
      <c r="L36" s="32">
        <f t="shared" si="6"/>
        <v>9444.492254933537</v>
      </c>
      <c r="M36" s="32">
        <f t="shared" si="6"/>
        <v>9556.3360690656718</v>
      </c>
      <c r="N36" s="32">
        <f t="shared" si="6"/>
        <v>9744.4253838895038</v>
      </c>
      <c r="O36" s="32">
        <f t="shared" si="6"/>
        <v>9857.3850527577433</v>
      </c>
      <c r="P36" s="32">
        <f t="shared" si="6"/>
        <v>9967.2736438076045</v>
      </c>
      <c r="Q36" s="32">
        <f t="shared" si="6"/>
        <v>10081.159563129584</v>
      </c>
      <c r="R36" s="32">
        <f t="shared" si="6"/>
        <v>10191.909267029467</v>
      </c>
      <c r="S36" s="32">
        <f t="shared" si="6"/>
        <v>10374.652527886101</v>
      </c>
      <c r="T36" s="32">
        <f t="shared" si="6"/>
        <v>10496.413137382538</v>
      </c>
      <c r="U36" s="32">
        <f t="shared" si="6"/>
        <v>10622.182162947985</v>
      </c>
      <c r="V36" s="32">
        <f t="shared" si="7"/>
        <v>10748.189117486361</v>
      </c>
      <c r="W36" s="32">
        <f t="shared" si="7"/>
        <v>10870.912299118265</v>
      </c>
      <c r="X36" s="32">
        <f t="shared" si="7"/>
        <v>11075.700259216615</v>
      </c>
      <c r="Y36" s="32"/>
      <c r="Z36" s="386" t="str">
        <f t="shared" ref="Z36:Z42" si="11">C36&amp;D36</f>
        <v>35-44W LED fixture &amp; NEW Photocell_Replacing_175W MV fixtureWashington</v>
      </c>
      <c r="AA36" s="41">
        <f t="shared" si="10"/>
        <v>9414.3452203341221</v>
      </c>
    </row>
    <row r="37" spans="1:71" s="386" customFormat="1">
      <c r="A37" s="51">
        <f>INDEX([2]APPLIC!$B$8:$F$67,MATCH($C37,[2]APPLIC!$B$9:$B$67,0)+1,MATCH($D37,[2]APPLIC!$C$8:$F$8,0)+1)</f>
        <v>0.18000000000000002</v>
      </c>
      <c r="B37" s="76">
        <v>1.3</v>
      </c>
      <c r="C37" t="s">
        <v>603</v>
      </c>
      <c r="D37" s="386" t="s">
        <v>135</v>
      </c>
      <c r="E37" s="32">
        <f t="shared" si="8"/>
        <v>8658.0000000000018</v>
      </c>
      <c r="F37" s="32">
        <f t="shared" si="6"/>
        <v>8750.3126540614558</v>
      </c>
      <c r="G37" s="32">
        <f t="shared" si="6"/>
        <v>8845.9645871632783</v>
      </c>
      <c r="H37" s="32">
        <f t="shared" si="6"/>
        <v>8944.8072858319956</v>
      </c>
      <c r="I37" s="32">
        <f t="shared" si="6"/>
        <v>9106.8370945925253</v>
      </c>
      <c r="J37" s="32">
        <f t="shared" si="6"/>
        <v>9219.7617763208218</v>
      </c>
      <c r="K37" s="32">
        <f t="shared" si="6"/>
        <v>9329.8444684074257</v>
      </c>
      <c r="L37" s="32">
        <f t="shared" si="6"/>
        <v>9444.492254933537</v>
      </c>
      <c r="M37" s="32">
        <f t="shared" si="6"/>
        <v>9556.3360690656718</v>
      </c>
      <c r="N37" s="32">
        <f t="shared" si="6"/>
        <v>9744.4253838895038</v>
      </c>
      <c r="O37" s="32">
        <f t="shared" si="6"/>
        <v>9857.3850527577433</v>
      </c>
      <c r="P37" s="32">
        <f t="shared" si="6"/>
        <v>9967.2736438076045</v>
      </c>
      <c r="Q37" s="32">
        <f t="shared" si="6"/>
        <v>10081.159563129584</v>
      </c>
      <c r="R37" s="32">
        <f t="shared" si="6"/>
        <v>10191.909267029467</v>
      </c>
      <c r="S37" s="32">
        <f t="shared" si="6"/>
        <v>10374.652527886101</v>
      </c>
      <c r="T37" s="32">
        <f t="shared" si="6"/>
        <v>10496.413137382538</v>
      </c>
      <c r="U37" s="32">
        <f t="shared" si="6"/>
        <v>10622.182162947985</v>
      </c>
      <c r="V37" s="32">
        <f t="shared" si="7"/>
        <v>10748.189117486361</v>
      </c>
      <c r="W37" s="32">
        <f t="shared" si="7"/>
        <v>10870.912299118265</v>
      </c>
      <c r="X37" s="32">
        <f t="shared" si="7"/>
        <v>11075.700259216615</v>
      </c>
      <c r="Y37" s="32"/>
      <c r="Z37" s="386" t="str">
        <f t="shared" si="11"/>
        <v>35-44W LED fixture &amp; NEW Photocell_Replacing_200W HID fixtureWashington</v>
      </c>
      <c r="AA37" s="41">
        <f t="shared" si="10"/>
        <v>9414.3452203341221</v>
      </c>
    </row>
    <row r="38" spans="1:71" s="386" customFormat="1">
      <c r="A38" s="51">
        <f>INDEX([2]APPLIC!$B$8:$F$67,MATCH($C38,[2]APPLIC!$B$9:$B$67,0)+1,MATCH($D38,[2]APPLIC!$C$8:$F$8,0)+1)</f>
        <v>0.18000000000000002</v>
      </c>
      <c r="B38" s="76">
        <v>1.3</v>
      </c>
      <c r="C38" t="s">
        <v>601</v>
      </c>
      <c r="D38" s="386" t="s">
        <v>134</v>
      </c>
      <c r="E38" s="32">
        <f t="shared" si="8"/>
        <v>8190.0000000000018</v>
      </c>
      <c r="F38" s="32">
        <f t="shared" si="6"/>
        <v>8272.807801556668</v>
      </c>
      <c r="G38" s="32">
        <f t="shared" si="6"/>
        <v>8356.0257746103252</v>
      </c>
      <c r="H38" s="32">
        <f t="shared" si="6"/>
        <v>8449.4199554137194</v>
      </c>
      <c r="I38" s="32">
        <f t="shared" si="6"/>
        <v>8616.7446858646817</v>
      </c>
      <c r="J38" s="32">
        <f t="shared" si="6"/>
        <v>8720.8248642022936</v>
      </c>
      <c r="K38" s="32">
        <f t="shared" si="6"/>
        <v>8826.1281042803985</v>
      </c>
      <c r="L38" s="32">
        <f t="shared" si="6"/>
        <v>8939.3056249352412</v>
      </c>
      <c r="M38" s="32">
        <f t="shared" si="6"/>
        <v>9047.155183970528</v>
      </c>
      <c r="N38" s="32">
        <f t="shared" si="6"/>
        <v>9240.4008844094842</v>
      </c>
      <c r="O38" s="32">
        <f t="shared" si="6"/>
        <v>9350.0315848412702</v>
      </c>
      <c r="P38" s="32">
        <f t="shared" si="6"/>
        <v>9460.4723451562531</v>
      </c>
      <c r="Q38" s="32">
        <f t="shared" si="6"/>
        <v>9565.1095518118454</v>
      </c>
      <c r="R38" s="32">
        <f t="shared" si="6"/>
        <v>9676.9180419690365</v>
      </c>
      <c r="S38" s="32">
        <f t="shared" si="6"/>
        <v>9866.8101846326608</v>
      </c>
      <c r="T38" s="32">
        <f t="shared" si="6"/>
        <v>9985.7462461428222</v>
      </c>
      <c r="U38" s="32">
        <f t="shared" ref="U38:U42" si="12">$A38*VLOOKUP($D38,$D$13:$X$16,U$22,FALSE)*$B38</f>
        <v>10111.72371288598</v>
      </c>
      <c r="V38" s="32">
        <f t="shared" si="7"/>
        <v>10238.084678033105</v>
      </c>
      <c r="W38" s="32">
        <f t="shared" si="7"/>
        <v>10358.417145197085</v>
      </c>
      <c r="X38" s="32">
        <f t="shared" si="7"/>
        <v>10575.385222848266</v>
      </c>
      <c r="Y38" s="32"/>
      <c r="Z38" s="386" t="str">
        <f t="shared" si="11"/>
        <v>35-44W LED fixture &amp; NEW Photocell_Replacing_100W HID fixtureOregon</v>
      </c>
      <c r="AA38" s="41">
        <f t="shared" si="10"/>
        <v>8989.0774394210257</v>
      </c>
    </row>
    <row r="39" spans="1:71">
      <c r="A39" s="51">
        <f>INDEX([2]APPLIC!$B$8:$F$67,MATCH($C39,[2]APPLIC!$B$9:$B$67,0)+1,MATCH($D39,[2]APPLIC!$C$8:$F$8,0)+1)</f>
        <v>0.18000000000000002</v>
      </c>
      <c r="B39" s="76">
        <v>1.3</v>
      </c>
      <c r="C39" t="s">
        <v>600</v>
      </c>
      <c r="D39" s="7" t="s">
        <v>134</v>
      </c>
      <c r="E39" s="32">
        <f t="shared" si="8"/>
        <v>8190.0000000000018</v>
      </c>
      <c r="F39" s="32">
        <f t="shared" si="8"/>
        <v>8272.807801556668</v>
      </c>
      <c r="G39" s="32">
        <f t="shared" si="8"/>
        <v>8356.0257746103252</v>
      </c>
      <c r="H39" s="32">
        <f t="shared" si="8"/>
        <v>8449.4199554137194</v>
      </c>
      <c r="I39" s="32">
        <f t="shared" si="8"/>
        <v>8616.7446858646817</v>
      </c>
      <c r="J39" s="32">
        <f t="shared" si="8"/>
        <v>8720.8248642022936</v>
      </c>
      <c r="K39" s="32">
        <f t="shared" si="8"/>
        <v>8826.1281042803985</v>
      </c>
      <c r="L39" s="32">
        <f t="shared" si="8"/>
        <v>8939.3056249352412</v>
      </c>
      <c r="M39" s="32">
        <f t="shared" si="8"/>
        <v>9047.155183970528</v>
      </c>
      <c r="N39" s="32">
        <f t="shared" si="8"/>
        <v>9240.4008844094842</v>
      </c>
      <c r="O39" s="32">
        <f t="shared" si="8"/>
        <v>9350.0315848412702</v>
      </c>
      <c r="P39" s="32">
        <f t="shared" si="8"/>
        <v>9460.4723451562531</v>
      </c>
      <c r="Q39" s="32">
        <f t="shared" si="8"/>
        <v>9565.1095518118454</v>
      </c>
      <c r="R39" s="32">
        <f t="shared" si="8"/>
        <v>9676.9180419690365</v>
      </c>
      <c r="S39" s="32">
        <f t="shared" si="8"/>
        <v>9866.8101846326608</v>
      </c>
      <c r="T39" s="32">
        <f t="shared" si="8"/>
        <v>9985.7462461428222</v>
      </c>
      <c r="U39" s="32">
        <f t="shared" si="12"/>
        <v>10111.72371288598</v>
      </c>
      <c r="V39" s="32">
        <f t="shared" si="7"/>
        <v>10238.084678033105</v>
      </c>
      <c r="W39" s="32">
        <f t="shared" si="7"/>
        <v>10358.417145197085</v>
      </c>
      <c r="X39" s="32">
        <f t="shared" si="7"/>
        <v>10575.385222848266</v>
      </c>
      <c r="Y39" s="32"/>
      <c r="Z39" s="386" t="str">
        <f t="shared" si="11"/>
        <v>35-44W LED fixture &amp; NEW Photocell_Replacing_150W HID fixtureOregon</v>
      </c>
      <c r="AA39" s="41">
        <f t="shared" si="10"/>
        <v>8989.0774394210257</v>
      </c>
    </row>
    <row r="40" spans="1:71">
      <c r="A40" s="51">
        <f>INDEX([2]APPLIC!$B$8:$F$67,MATCH($C40,[2]APPLIC!$B$9:$B$67,0)+1,MATCH($D40,[2]APPLIC!$C$8:$F$8,0)+1)</f>
        <v>0.18000000000000002</v>
      </c>
      <c r="B40" s="76">
        <v>1.3</v>
      </c>
      <c r="C40" t="s">
        <v>599</v>
      </c>
      <c r="D40" s="7" t="s">
        <v>134</v>
      </c>
      <c r="E40" s="32">
        <f t="shared" ref="E40:T42" si="13">$A40*VLOOKUP($D40,$D$13:$X$16,E$22,FALSE)*$B40</f>
        <v>8190.0000000000018</v>
      </c>
      <c r="F40" s="32">
        <f t="shared" si="13"/>
        <v>8272.807801556668</v>
      </c>
      <c r="G40" s="32">
        <f t="shared" si="13"/>
        <v>8356.0257746103252</v>
      </c>
      <c r="H40" s="32">
        <f t="shared" si="13"/>
        <v>8449.4199554137194</v>
      </c>
      <c r="I40" s="32">
        <f t="shared" si="13"/>
        <v>8616.7446858646817</v>
      </c>
      <c r="J40" s="32">
        <f t="shared" si="13"/>
        <v>8720.8248642022936</v>
      </c>
      <c r="K40" s="32">
        <f t="shared" si="13"/>
        <v>8826.1281042803985</v>
      </c>
      <c r="L40" s="32">
        <f t="shared" si="13"/>
        <v>8939.3056249352412</v>
      </c>
      <c r="M40" s="32">
        <f t="shared" si="13"/>
        <v>9047.155183970528</v>
      </c>
      <c r="N40" s="32">
        <f t="shared" si="13"/>
        <v>9240.4008844094842</v>
      </c>
      <c r="O40" s="32">
        <f t="shared" si="13"/>
        <v>9350.0315848412702</v>
      </c>
      <c r="P40" s="32">
        <f t="shared" si="13"/>
        <v>9460.4723451562531</v>
      </c>
      <c r="Q40" s="32">
        <f t="shared" si="13"/>
        <v>9565.1095518118454</v>
      </c>
      <c r="R40" s="32">
        <f t="shared" si="13"/>
        <v>9676.9180419690365</v>
      </c>
      <c r="S40" s="32">
        <f t="shared" si="13"/>
        <v>9866.8101846326608</v>
      </c>
      <c r="T40" s="32">
        <f t="shared" si="13"/>
        <v>9985.7462461428222</v>
      </c>
      <c r="U40" s="32">
        <f t="shared" si="12"/>
        <v>10111.72371288598</v>
      </c>
      <c r="V40" s="32">
        <f t="shared" si="7"/>
        <v>10238.084678033105</v>
      </c>
      <c r="W40" s="32">
        <f t="shared" si="7"/>
        <v>10358.417145197085</v>
      </c>
      <c r="X40" s="32">
        <f t="shared" si="7"/>
        <v>10575.385222848266</v>
      </c>
      <c r="Y40" s="32"/>
      <c r="Z40" s="386" t="str">
        <f t="shared" si="11"/>
        <v>35-44W LED fixture &amp; NEW Photocell_Replacing_175W MH fixtureOregon</v>
      </c>
      <c r="AA40" s="41">
        <f t="shared" si="10"/>
        <v>8989.0774394210257</v>
      </c>
    </row>
    <row r="41" spans="1:71">
      <c r="A41" s="51">
        <f>INDEX([2]APPLIC!$B$8:$F$67,MATCH($C41,[2]APPLIC!$B$9:$B$67,0)+1,MATCH($D41,[2]APPLIC!$C$8:$F$8,0)+1)</f>
        <v>0.18000000000000002</v>
      </c>
      <c r="B41" s="76">
        <v>1.3</v>
      </c>
      <c r="C41" t="s">
        <v>602</v>
      </c>
      <c r="D41" s="7" t="s">
        <v>134</v>
      </c>
      <c r="E41" s="32">
        <f t="shared" si="13"/>
        <v>8190.0000000000018</v>
      </c>
      <c r="F41" s="32">
        <f t="shared" si="13"/>
        <v>8272.807801556668</v>
      </c>
      <c r="G41" s="32">
        <f t="shared" si="13"/>
        <v>8356.0257746103252</v>
      </c>
      <c r="H41" s="32">
        <f t="shared" si="13"/>
        <v>8449.4199554137194</v>
      </c>
      <c r="I41" s="32">
        <f t="shared" si="13"/>
        <v>8616.7446858646817</v>
      </c>
      <c r="J41" s="32">
        <f t="shared" si="13"/>
        <v>8720.8248642022936</v>
      </c>
      <c r="K41" s="32">
        <f t="shared" si="13"/>
        <v>8826.1281042803985</v>
      </c>
      <c r="L41" s="32">
        <f t="shared" si="13"/>
        <v>8939.3056249352412</v>
      </c>
      <c r="M41" s="32">
        <f t="shared" si="13"/>
        <v>9047.155183970528</v>
      </c>
      <c r="N41" s="32">
        <f t="shared" si="13"/>
        <v>9240.4008844094842</v>
      </c>
      <c r="O41" s="32">
        <f t="shared" si="13"/>
        <v>9350.0315848412702</v>
      </c>
      <c r="P41" s="32">
        <f t="shared" si="13"/>
        <v>9460.4723451562531</v>
      </c>
      <c r="Q41" s="32">
        <f t="shared" si="13"/>
        <v>9565.1095518118454</v>
      </c>
      <c r="R41" s="32">
        <f t="shared" si="13"/>
        <v>9676.9180419690365</v>
      </c>
      <c r="S41" s="32">
        <f t="shared" si="13"/>
        <v>9866.8101846326608</v>
      </c>
      <c r="T41" s="32">
        <f t="shared" si="13"/>
        <v>9985.7462461428222</v>
      </c>
      <c r="U41" s="32">
        <f t="shared" si="12"/>
        <v>10111.72371288598</v>
      </c>
      <c r="V41" s="32">
        <f t="shared" si="7"/>
        <v>10238.084678033105</v>
      </c>
      <c r="W41" s="32">
        <f t="shared" si="7"/>
        <v>10358.417145197085</v>
      </c>
      <c r="X41" s="32">
        <f t="shared" si="7"/>
        <v>10575.385222848266</v>
      </c>
      <c r="Y41" s="32"/>
      <c r="Z41" s="386" t="str">
        <f t="shared" si="11"/>
        <v>35-44W LED fixture &amp; NEW Photocell_Replacing_175W MV fixtureOregon</v>
      </c>
      <c r="AA41" s="41">
        <f t="shared" si="10"/>
        <v>8989.0774394210257</v>
      </c>
    </row>
    <row r="42" spans="1:71">
      <c r="A42" s="51">
        <f>INDEX([2]APPLIC!$B$8:$F$67,MATCH($C42,[2]APPLIC!$B$9:$B$67,0)+1,MATCH($D42,[2]APPLIC!$C$8:$F$8,0)+1)</f>
        <v>0.18000000000000002</v>
      </c>
      <c r="B42" s="76">
        <v>1.3</v>
      </c>
      <c r="C42" t="s">
        <v>603</v>
      </c>
      <c r="D42" s="7" t="s">
        <v>134</v>
      </c>
      <c r="E42" s="32">
        <f t="shared" si="13"/>
        <v>8190.0000000000018</v>
      </c>
      <c r="F42" s="32">
        <f t="shared" si="13"/>
        <v>8272.807801556668</v>
      </c>
      <c r="G42" s="32">
        <f t="shared" si="13"/>
        <v>8356.0257746103252</v>
      </c>
      <c r="H42" s="32">
        <f t="shared" si="13"/>
        <v>8449.4199554137194</v>
      </c>
      <c r="I42" s="32">
        <f t="shared" si="13"/>
        <v>8616.7446858646817</v>
      </c>
      <c r="J42" s="32">
        <f t="shared" si="13"/>
        <v>8720.8248642022936</v>
      </c>
      <c r="K42" s="32">
        <f t="shared" si="13"/>
        <v>8826.1281042803985</v>
      </c>
      <c r="L42" s="32">
        <f t="shared" si="13"/>
        <v>8939.3056249352412</v>
      </c>
      <c r="M42" s="32">
        <f t="shared" si="13"/>
        <v>9047.155183970528</v>
      </c>
      <c r="N42" s="32">
        <f t="shared" si="13"/>
        <v>9240.4008844094842</v>
      </c>
      <c r="O42" s="32">
        <f t="shared" si="13"/>
        <v>9350.0315848412702</v>
      </c>
      <c r="P42" s="32">
        <f t="shared" si="13"/>
        <v>9460.4723451562531</v>
      </c>
      <c r="Q42" s="32">
        <f t="shared" si="13"/>
        <v>9565.1095518118454</v>
      </c>
      <c r="R42" s="32">
        <f t="shared" si="13"/>
        <v>9676.9180419690365</v>
      </c>
      <c r="S42" s="32">
        <f t="shared" si="13"/>
        <v>9866.8101846326608</v>
      </c>
      <c r="T42" s="32">
        <f t="shared" si="13"/>
        <v>9985.7462461428222</v>
      </c>
      <c r="U42" s="32">
        <f t="shared" si="12"/>
        <v>10111.72371288598</v>
      </c>
      <c r="V42" s="32">
        <f t="shared" si="7"/>
        <v>10238.084678033105</v>
      </c>
      <c r="W42" s="32">
        <f t="shared" si="7"/>
        <v>10358.417145197085</v>
      </c>
      <c r="X42" s="32">
        <f t="shared" si="7"/>
        <v>10575.385222848266</v>
      </c>
      <c r="Y42" s="32"/>
      <c r="Z42" s="386" t="str">
        <f t="shared" si="11"/>
        <v>35-44W LED fixture &amp; NEW Photocell_Replacing_200W HID fixtureOregon</v>
      </c>
      <c r="AA42" s="41">
        <f t="shared" si="10"/>
        <v>8989.0774394210257</v>
      </c>
    </row>
    <row r="43" spans="1:71">
      <c r="E43" s="32"/>
      <c r="F43" s="32"/>
      <c r="G43" s="32"/>
      <c r="H43" s="32"/>
      <c r="I43" s="32"/>
      <c r="J43" s="32"/>
      <c r="K43" s="32"/>
      <c r="L43" s="32"/>
      <c r="M43" s="32"/>
      <c r="N43" s="32"/>
      <c r="O43" s="32"/>
      <c r="P43" s="32"/>
      <c r="Q43" s="32"/>
      <c r="R43" s="32"/>
      <c r="S43" s="32"/>
      <c r="T43" s="32"/>
      <c r="U43" s="32"/>
      <c r="V43" s="32"/>
      <c r="W43" s="32"/>
      <c r="X43" s="32"/>
      <c r="Y43" s="32"/>
    </row>
    <row r="44" spans="1:71">
      <c r="E44" s="32">
        <f>SUM(E23:E42)</f>
        <v>128700.00000000001</v>
      </c>
      <c r="F44" s="32">
        <f t="shared" ref="F44:X44" si="14">SUM(F23:F42)</f>
        <v>129756.8076383014</v>
      </c>
      <c r="G44" s="32">
        <f t="shared" si="14"/>
        <v>130831.42722535015</v>
      </c>
      <c r="H44" s="32">
        <f t="shared" si="14"/>
        <v>131989.72413422947</v>
      </c>
      <c r="I44" s="32">
        <f t="shared" si="14"/>
        <v>133843.22409891122</v>
      </c>
      <c r="J44" s="32">
        <f t="shared" si="14"/>
        <v>135090.65161771176</v>
      </c>
      <c r="K44" s="32">
        <f t="shared" si="14"/>
        <v>136335.23018870119</v>
      </c>
      <c r="L44" s="32">
        <f t="shared" si="14"/>
        <v>137652.50928861776</v>
      </c>
      <c r="M44" s="32">
        <f t="shared" si="14"/>
        <v>138938.3171702305</v>
      </c>
      <c r="N44" s="32">
        <f t="shared" si="14"/>
        <v>141040.59733199616</v>
      </c>
      <c r="O44" s="32">
        <f t="shared" si="14"/>
        <v>142356.025731834</v>
      </c>
      <c r="P44" s="32">
        <f t="shared" si="14"/>
        <v>143666.80721499852</v>
      </c>
      <c r="Q44" s="32">
        <f t="shared" si="14"/>
        <v>144974.33514737533</v>
      </c>
      <c r="R44" s="32">
        <f t="shared" si="14"/>
        <v>146307.75643052976</v>
      </c>
      <c r="S44" s="32">
        <f t="shared" si="14"/>
        <v>148396.59884139689</v>
      </c>
      <c r="T44" s="32">
        <f t="shared" si="14"/>
        <v>149828.76968846703</v>
      </c>
      <c r="U44" s="32">
        <f t="shared" si="14"/>
        <v>151321.18264518812</v>
      </c>
      <c r="V44" s="32">
        <f t="shared" si="14"/>
        <v>152820.60946030822</v>
      </c>
      <c r="W44" s="32">
        <f t="shared" si="14"/>
        <v>154277.43331099482</v>
      </c>
      <c r="X44" s="32">
        <f t="shared" si="14"/>
        <v>156630.68480818605</v>
      </c>
      <c r="Y44" s="32"/>
      <c r="AA44" s="41">
        <f>MAX(E44:X44)*$AA$21</f>
        <v>133136.08208695814</v>
      </c>
    </row>
    <row r="45" spans="1:71">
      <c r="D45" s="32"/>
      <c r="E45" s="32"/>
      <c r="F45" s="32"/>
      <c r="G45" s="32"/>
      <c r="H45" s="32"/>
      <c r="I45" s="32"/>
      <c r="J45" s="32"/>
      <c r="K45" s="32"/>
      <c r="L45" s="32"/>
      <c r="M45" s="32"/>
      <c r="N45" s="32"/>
      <c r="O45" s="32"/>
      <c r="P45" s="32"/>
      <c r="Q45" s="32"/>
      <c r="R45" s="32"/>
      <c r="S45" s="32"/>
      <c r="T45" s="32"/>
      <c r="U45" s="32"/>
      <c r="V45" s="32"/>
      <c r="W45" s="32"/>
      <c r="X45" s="32"/>
    </row>
    <row r="47" spans="1:71" ht="15">
      <c r="A47" s="50" t="str">
        <f>CONCATENATE("# UNITS ACHIEVABLE BY YEAR FOR MEASURE - ",C48)</f>
        <v># UNITS ACHIEVABLE BY YEAR FOR MEASURE - Lighting - Retro</v>
      </c>
      <c r="E47" s="58" t="s">
        <v>33</v>
      </c>
      <c r="F47"/>
    </row>
    <row r="48" spans="1:71" ht="15">
      <c r="C48" s="58" t="str">
        <f>C22</f>
        <v>Lighting - Retro</v>
      </c>
      <c r="E48" s="62">
        <f>VLOOKUP($C$48,[2]ACHIEV!$B$12:$X$106,MATCH(E$11,$E$11:$Y$11,0)+2,FALSE)</f>
        <v>0.22119921692859512</v>
      </c>
      <c r="F48" s="62">
        <f>VLOOKUP($C$48,[2]ACHIEV!$B$12:$X$106,MATCH(F$11,$E$11:$Y$11,0)+2,FALSE)</f>
        <v>0.17227012335877145</v>
      </c>
      <c r="G48" s="62">
        <f>VLOOKUP($C$48,[2]ACHIEV!$B$12:$X$106,MATCH(G$11,$E$11:$Y$11,0)+2,FALSE)</f>
        <v>0.13416410697161874</v>
      </c>
      <c r="H48" s="62">
        <f>VLOOKUP($C$48,[2]ACHIEV!$B$12:$X$106,MATCH(H$11,$E$11:$Y$11,0)+2,FALSE)</f>
        <v>0.10448711156957236</v>
      </c>
      <c r="I48" s="62">
        <f>VLOOKUP($C$48,[2]ACHIEV!$B$12:$X$106,MATCH(I$11,$E$11:$Y$11,0)+2,FALSE)</f>
        <v>8.1374644311252187E-2</v>
      </c>
      <c r="J48" s="62">
        <f>VLOOKUP($C$48,[2]ACHIEV!$B$12:$X$106,MATCH(J$11,$E$11:$Y$11,0)+2,FALSE)</f>
        <v>6.3374636711760357E-2</v>
      </c>
      <c r="K48" s="62">
        <f>VLOOKUP($C$48,[2]ACHIEV!$B$12:$X$106,MATCH(K$11,$E$11:$Y$11,0)+2,FALSE)</f>
        <v>4.9356216697984623E-2</v>
      </c>
      <c r="L48" s="62">
        <f>VLOOKUP($C$48,[2]ACHIEV!$B$12:$X$106,MATCH(L$11,$E$11:$Y$11,0)+2,FALSE)</f>
        <v>3.8438660213832465E-2</v>
      </c>
      <c r="M48" s="62">
        <f>VLOOKUP($C$48,[2]ACHIEV!$B$12:$X$106,MATCH(M$11,$E$11:$Y$11,0)+2,FALSE)</f>
        <v>2.9936058674748356E-2</v>
      </c>
      <c r="N48" s="62">
        <f>VLOOKUP($C$48,[2]ACHIEV!$B$12:$X$106,MATCH(N$11,$E$11:$Y$11,0)+2,FALSE)</f>
        <v>2.3314225937965505E-2</v>
      </c>
      <c r="O48" s="62">
        <f>VLOOKUP($C$48,[2]ACHIEV!$B$12:$X$106,MATCH(O$11,$E$11:$Y$11,0)+2,FALSE)</f>
        <v>1.8157137417191271E-2</v>
      </c>
      <c r="P48" s="62">
        <f>VLOOKUP($C$48,[2]ACHIEV!$B$12:$X$106,MATCH(P$11,$E$11:$Y$11,0)+2,FALSE)</f>
        <v>1.4140792838843619E-2</v>
      </c>
      <c r="Q48" s="62">
        <f>VLOOKUP($C$48,[2]ACHIEV!$B$12:$X$106,MATCH(Q$11,$E$11:$Y$11,0)+2,FALSE)</f>
        <v>1.1012860536141922E-2</v>
      </c>
      <c r="R48" s="62">
        <f>VLOOKUP($C$48,[2]ACHIEV!$B$12:$X$106,MATCH(R$11,$E$11:$Y$11,0)+2,FALSE)</f>
        <v>8.5768244094035495E-3</v>
      </c>
      <c r="S48" s="62">
        <f>VLOOKUP($C$48,[2]ACHIEV!$B$12:$X$106,MATCH(S$11,$E$11:$Y$11,0)+2,FALSE)</f>
        <v>6.6796375663094043E-3</v>
      </c>
      <c r="T48" s="62">
        <f>VLOOKUP($C$48,[2]ACHIEV!$B$12:$X$106,MATCH(T$11,$E$11:$Y$11,0)+2,FALSE)</f>
        <v>5.2021069672748554E-3</v>
      </c>
      <c r="U48" s="62">
        <f>VLOOKUP($C$48,[2]ACHIEV!$B$12:$X$106,MATCH(U$11,$E$11:$Y$11,0)+2,FALSE)</f>
        <v>4.051404979734996E-3</v>
      </c>
      <c r="V48" s="62">
        <f>VLOOKUP($C$48,[2]ACHIEV!$B$12:$X$106,MATCH(V$11,$E$11:$Y$11,0)+2,FALSE)</f>
        <v>3.1552373707569581E-3</v>
      </c>
      <c r="W48" s="62">
        <f>VLOOKUP($C$48,[2]ACHIEV!$B$12:$X$106,MATCH(W$11,$E$11:$Y$11,0)+2,FALSE)</f>
        <v>2.4573013351216755E-3</v>
      </c>
      <c r="X48" s="62">
        <f>VLOOKUP($C$48,[2]ACHIEV!$B$12:$X$106,MATCH(X$11,$E$11:$Y$11,0)+2,FALSE)</f>
        <v>1.913748204035115E-3</v>
      </c>
      <c r="Y48" s="62"/>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row>
    <row r="49" spans="2:71">
      <c r="B49" s="7" t="str">
        <f>C49&amp;D49</f>
        <v>35-44W LED fixture &amp; NEW Photocell_Replacing_100W HID fixtureIdaho</v>
      </c>
      <c r="C49" t="s">
        <v>601</v>
      </c>
      <c r="D49" s="386" t="s">
        <v>133</v>
      </c>
      <c r="E49" s="32">
        <f>E23*E$48*$AA$21</f>
        <v>1055.9165819303421</v>
      </c>
      <c r="F49" s="32">
        <f t="shared" ref="F49:X49" si="15">F23*F$48*$AA$21</f>
        <v>822.45148816607298</v>
      </c>
      <c r="G49" s="32">
        <f t="shared" si="15"/>
        <v>640.63716002419983</v>
      </c>
      <c r="H49" s="32">
        <f t="shared" si="15"/>
        <v>499.23412079111398</v>
      </c>
      <c r="I49" s="32">
        <f t="shared" si="15"/>
        <v>389.14656733762689</v>
      </c>
      <c r="J49" s="32">
        <f t="shared" si="15"/>
        <v>303.40714691184508</v>
      </c>
      <c r="K49" s="32">
        <f t="shared" si="15"/>
        <v>236.59423882790458</v>
      </c>
      <c r="L49" s="32">
        <f t="shared" si="15"/>
        <v>184.52519809311042</v>
      </c>
      <c r="M49" s="32">
        <f t="shared" si="15"/>
        <v>143.93649713229544</v>
      </c>
      <c r="N49" s="32">
        <f t="shared" si="15"/>
        <v>112.29071696638762</v>
      </c>
      <c r="O49" s="32">
        <f t="shared" si="15"/>
        <v>87.612039885279856</v>
      </c>
      <c r="P49" s="32">
        <f t="shared" si="15"/>
        <v>68.364542728607503</v>
      </c>
      <c r="Q49" s="32">
        <f t="shared" si="15"/>
        <v>53.350527222526225</v>
      </c>
      <c r="R49" s="32">
        <f t="shared" si="15"/>
        <v>41.63785287371514</v>
      </c>
      <c r="S49" s="32">
        <f t="shared" si="15"/>
        <v>32.499343571774993</v>
      </c>
      <c r="T49" s="32">
        <f t="shared" si="15"/>
        <v>25.367660872557867</v>
      </c>
      <c r="U49" s="32">
        <f t="shared" si="15"/>
        <v>19.802711528813383</v>
      </c>
      <c r="V49" s="32">
        <f t="shared" si="15"/>
        <v>15.459604042492499</v>
      </c>
      <c r="W49" s="32">
        <f t="shared" si="15"/>
        <v>12.069868984283946</v>
      </c>
      <c r="X49" s="32">
        <f t="shared" si="15"/>
        <v>9.4238469449168107</v>
      </c>
      <c r="Y49" s="32"/>
      <c r="AA49" s="32">
        <f t="shared" ref="AA49:AA51" si="16">SUM(E49:X49)</f>
        <v>4753.727714835868</v>
      </c>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row>
    <row r="50" spans="2:71">
      <c r="B50" s="7" t="str">
        <f t="shared" ref="B50:B68" si="17">C50&amp;D50</f>
        <v>35-44W LED fixture &amp; NEW Photocell_Replacing_150W HID fixtureIdaho</v>
      </c>
      <c r="C50" t="s">
        <v>600</v>
      </c>
      <c r="D50" s="386" t="s">
        <v>133</v>
      </c>
      <c r="E50" s="32">
        <f t="shared" ref="E50:X50" si="18">E24*E$48*$AA$21</f>
        <v>1055.9165819303421</v>
      </c>
      <c r="F50" s="32">
        <f t="shared" si="18"/>
        <v>822.45148816607298</v>
      </c>
      <c r="G50" s="32">
        <f t="shared" si="18"/>
        <v>640.63716002419983</v>
      </c>
      <c r="H50" s="32">
        <f t="shared" si="18"/>
        <v>499.23412079111398</v>
      </c>
      <c r="I50" s="32">
        <f t="shared" si="18"/>
        <v>389.14656733762689</v>
      </c>
      <c r="J50" s="32">
        <f t="shared" si="18"/>
        <v>303.40714691184508</v>
      </c>
      <c r="K50" s="32">
        <f t="shared" si="18"/>
        <v>236.59423882790458</v>
      </c>
      <c r="L50" s="32">
        <f t="shared" si="18"/>
        <v>184.52519809311042</v>
      </c>
      <c r="M50" s="32">
        <f t="shared" si="18"/>
        <v>143.93649713229544</v>
      </c>
      <c r="N50" s="32">
        <f t="shared" si="18"/>
        <v>112.29071696638762</v>
      </c>
      <c r="O50" s="32">
        <f t="shared" si="18"/>
        <v>87.612039885279856</v>
      </c>
      <c r="P50" s="32">
        <f t="shared" si="18"/>
        <v>68.364542728607503</v>
      </c>
      <c r="Q50" s="32">
        <f t="shared" si="18"/>
        <v>53.350527222526225</v>
      </c>
      <c r="R50" s="32">
        <f t="shared" si="18"/>
        <v>41.63785287371514</v>
      </c>
      <c r="S50" s="32">
        <f t="shared" si="18"/>
        <v>32.499343571774993</v>
      </c>
      <c r="T50" s="32">
        <f t="shared" si="18"/>
        <v>25.367660872557867</v>
      </c>
      <c r="U50" s="32">
        <f t="shared" si="18"/>
        <v>19.802711528813383</v>
      </c>
      <c r="V50" s="32">
        <f t="shared" si="18"/>
        <v>15.459604042492499</v>
      </c>
      <c r="W50" s="32">
        <f t="shared" si="18"/>
        <v>12.069868984283946</v>
      </c>
      <c r="X50" s="32">
        <f t="shared" si="18"/>
        <v>9.4238469449168107</v>
      </c>
      <c r="Y50" s="32"/>
      <c r="AA50" s="32">
        <f t="shared" si="16"/>
        <v>4753.727714835868</v>
      </c>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row>
    <row r="51" spans="2:71">
      <c r="B51" s="7" t="str">
        <f t="shared" si="17"/>
        <v>35-44W LED fixture &amp; NEW Photocell_Replacing_175W MH fixtureIdaho</v>
      </c>
      <c r="C51" t="s">
        <v>599</v>
      </c>
      <c r="D51" s="386" t="s">
        <v>133</v>
      </c>
      <c r="E51" s="32">
        <f t="shared" ref="E51:X51" si="19">E25*E$48*$AA$21</f>
        <v>1055.9165819303421</v>
      </c>
      <c r="F51" s="32">
        <f t="shared" si="19"/>
        <v>822.45148816607298</v>
      </c>
      <c r="G51" s="32">
        <f t="shared" si="19"/>
        <v>640.63716002419983</v>
      </c>
      <c r="H51" s="32">
        <f t="shared" si="19"/>
        <v>499.23412079111398</v>
      </c>
      <c r="I51" s="32">
        <f t="shared" si="19"/>
        <v>389.14656733762689</v>
      </c>
      <c r="J51" s="32">
        <f t="shared" si="19"/>
        <v>303.40714691184508</v>
      </c>
      <c r="K51" s="32">
        <f t="shared" si="19"/>
        <v>236.59423882790458</v>
      </c>
      <c r="L51" s="32">
        <f t="shared" si="19"/>
        <v>184.52519809311042</v>
      </c>
      <c r="M51" s="32">
        <f t="shared" si="19"/>
        <v>143.93649713229544</v>
      </c>
      <c r="N51" s="32">
        <f t="shared" si="19"/>
        <v>112.29071696638762</v>
      </c>
      <c r="O51" s="32">
        <f t="shared" si="19"/>
        <v>87.612039885279856</v>
      </c>
      <c r="P51" s="32">
        <f t="shared" si="19"/>
        <v>68.364542728607503</v>
      </c>
      <c r="Q51" s="32">
        <f t="shared" si="19"/>
        <v>53.350527222526225</v>
      </c>
      <c r="R51" s="32">
        <f t="shared" si="19"/>
        <v>41.63785287371514</v>
      </c>
      <c r="S51" s="32">
        <f t="shared" si="19"/>
        <v>32.499343571774993</v>
      </c>
      <c r="T51" s="32">
        <f t="shared" si="19"/>
        <v>25.367660872557867</v>
      </c>
      <c r="U51" s="32">
        <f t="shared" si="19"/>
        <v>19.802711528813383</v>
      </c>
      <c r="V51" s="32">
        <f t="shared" si="19"/>
        <v>15.459604042492499</v>
      </c>
      <c r="W51" s="32">
        <f t="shared" si="19"/>
        <v>12.069868984283946</v>
      </c>
      <c r="X51" s="32">
        <f t="shared" si="19"/>
        <v>9.4238469449168107</v>
      </c>
      <c r="Y51" s="32"/>
      <c r="AA51" s="32">
        <f t="shared" si="16"/>
        <v>4753.727714835868</v>
      </c>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row>
    <row r="52" spans="2:71">
      <c r="B52" s="7" t="str">
        <f t="shared" si="17"/>
        <v>35-44W LED fixture &amp; NEW Photocell_Replacing_175W MV fixtureIdaho</v>
      </c>
      <c r="C52" t="s">
        <v>602</v>
      </c>
      <c r="D52" s="386" t="s">
        <v>133</v>
      </c>
      <c r="E52" s="32">
        <f t="shared" ref="E52:X52" si="20">E26*E$48*$AA$21</f>
        <v>1055.9165819303421</v>
      </c>
      <c r="F52" s="32">
        <f t="shared" si="20"/>
        <v>822.45148816607298</v>
      </c>
      <c r="G52" s="32">
        <f t="shared" si="20"/>
        <v>640.63716002419983</v>
      </c>
      <c r="H52" s="32">
        <f t="shared" si="20"/>
        <v>499.23412079111398</v>
      </c>
      <c r="I52" s="32">
        <f t="shared" si="20"/>
        <v>389.14656733762689</v>
      </c>
      <c r="J52" s="32">
        <f t="shared" si="20"/>
        <v>303.40714691184508</v>
      </c>
      <c r="K52" s="32">
        <f t="shared" si="20"/>
        <v>236.59423882790458</v>
      </c>
      <c r="L52" s="32">
        <f t="shared" si="20"/>
        <v>184.52519809311042</v>
      </c>
      <c r="M52" s="32">
        <f t="shared" si="20"/>
        <v>143.93649713229544</v>
      </c>
      <c r="N52" s="32">
        <f t="shared" si="20"/>
        <v>112.29071696638762</v>
      </c>
      <c r="O52" s="32">
        <f t="shared" si="20"/>
        <v>87.612039885279856</v>
      </c>
      <c r="P52" s="32">
        <f t="shared" si="20"/>
        <v>68.364542728607503</v>
      </c>
      <c r="Q52" s="32">
        <f t="shared" si="20"/>
        <v>53.350527222526225</v>
      </c>
      <c r="R52" s="32">
        <f t="shared" si="20"/>
        <v>41.63785287371514</v>
      </c>
      <c r="S52" s="32">
        <f t="shared" si="20"/>
        <v>32.499343571774993</v>
      </c>
      <c r="T52" s="32">
        <f t="shared" si="20"/>
        <v>25.367660872557867</v>
      </c>
      <c r="U52" s="32">
        <f t="shared" si="20"/>
        <v>19.802711528813383</v>
      </c>
      <c r="V52" s="32">
        <f t="shared" si="20"/>
        <v>15.459604042492499</v>
      </c>
      <c r="W52" s="32">
        <f t="shared" si="20"/>
        <v>12.069868984283946</v>
      </c>
      <c r="X52" s="32">
        <f t="shared" si="20"/>
        <v>9.4238469449168107</v>
      </c>
      <c r="Y52" s="32"/>
      <c r="AA52" s="32">
        <f>SUM(E52:X52)</f>
        <v>4753.727714835868</v>
      </c>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row>
    <row r="53" spans="2:71">
      <c r="B53" s="7" t="str">
        <f t="shared" si="17"/>
        <v>35-44W LED fixture &amp; NEW Photocell_Replacing_200W HID fixtureIdaho</v>
      </c>
      <c r="C53" t="s">
        <v>603</v>
      </c>
      <c r="D53" s="386" t="s">
        <v>133</v>
      </c>
      <c r="E53" s="32">
        <f t="shared" ref="E53:X53" si="21">E27*E$48*$AA$21</f>
        <v>1055.9165819303421</v>
      </c>
      <c r="F53" s="32">
        <f t="shared" si="21"/>
        <v>822.45148816607298</v>
      </c>
      <c r="G53" s="32">
        <f t="shared" si="21"/>
        <v>640.63716002419983</v>
      </c>
      <c r="H53" s="32">
        <f t="shared" si="21"/>
        <v>499.23412079111398</v>
      </c>
      <c r="I53" s="32">
        <f t="shared" si="21"/>
        <v>389.14656733762689</v>
      </c>
      <c r="J53" s="32">
        <f t="shared" si="21"/>
        <v>303.40714691184508</v>
      </c>
      <c r="K53" s="32">
        <f t="shared" si="21"/>
        <v>236.59423882790458</v>
      </c>
      <c r="L53" s="32">
        <f t="shared" si="21"/>
        <v>184.52519809311042</v>
      </c>
      <c r="M53" s="32">
        <f t="shared" si="21"/>
        <v>143.93649713229544</v>
      </c>
      <c r="N53" s="32">
        <f t="shared" si="21"/>
        <v>112.29071696638762</v>
      </c>
      <c r="O53" s="32">
        <f t="shared" si="21"/>
        <v>87.612039885279856</v>
      </c>
      <c r="P53" s="32">
        <f t="shared" si="21"/>
        <v>68.364542728607503</v>
      </c>
      <c r="Q53" s="32">
        <f t="shared" si="21"/>
        <v>53.350527222526225</v>
      </c>
      <c r="R53" s="32">
        <f t="shared" si="21"/>
        <v>41.63785287371514</v>
      </c>
      <c r="S53" s="32">
        <f t="shared" si="21"/>
        <v>32.499343571774993</v>
      </c>
      <c r="T53" s="32">
        <f t="shared" si="21"/>
        <v>25.367660872557867</v>
      </c>
      <c r="U53" s="32">
        <f t="shared" si="21"/>
        <v>19.802711528813383</v>
      </c>
      <c r="V53" s="32">
        <f t="shared" si="21"/>
        <v>15.459604042492499</v>
      </c>
      <c r="W53" s="32">
        <f t="shared" si="21"/>
        <v>12.069868984283946</v>
      </c>
      <c r="X53" s="32">
        <f t="shared" si="21"/>
        <v>9.4238469449168107</v>
      </c>
      <c r="Y53" s="32"/>
      <c r="AA53" s="32">
        <f t="shared" ref="AA53:AA54" si="22">SUM(E53:X53)</f>
        <v>4753.727714835868</v>
      </c>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row>
    <row r="54" spans="2:71">
      <c r="B54" s="7" t="str">
        <f t="shared" si="17"/>
        <v>35-44W LED fixture &amp; NEW Photocell_Replacing_100W HID fixtureMontana</v>
      </c>
      <c r="C54" t="s">
        <v>601</v>
      </c>
      <c r="D54" s="386" t="s">
        <v>132</v>
      </c>
      <c r="E54" s="32">
        <f t="shared" ref="E54:X54" si="23">E28*E$48*$AA$21</f>
        <v>615.95133945936618</v>
      </c>
      <c r="F54" s="32">
        <f t="shared" si="23"/>
        <v>484.90732406284502</v>
      </c>
      <c r="G54" s="32">
        <f t="shared" si="23"/>
        <v>381.64648778425658</v>
      </c>
      <c r="H54" s="32">
        <f t="shared" si="23"/>
        <v>300.42245653028408</v>
      </c>
      <c r="I54" s="32">
        <f t="shared" si="23"/>
        <v>236.48640212061193</v>
      </c>
      <c r="J54" s="32">
        <f t="shared" si="23"/>
        <v>185.5859812626619</v>
      </c>
      <c r="K54" s="32">
        <f t="shared" si="23"/>
        <v>145.64066002062205</v>
      </c>
      <c r="L54" s="32">
        <f t="shared" si="23"/>
        <v>114.32379124596874</v>
      </c>
      <c r="M54" s="32">
        <f t="shared" si="23"/>
        <v>89.760732563953113</v>
      </c>
      <c r="N54" s="32">
        <f t="shared" si="23"/>
        <v>70.488133319330444</v>
      </c>
      <c r="O54" s="32">
        <f t="shared" si="23"/>
        <v>55.361258928590097</v>
      </c>
      <c r="P54" s="32">
        <f t="shared" si="23"/>
        <v>43.485920588835739</v>
      </c>
      <c r="Q54" s="32">
        <f t="shared" si="23"/>
        <v>34.161057062516001</v>
      </c>
      <c r="R54" s="32">
        <f t="shared" si="23"/>
        <v>26.837929762283242</v>
      </c>
      <c r="S54" s="32">
        <f t="shared" si="23"/>
        <v>21.085901283074378</v>
      </c>
      <c r="T54" s="32">
        <f t="shared" si="23"/>
        <v>16.566811436732458</v>
      </c>
      <c r="U54" s="32">
        <f t="shared" si="23"/>
        <v>13.016833178060443</v>
      </c>
      <c r="V54" s="32">
        <f t="shared" si="23"/>
        <v>10.227722566304287</v>
      </c>
      <c r="W54" s="32">
        <f t="shared" si="23"/>
        <v>8.0363446517731223</v>
      </c>
      <c r="X54" s="32">
        <f t="shared" si="23"/>
        <v>6.3144235891151883</v>
      </c>
      <c r="Y54" s="32"/>
      <c r="AA54" s="32">
        <f t="shared" si="22"/>
        <v>2860.3075114171843</v>
      </c>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row>
    <row r="55" spans="2:71">
      <c r="B55" s="7" t="str">
        <f t="shared" si="17"/>
        <v>35-44W LED fixture &amp; NEW Photocell_Replacing_150W HID fixtureMontana</v>
      </c>
      <c r="C55" t="s">
        <v>600</v>
      </c>
      <c r="D55" s="386" t="s">
        <v>132</v>
      </c>
      <c r="E55" s="32">
        <f t="shared" ref="E55:X55" si="24">E29*E$48*$AA$21</f>
        <v>615.95133945936618</v>
      </c>
      <c r="F55" s="32">
        <f t="shared" si="24"/>
        <v>484.90732406284502</v>
      </c>
      <c r="G55" s="32">
        <f t="shared" si="24"/>
        <v>381.64648778425658</v>
      </c>
      <c r="H55" s="32">
        <f t="shared" si="24"/>
        <v>300.42245653028408</v>
      </c>
      <c r="I55" s="32">
        <f t="shared" si="24"/>
        <v>236.48640212061193</v>
      </c>
      <c r="J55" s="32">
        <f t="shared" si="24"/>
        <v>185.5859812626619</v>
      </c>
      <c r="K55" s="32">
        <f t="shared" si="24"/>
        <v>145.64066002062205</v>
      </c>
      <c r="L55" s="32">
        <f t="shared" si="24"/>
        <v>114.32379124596874</v>
      </c>
      <c r="M55" s="32">
        <f t="shared" si="24"/>
        <v>89.760732563953113</v>
      </c>
      <c r="N55" s="32">
        <f t="shared" si="24"/>
        <v>70.488133319330444</v>
      </c>
      <c r="O55" s="32">
        <f t="shared" si="24"/>
        <v>55.361258928590097</v>
      </c>
      <c r="P55" s="32">
        <f t="shared" si="24"/>
        <v>43.485920588835739</v>
      </c>
      <c r="Q55" s="32">
        <f t="shared" si="24"/>
        <v>34.161057062516001</v>
      </c>
      <c r="R55" s="32">
        <f t="shared" si="24"/>
        <v>26.837929762283242</v>
      </c>
      <c r="S55" s="32">
        <f t="shared" si="24"/>
        <v>21.085901283074378</v>
      </c>
      <c r="T55" s="32">
        <f t="shared" si="24"/>
        <v>16.566811436732458</v>
      </c>
      <c r="U55" s="32">
        <f t="shared" si="24"/>
        <v>13.016833178060443</v>
      </c>
      <c r="V55" s="32">
        <f t="shared" si="24"/>
        <v>10.227722566304287</v>
      </c>
      <c r="W55" s="32">
        <f t="shared" si="24"/>
        <v>8.0363446517731223</v>
      </c>
      <c r="X55" s="32">
        <f t="shared" si="24"/>
        <v>6.3144235891151883</v>
      </c>
      <c r="Y55" s="32"/>
      <c r="AA55" s="32">
        <f>SUM(E55:X55)</f>
        <v>2860.3075114171843</v>
      </c>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row>
    <row r="56" spans="2:71" s="386" customFormat="1">
      <c r="B56" s="386" t="str">
        <f>C56&amp;D56</f>
        <v>35-44W LED fixture &amp; NEW Photocell_Replacing_175W MH fixtureMontana</v>
      </c>
      <c r="C56" t="s">
        <v>599</v>
      </c>
      <c r="D56" s="386" t="s">
        <v>132</v>
      </c>
      <c r="E56" s="32">
        <f t="shared" ref="E56:X56" si="25">E30*E$48*$AA$21</f>
        <v>615.95133945936618</v>
      </c>
      <c r="F56" s="32">
        <f t="shared" si="25"/>
        <v>484.90732406284502</v>
      </c>
      <c r="G56" s="32">
        <f t="shared" si="25"/>
        <v>381.64648778425658</v>
      </c>
      <c r="H56" s="32">
        <f t="shared" si="25"/>
        <v>300.42245653028408</v>
      </c>
      <c r="I56" s="32">
        <f t="shared" si="25"/>
        <v>236.48640212061193</v>
      </c>
      <c r="J56" s="32">
        <f t="shared" si="25"/>
        <v>185.5859812626619</v>
      </c>
      <c r="K56" s="32">
        <f t="shared" si="25"/>
        <v>145.64066002062205</v>
      </c>
      <c r="L56" s="32">
        <f t="shared" si="25"/>
        <v>114.32379124596874</v>
      </c>
      <c r="M56" s="32">
        <f t="shared" si="25"/>
        <v>89.760732563953113</v>
      </c>
      <c r="N56" s="32">
        <f t="shared" si="25"/>
        <v>70.488133319330444</v>
      </c>
      <c r="O56" s="32">
        <f t="shared" si="25"/>
        <v>55.361258928590097</v>
      </c>
      <c r="P56" s="32">
        <f t="shared" si="25"/>
        <v>43.485920588835739</v>
      </c>
      <c r="Q56" s="32">
        <f t="shared" si="25"/>
        <v>34.161057062516001</v>
      </c>
      <c r="R56" s="32">
        <f t="shared" si="25"/>
        <v>26.837929762283242</v>
      </c>
      <c r="S56" s="32">
        <f t="shared" si="25"/>
        <v>21.085901283074378</v>
      </c>
      <c r="T56" s="32">
        <f t="shared" si="25"/>
        <v>16.566811436732458</v>
      </c>
      <c r="U56" s="32">
        <f t="shared" si="25"/>
        <v>13.016833178060443</v>
      </c>
      <c r="V56" s="32">
        <f t="shared" si="25"/>
        <v>10.227722566304287</v>
      </c>
      <c r="W56" s="32">
        <f t="shared" si="25"/>
        <v>8.0363446517731223</v>
      </c>
      <c r="X56" s="32">
        <f t="shared" si="25"/>
        <v>6.3144235891151883</v>
      </c>
      <c r="Y56" s="32"/>
      <c r="AA56" s="32">
        <f t="shared" ref="AA56:AA58" si="26">SUM(E56:X56)</f>
        <v>2860.3075114171843</v>
      </c>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row>
    <row r="57" spans="2:71" s="386" customFormat="1">
      <c r="B57" s="386" t="str">
        <f t="shared" ref="B57:B62" si="27">C57&amp;D57</f>
        <v>35-44W LED fixture &amp; NEW Photocell_Replacing_175W MV fixtureMontana</v>
      </c>
      <c r="C57" t="s">
        <v>602</v>
      </c>
      <c r="D57" s="386" t="s">
        <v>132</v>
      </c>
      <c r="E57" s="32">
        <f t="shared" ref="E57:X57" si="28">E31*E$48*$AA$21</f>
        <v>615.95133945936618</v>
      </c>
      <c r="F57" s="32">
        <f t="shared" si="28"/>
        <v>484.90732406284502</v>
      </c>
      <c r="G57" s="32">
        <f t="shared" si="28"/>
        <v>381.64648778425658</v>
      </c>
      <c r="H57" s="32">
        <f t="shared" si="28"/>
        <v>300.42245653028408</v>
      </c>
      <c r="I57" s="32">
        <f t="shared" si="28"/>
        <v>236.48640212061193</v>
      </c>
      <c r="J57" s="32">
        <f t="shared" si="28"/>
        <v>185.5859812626619</v>
      </c>
      <c r="K57" s="32">
        <f t="shared" si="28"/>
        <v>145.64066002062205</v>
      </c>
      <c r="L57" s="32">
        <f t="shared" si="28"/>
        <v>114.32379124596874</v>
      </c>
      <c r="M57" s="32">
        <f t="shared" si="28"/>
        <v>89.760732563953113</v>
      </c>
      <c r="N57" s="32">
        <f t="shared" si="28"/>
        <v>70.488133319330444</v>
      </c>
      <c r="O57" s="32">
        <f t="shared" si="28"/>
        <v>55.361258928590097</v>
      </c>
      <c r="P57" s="32">
        <f t="shared" si="28"/>
        <v>43.485920588835739</v>
      </c>
      <c r="Q57" s="32">
        <f t="shared" si="28"/>
        <v>34.161057062516001</v>
      </c>
      <c r="R57" s="32">
        <f t="shared" si="28"/>
        <v>26.837929762283242</v>
      </c>
      <c r="S57" s="32">
        <f t="shared" si="28"/>
        <v>21.085901283074378</v>
      </c>
      <c r="T57" s="32">
        <f t="shared" si="28"/>
        <v>16.566811436732458</v>
      </c>
      <c r="U57" s="32">
        <f t="shared" si="28"/>
        <v>13.016833178060443</v>
      </c>
      <c r="V57" s="32">
        <f t="shared" si="28"/>
        <v>10.227722566304287</v>
      </c>
      <c r="W57" s="32">
        <f t="shared" si="28"/>
        <v>8.0363446517731223</v>
      </c>
      <c r="X57" s="32">
        <f t="shared" si="28"/>
        <v>6.3144235891151883</v>
      </c>
      <c r="Y57" s="32"/>
      <c r="AA57" s="32">
        <f t="shared" si="26"/>
        <v>2860.3075114171843</v>
      </c>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row>
    <row r="58" spans="2:71" s="386" customFormat="1">
      <c r="B58" s="386" t="str">
        <f t="shared" si="27"/>
        <v>35-44W LED fixture &amp; NEW Photocell_Replacing_200W HID fixtureMontana</v>
      </c>
      <c r="C58" t="s">
        <v>603</v>
      </c>
      <c r="D58" s="386" t="s">
        <v>132</v>
      </c>
      <c r="E58" s="32">
        <f t="shared" ref="E58:X58" si="29">E32*E$48*$AA$21</f>
        <v>615.95133945936618</v>
      </c>
      <c r="F58" s="32">
        <f t="shared" si="29"/>
        <v>484.90732406284502</v>
      </c>
      <c r="G58" s="32">
        <f t="shared" si="29"/>
        <v>381.64648778425658</v>
      </c>
      <c r="H58" s="32">
        <f t="shared" si="29"/>
        <v>300.42245653028408</v>
      </c>
      <c r="I58" s="32">
        <f t="shared" si="29"/>
        <v>236.48640212061193</v>
      </c>
      <c r="J58" s="32">
        <f t="shared" si="29"/>
        <v>185.5859812626619</v>
      </c>
      <c r="K58" s="32">
        <f t="shared" si="29"/>
        <v>145.64066002062205</v>
      </c>
      <c r="L58" s="32">
        <f t="shared" si="29"/>
        <v>114.32379124596874</v>
      </c>
      <c r="M58" s="32">
        <f t="shared" si="29"/>
        <v>89.760732563953113</v>
      </c>
      <c r="N58" s="32">
        <f t="shared" si="29"/>
        <v>70.488133319330444</v>
      </c>
      <c r="O58" s="32">
        <f t="shared" si="29"/>
        <v>55.361258928590097</v>
      </c>
      <c r="P58" s="32">
        <f t="shared" si="29"/>
        <v>43.485920588835739</v>
      </c>
      <c r="Q58" s="32">
        <f t="shared" si="29"/>
        <v>34.161057062516001</v>
      </c>
      <c r="R58" s="32">
        <f t="shared" si="29"/>
        <v>26.837929762283242</v>
      </c>
      <c r="S58" s="32">
        <f t="shared" si="29"/>
        <v>21.085901283074378</v>
      </c>
      <c r="T58" s="32">
        <f t="shared" si="29"/>
        <v>16.566811436732458</v>
      </c>
      <c r="U58" s="32">
        <f t="shared" si="29"/>
        <v>13.016833178060443</v>
      </c>
      <c r="V58" s="32">
        <f t="shared" si="29"/>
        <v>10.227722566304287</v>
      </c>
      <c r="W58" s="32">
        <f t="shared" si="29"/>
        <v>8.0363446517731223</v>
      </c>
      <c r="X58" s="32">
        <f t="shared" si="29"/>
        <v>6.3144235891151883</v>
      </c>
      <c r="Y58" s="32"/>
      <c r="AA58" s="32">
        <f t="shared" si="26"/>
        <v>2860.3075114171843</v>
      </c>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row>
    <row r="59" spans="2:71" s="386" customFormat="1">
      <c r="B59" s="386" t="str">
        <f t="shared" si="27"/>
        <v>35-44W LED fixture &amp; NEW Photocell_Replacing_100W HID fixtureWashington</v>
      </c>
      <c r="C59" t="s">
        <v>601</v>
      </c>
      <c r="D59" s="386" t="s">
        <v>135</v>
      </c>
      <c r="E59" s="32">
        <f t="shared" ref="E59:X59" si="30">E33*E$48*$AA$21</f>
        <v>1627.8713971426105</v>
      </c>
      <c r="F59" s="32">
        <f t="shared" si="30"/>
        <v>1281.3048242915379</v>
      </c>
      <c r="G59" s="32">
        <f t="shared" si="30"/>
        <v>1008.7892982684264</v>
      </c>
      <c r="H59" s="32">
        <f t="shared" si="30"/>
        <v>794.42451531659367</v>
      </c>
      <c r="I59" s="32">
        <f t="shared" si="30"/>
        <v>629.90578496703642</v>
      </c>
      <c r="J59" s="32">
        <f t="shared" si="30"/>
        <v>496.65419517181044</v>
      </c>
      <c r="K59" s="32">
        <f t="shared" si="30"/>
        <v>391.41295154002853</v>
      </c>
      <c r="L59" s="32">
        <f t="shared" si="30"/>
        <v>308.5785843776282</v>
      </c>
      <c r="M59" s="32">
        <f t="shared" si="30"/>
        <v>243.16718168728943</v>
      </c>
      <c r="N59" s="32">
        <f t="shared" si="30"/>
        <v>193.10617478029923</v>
      </c>
      <c r="O59" s="32">
        <f t="shared" si="30"/>
        <v>152.13461073052613</v>
      </c>
      <c r="P59" s="32">
        <f t="shared" si="30"/>
        <v>119.80337900037692</v>
      </c>
      <c r="Q59" s="32">
        <f t="shared" si="30"/>
        <v>94.369043664638596</v>
      </c>
      <c r="R59" s="32">
        <f t="shared" si="30"/>
        <v>74.302083752901879</v>
      </c>
      <c r="S59" s="32">
        <f t="shared" si="30"/>
        <v>58.904080948273602</v>
      </c>
      <c r="T59" s="32">
        <f t="shared" si="30"/>
        <v>46.412944326367068</v>
      </c>
      <c r="U59" s="32">
        <f t="shared" si="30"/>
        <v>36.579547454026759</v>
      </c>
      <c r="V59" s="32">
        <f t="shared" si="30"/>
        <v>28.826124775737782</v>
      </c>
      <c r="W59" s="32">
        <f t="shared" si="30"/>
        <v>22.706141210621862</v>
      </c>
      <c r="X59" s="32">
        <f t="shared" si="30"/>
        <v>18.016686257580997</v>
      </c>
      <c r="Y59" s="32"/>
      <c r="AA59" s="32">
        <f>SUM(E59:X59)</f>
        <v>7627.2695496643137</v>
      </c>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row>
    <row r="60" spans="2:71" s="386" customFormat="1">
      <c r="B60" s="386" t="str">
        <f t="shared" si="27"/>
        <v>35-44W LED fixture &amp; NEW Photocell_Replacing_150W HID fixtureWashington</v>
      </c>
      <c r="C60" t="s">
        <v>600</v>
      </c>
      <c r="D60" s="386" t="s">
        <v>135</v>
      </c>
      <c r="E60" s="32">
        <f t="shared" ref="E60:X60" si="31">E34*E$48*$AA$21</f>
        <v>1627.8713971426105</v>
      </c>
      <c r="F60" s="32">
        <f t="shared" si="31"/>
        <v>1281.3048242915379</v>
      </c>
      <c r="G60" s="32">
        <f t="shared" si="31"/>
        <v>1008.7892982684264</v>
      </c>
      <c r="H60" s="32">
        <f t="shared" si="31"/>
        <v>794.42451531659367</v>
      </c>
      <c r="I60" s="32">
        <f t="shared" si="31"/>
        <v>629.90578496703642</v>
      </c>
      <c r="J60" s="32">
        <f t="shared" si="31"/>
        <v>496.65419517181044</v>
      </c>
      <c r="K60" s="32">
        <f t="shared" si="31"/>
        <v>391.41295154002853</v>
      </c>
      <c r="L60" s="32">
        <f t="shared" si="31"/>
        <v>308.5785843776282</v>
      </c>
      <c r="M60" s="32">
        <f t="shared" si="31"/>
        <v>243.16718168728943</v>
      </c>
      <c r="N60" s="32">
        <f t="shared" si="31"/>
        <v>193.10617478029923</v>
      </c>
      <c r="O60" s="32">
        <f t="shared" si="31"/>
        <v>152.13461073052613</v>
      </c>
      <c r="P60" s="32">
        <f t="shared" si="31"/>
        <v>119.80337900037692</v>
      </c>
      <c r="Q60" s="32">
        <f t="shared" si="31"/>
        <v>94.369043664638596</v>
      </c>
      <c r="R60" s="32">
        <f t="shared" si="31"/>
        <v>74.302083752901879</v>
      </c>
      <c r="S60" s="32">
        <f t="shared" si="31"/>
        <v>58.904080948273602</v>
      </c>
      <c r="T60" s="32">
        <f t="shared" si="31"/>
        <v>46.412944326367068</v>
      </c>
      <c r="U60" s="32">
        <f t="shared" si="31"/>
        <v>36.579547454026759</v>
      </c>
      <c r="V60" s="32">
        <f t="shared" si="31"/>
        <v>28.826124775737782</v>
      </c>
      <c r="W60" s="32">
        <f t="shared" si="31"/>
        <v>22.706141210621862</v>
      </c>
      <c r="X60" s="32">
        <f t="shared" si="31"/>
        <v>18.016686257580997</v>
      </c>
      <c r="Y60" s="32"/>
      <c r="AA60" s="32">
        <f t="shared" ref="AA60:AA61" si="32">SUM(E60:X60)</f>
        <v>7627.2695496643137</v>
      </c>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row>
    <row r="61" spans="2:71" s="386" customFormat="1">
      <c r="B61" s="386" t="str">
        <f t="shared" si="27"/>
        <v>35-44W LED fixture &amp; NEW Photocell_Replacing_175W MH fixtureWashington</v>
      </c>
      <c r="C61" t="s">
        <v>599</v>
      </c>
      <c r="D61" s="386" t="s">
        <v>135</v>
      </c>
      <c r="E61" s="32">
        <f t="shared" ref="E61:X61" si="33">E35*E$48*$AA$21</f>
        <v>1627.8713971426105</v>
      </c>
      <c r="F61" s="32">
        <f t="shared" si="33"/>
        <v>1281.3048242915379</v>
      </c>
      <c r="G61" s="32">
        <f t="shared" si="33"/>
        <v>1008.7892982684264</v>
      </c>
      <c r="H61" s="32">
        <f t="shared" si="33"/>
        <v>794.42451531659367</v>
      </c>
      <c r="I61" s="32">
        <f t="shared" si="33"/>
        <v>629.90578496703642</v>
      </c>
      <c r="J61" s="32">
        <f t="shared" si="33"/>
        <v>496.65419517181044</v>
      </c>
      <c r="K61" s="32">
        <f t="shared" si="33"/>
        <v>391.41295154002853</v>
      </c>
      <c r="L61" s="32">
        <f t="shared" si="33"/>
        <v>308.5785843776282</v>
      </c>
      <c r="M61" s="32">
        <f t="shared" si="33"/>
        <v>243.16718168728943</v>
      </c>
      <c r="N61" s="32">
        <f t="shared" si="33"/>
        <v>193.10617478029923</v>
      </c>
      <c r="O61" s="32">
        <f t="shared" si="33"/>
        <v>152.13461073052613</v>
      </c>
      <c r="P61" s="32">
        <f t="shared" si="33"/>
        <v>119.80337900037692</v>
      </c>
      <c r="Q61" s="32">
        <f t="shared" si="33"/>
        <v>94.369043664638596</v>
      </c>
      <c r="R61" s="32">
        <f t="shared" si="33"/>
        <v>74.302083752901879</v>
      </c>
      <c r="S61" s="32">
        <f t="shared" si="33"/>
        <v>58.904080948273602</v>
      </c>
      <c r="T61" s="32">
        <f t="shared" si="33"/>
        <v>46.412944326367068</v>
      </c>
      <c r="U61" s="32">
        <f t="shared" si="33"/>
        <v>36.579547454026759</v>
      </c>
      <c r="V61" s="32">
        <f t="shared" si="33"/>
        <v>28.826124775737782</v>
      </c>
      <c r="W61" s="32">
        <f t="shared" si="33"/>
        <v>22.706141210621862</v>
      </c>
      <c r="X61" s="32">
        <f t="shared" si="33"/>
        <v>18.016686257580997</v>
      </c>
      <c r="Y61" s="32"/>
      <c r="AA61" s="32">
        <f t="shared" si="32"/>
        <v>7627.2695496643137</v>
      </c>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row>
    <row r="62" spans="2:71" s="386" customFormat="1">
      <c r="B62" s="386" t="str">
        <f t="shared" si="27"/>
        <v>35-44W LED fixture &amp; NEW Photocell_Replacing_175W MV fixtureWashington</v>
      </c>
      <c r="C62" t="s">
        <v>602</v>
      </c>
      <c r="D62" s="386" t="s">
        <v>135</v>
      </c>
      <c r="E62" s="32">
        <f t="shared" ref="E62:X62" si="34">E36*E$48*$AA$21</f>
        <v>1627.8713971426105</v>
      </c>
      <c r="F62" s="32">
        <f t="shared" si="34"/>
        <v>1281.3048242915379</v>
      </c>
      <c r="G62" s="32">
        <f t="shared" si="34"/>
        <v>1008.7892982684264</v>
      </c>
      <c r="H62" s="32">
        <f t="shared" si="34"/>
        <v>794.42451531659367</v>
      </c>
      <c r="I62" s="32">
        <f t="shared" si="34"/>
        <v>629.90578496703642</v>
      </c>
      <c r="J62" s="32">
        <f t="shared" si="34"/>
        <v>496.65419517181044</v>
      </c>
      <c r="K62" s="32">
        <f t="shared" si="34"/>
        <v>391.41295154002853</v>
      </c>
      <c r="L62" s="32">
        <f t="shared" si="34"/>
        <v>308.5785843776282</v>
      </c>
      <c r="M62" s="32">
        <f t="shared" si="34"/>
        <v>243.16718168728943</v>
      </c>
      <c r="N62" s="32">
        <f t="shared" si="34"/>
        <v>193.10617478029923</v>
      </c>
      <c r="O62" s="32">
        <f t="shared" si="34"/>
        <v>152.13461073052613</v>
      </c>
      <c r="P62" s="32">
        <f t="shared" si="34"/>
        <v>119.80337900037692</v>
      </c>
      <c r="Q62" s="32">
        <f t="shared" si="34"/>
        <v>94.369043664638596</v>
      </c>
      <c r="R62" s="32">
        <f t="shared" si="34"/>
        <v>74.302083752901879</v>
      </c>
      <c r="S62" s="32">
        <f t="shared" si="34"/>
        <v>58.904080948273602</v>
      </c>
      <c r="T62" s="32">
        <f t="shared" si="34"/>
        <v>46.412944326367068</v>
      </c>
      <c r="U62" s="32">
        <f t="shared" si="34"/>
        <v>36.579547454026759</v>
      </c>
      <c r="V62" s="32">
        <f t="shared" si="34"/>
        <v>28.826124775737782</v>
      </c>
      <c r="W62" s="32">
        <f t="shared" si="34"/>
        <v>22.706141210621862</v>
      </c>
      <c r="X62" s="32">
        <f t="shared" si="34"/>
        <v>18.016686257580997</v>
      </c>
      <c r="Y62" s="32"/>
      <c r="AA62" s="32">
        <f>SUM(E62:X62)</f>
        <v>7627.2695496643137</v>
      </c>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row>
    <row r="63" spans="2:71">
      <c r="B63" s="7" t="str">
        <f t="shared" si="17"/>
        <v>35-44W LED fixture &amp; NEW Photocell_Replacing_200W HID fixtureWashington</v>
      </c>
      <c r="C63" t="s">
        <v>603</v>
      </c>
      <c r="D63" s="386" t="s">
        <v>135</v>
      </c>
      <c r="E63" s="32">
        <f t="shared" ref="E63:X63" si="35">E30*E$48*$AA$21</f>
        <v>615.95133945936618</v>
      </c>
      <c r="F63" s="32">
        <f t="shared" si="35"/>
        <v>484.90732406284502</v>
      </c>
      <c r="G63" s="32">
        <f t="shared" si="35"/>
        <v>381.64648778425658</v>
      </c>
      <c r="H63" s="32">
        <f t="shared" si="35"/>
        <v>300.42245653028408</v>
      </c>
      <c r="I63" s="32">
        <f t="shared" si="35"/>
        <v>236.48640212061193</v>
      </c>
      <c r="J63" s="32">
        <f t="shared" si="35"/>
        <v>185.5859812626619</v>
      </c>
      <c r="K63" s="32">
        <f t="shared" si="35"/>
        <v>145.64066002062205</v>
      </c>
      <c r="L63" s="32">
        <f t="shared" si="35"/>
        <v>114.32379124596874</v>
      </c>
      <c r="M63" s="32">
        <f t="shared" si="35"/>
        <v>89.760732563953113</v>
      </c>
      <c r="N63" s="32">
        <f t="shared" si="35"/>
        <v>70.488133319330444</v>
      </c>
      <c r="O63" s="32">
        <f t="shared" si="35"/>
        <v>55.361258928590097</v>
      </c>
      <c r="P63" s="32">
        <f t="shared" si="35"/>
        <v>43.485920588835739</v>
      </c>
      <c r="Q63" s="32">
        <f t="shared" si="35"/>
        <v>34.161057062516001</v>
      </c>
      <c r="R63" s="32">
        <f t="shared" si="35"/>
        <v>26.837929762283242</v>
      </c>
      <c r="S63" s="32">
        <f t="shared" si="35"/>
        <v>21.085901283074378</v>
      </c>
      <c r="T63" s="32">
        <f t="shared" si="35"/>
        <v>16.566811436732458</v>
      </c>
      <c r="U63" s="32">
        <f t="shared" si="35"/>
        <v>13.016833178060443</v>
      </c>
      <c r="V63" s="32">
        <f t="shared" si="35"/>
        <v>10.227722566304287</v>
      </c>
      <c r="W63" s="32">
        <f t="shared" si="35"/>
        <v>8.0363446517731223</v>
      </c>
      <c r="X63" s="32">
        <f t="shared" si="35"/>
        <v>6.3144235891151883</v>
      </c>
      <c r="Y63" s="32"/>
      <c r="AA63" s="32">
        <f t="shared" ref="AA63" si="36">SUM(E63:X63)</f>
        <v>2860.3075114171843</v>
      </c>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row>
    <row r="64" spans="2:71">
      <c r="B64" s="7" t="str">
        <f t="shared" si="17"/>
        <v>35-44W LED fixture &amp; NEW Photocell_Replacing_100W HID fixtureOregon</v>
      </c>
      <c r="C64" t="s">
        <v>601</v>
      </c>
      <c r="D64" s="386" t="s">
        <v>134</v>
      </c>
      <c r="E64" s="32">
        <f t="shared" ref="E64:X64" si="37">E31*E$48*$AA$21</f>
        <v>615.95133945936618</v>
      </c>
      <c r="F64" s="32">
        <f t="shared" si="37"/>
        <v>484.90732406284502</v>
      </c>
      <c r="G64" s="32">
        <f t="shared" si="37"/>
        <v>381.64648778425658</v>
      </c>
      <c r="H64" s="32">
        <f t="shared" si="37"/>
        <v>300.42245653028408</v>
      </c>
      <c r="I64" s="32">
        <f t="shared" si="37"/>
        <v>236.48640212061193</v>
      </c>
      <c r="J64" s="32">
        <f t="shared" si="37"/>
        <v>185.5859812626619</v>
      </c>
      <c r="K64" s="32">
        <f t="shared" si="37"/>
        <v>145.64066002062205</v>
      </c>
      <c r="L64" s="32">
        <f t="shared" si="37"/>
        <v>114.32379124596874</v>
      </c>
      <c r="M64" s="32">
        <f t="shared" si="37"/>
        <v>89.760732563953113</v>
      </c>
      <c r="N64" s="32">
        <f t="shared" si="37"/>
        <v>70.488133319330444</v>
      </c>
      <c r="O64" s="32">
        <f t="shared" si="37"/>
        <v>55.361258928590097</v>
      </c>
      <c r="P64" s="32">
        <f t="shared" si="37"/>
        <v>43.485920588835739</v>
      </c>
      <c r="Q64" s="32">
        <f t="shared" si="37"/>
        <v>34.161057062516001</v>
      </c>
      <c r="R64" s="32">
        <f t="shared" si="37"/>
        <v>26.837929762283242</v>
      </c>
      <c r="S64" s="32">
        <f t="shared" si="37"/>
        <v>21.085901283074378</v>
      </c>
      <c r="T64" s="32">
        <f t="shared" si="37"/>
        <v>16.566811436732458</v>
      </c>
      <c r="U64" s="32">
        <f t="shared" si="37"/>
        <v>13.016833178060443</v>
      </c>
      <c r="V64" s="32">
        <f t="shared" si="37"/>
        <v>10.227722566304287</v>
      </c>
      <c r="W64" s="32">
        <f t="shared" si="37"/>
        <v>8.0363446517731223</v>
      </c>
      <c r="X64" s="32">
        <f t="shared" si="37"/>
        <v>6.3144235891151883</v>
      </c>
      <c r="Y64" s="32"/>
      <c r="AA64" s="32"/>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row>
    <row r="65" spans="1:80">
      <c r="B65" s="7" t="str">
        <f t="shared" si="17"/>
        <v>35-44W LED fixture &amp; NEW Photocell_Replacing_150W HID fixtureOregon</v>
      </c>
      <c r="C65" t="s">
        <v>600</v>
      </c>
      <c r="D65" s="386" t="s">
        <v>134</v>
      </c>
      <c r="E65" s="32">
        <f t="shared" ref="E65:X65" si="38">E32*E$48*$AA$21</f>
        <v>615.95133945936618</v>
      </c>
      <c r="F65" s="32">
        <f t="shared" si="38"/>
        <v>484.90732406284502</v>
      </c>
      <c r="G65" s="32">
        <f t="shared" si="38"/>
        <v>381.64648778425658</v>
      </c>
      <c r="H65" s="32">
        <f t="shared" si="38"/>
        <v>300.42245653028408</v>
      </c>
      <c r="I65" s="32">
        <f t="shared" si="38"/>
        <v>236.48640212061193</v>
      </c>
      <c r="J65" s="32">
        <f t="shared" si="38"/>
        <v>185.5859812626619</v>
      </c>
      <c r="K65" s="32">
        <f t="shared" si="38"/>
        <v>145.64066002062205</v>
      </c>
      <c r="L65" s="32">
        <f t="shared" si="38"/>
        <v>114.32379124596874</v>
      </c>
      <c r="M65" s="32">
        <f t="shared" si="38"/>
        <v>89.760732563953113</v>
      </c>
      <c r="N65" s="32">
        <f t="shared" si="38"/>
        <v>70.488133319330444</v>
      </c>
      <c r="O65" s="32">
        <f t="shared" si="38"/>
        <v>55.361258928590097</v>
      </c>
      <c r="P65" s="32">
        <f t="shared" si="38"/>
        <v>43.485920588835739</v>
      </c>
      <c r="Q65" s="32">
        <f t="shared" si="38"/>
        <v>34.161057062516001</v>
      </c>
      <c r="R65" s="32">
        <f t="shared" si="38"/>
        <v>26.837929762283242</v>
      </c>
      <c r="S65" s="32">
        <f t="shared" si="38"/>
        <v>21.085901283074378</v>
      </c>
      <c r="T65" s="32">
        <f t="shared" si="38"/>
        <v>16.566811436732458</v>
      </c>
      <c r="U65" s="32">
        <f t="shared" si="38"/>
        <v>13.016833178060443</v>
      </c>
      <c r="V65" s="32">
        <f t="shared" si="38"/>
        <v>10.227722566304287</v>
      </c>
      <c r="W65" s="32">
        <f t="shared" si="38"/>
        <v>8.0363446517731223</v>
      </c>
      <c r="X65" s="32">
        <f t="shared" si="38"/>
        <v>6.3144235891151883</v>
      </c>
      <c r="Y65" s="32"/>
      <c r="AA65" s="32"/>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row>
    <row r="66" spans="1:80">
      <c r="B66" s="7" t="str">
        <f t="shared" si="17"/>
        <v>35-44W LED fixture &amp; NEW Photocell_Replacing_175W MH fixtureOregon</v>
      </c>
      <c r="C66" t="s">
        <v>599</v>
      </c>
      <c r="D66" s="386" t="s">
        <v>134</v>
      </c>
      <c r="E66" s="32">
        <f t="shared" ref="E66:X66" si="39">E33*E$48*$AA$21</f>
        <v>1627.8713971426105</v>
      </c>
      <c r="F66" s="32">
        <f t="shared" si="39"/>
        <v>1281.3048242915379</v>
      </c>
      <c r="G66" s="32">
        <f t="shared" si="39"/>
        <v>1008.7892982684264</v>
      </c>
      <c r="H66" s="32">
        <f t="shared" si="39"/>
        <v>794.42451531659367</v>
      </c>
      <c r="I66" s="32">
        <f t="shared" si="39"/>
        <v>629.90578496703642</v>
      </c>
      <c r="J66" s="32">
        <f t="shared" si="39"/>
        <v>496.65419517181044</v>
      </c>
      <c r="K66" s="32">
        <f t="shared" si="39"/>
        <v>391.41295154002853</v>
      </c>
      <c r="L66" s="32">
        <f t="shared" si="39"/>
        <v>308.5785843776282</v>
      </c>
      <c r="M66" s="32">
        <f t="shared" si="39"/>
        <v>243.16718168728943</v>
      </c>
      <c r="N66" s="32">
        <f t="shared" si="39"/>
        <v>193.10617478029923</v>
      </c>
      <c r="O66" s="32">
        <f t="shared" si="39"/>
        <v>152.13461073052613</v>
      </c>
      <c r="P66" s="32">
        <f t="shared" si="39"/>
        <v>119.80337900037692</v>
      </c>
      <c r="Q66" s="32">
        <f t="shared" si="39"/>
        <v>94.369043664638596</v>
      </c>
      <c r="R66" s="32">
        <f t="shared" si="39"/>
        <v>74.302083752901879</v>
      </c>
      <c r="S66" s="32">
        <f t="shared" si="39"/>
        <v>58.904080948273602</v>
      </c>
      <c r="T66" s="32">
        <f t="shared" si="39"/>
        <v>46.412944326367068</v>
      </c>
      <c r="U66" s="32">
        <f t="shared" si="39"/>
        <v>36.579547454026759</v>
      </c>
      <c r="V66" s="32">
        <f t="shared" si="39"/>
        <v>28.826124775737782</v>
      </c>
      <c r="W66" s="32">
        <f t="shared" si="39"/>
        <v>22.706141210621862</v>
      </c>
      <c r="X66" s="32">
        <f t="shared" si="39"/>
        <v>18.016686257580997</v>
      </c>
      <c r="Y66" s="32"/>
      <c r="AA66" s="32"/>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row>
    <row r="67" spans="1:80">
      <c r="B67" s="7" t="str">
        <f t="shared" si="17"/>
        <v>35-44W LED fixture &amp; NEW Photocell_Replacing_175W MV fixtureOregon</v>
      </c>
      <c r="C67" t="s">
        <v>602</v>
      </c>
      <c r="D67" s="386" t="s">
        <v>134</v>
      </c>
      <c r="E67" s="32">
        <f t="shared" ref="E67:X67" si="40">E34*E$48*$AA$21</f>
        <v>1627.8713971426105</v>
      </c>
      <c r="F67" s="32">
        <f t="shared" si="40"/>
        <v>1281.3048242915379</v>
      </c>
      <c r="G67" s="32">
        <f t="shared" si="40"/>
        <v>1008.7892982684264</v>
      </c>
      <c r="H67" s="32">
        <f t="shared" si="40"/>
        <v>794.42451531659367</v>
      </c>
      <c r="I67" s="32">
        <f t="shared" si="40"/>
        <v>629.90578496703642</v>
      </c>
      <c r="J67" s="32">
        <f t="shared" si="40"/>
        <v>496.65419517181044</v>
      </c>
      <c r="K67" s="32">
        <f t="shared" si="40"/>
        <v>391.41295154002853</v>
      </c>
      <c r="L67" s="32">
        <f t="shared" si="40"/>
        <v>308.5785843776282</v>
      </c>
      <c r="M67" s="32">
        <f t="shared" si="40"/>
        <v>243.16718168728943</v>
      </c>
      <c r="N67" s="32">
        <f t="shared" si="40"/>
        <v>193.10617478029923</v>
      </c>
      <c r="O67" s="32">
        <f t="shared" si="40"/>
        <v>152.13461073052613</v>
      </c>
      <c r="P67" s="32">
        <f t="shared" si="40"/>
        <v>119.80337900037692</v>
      </c>
      <c r="Q67" s="32">
        <f t="shared" si="40"/>
        <v>94.369043664638596</v>
      </c>
      <c r="R67" s="32">
        <f t="shared" si="40"/>
        <v>74.302083752901879</v>
      </c>
      <c r="S67" s="32">
        <f t="shared" si="40"/>
        <v>58.904080948273602</v>
      </c>
      <c r="T67" s="32">
        <f t="shared" si="40"/>
        <v>46.412944326367068</v>
      </c>
      <c r="U67" s="32">
        <f t="shared" si="40"/>
        <v>36.579547454026759</v>
      </c>
      <c r="V67" s="32">
        <f t="shared" si="40"/>
        <v>28.826124775737782</v>
      </c>
      <c r="W67" s="32">
        <f t="shared" si="40"/>
        <v>22.706141210621862</v>
      </c>
      <c r="X67" s="32">
        <f t="shared" si="40"/>
        <v>18.016686257580997</v>
      </c>
      <c r="Y67" s="32"/>
      <c r="AA67" s="32">
        <f t="shared" ref="AA67" si="41">SUM(E67:X67)</f>
        <v>7627.2695496643137</v>
      </c>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row>
    <row r="68" spans="1:80">
      <c r="B68" s="7" t="str">
        <f t="shared" si="17"/>
        <v>35-44W LED fixture &amp; NEW Photocell_Replacing_200W HID fixtureOregon</v>
      </c>
      <c r="C68" t="s">
        <v>603</v>
      </c>
      <c r="D68" s="386" t="s">
        <v>134</v>
      </c>
      <c r="E68" s="32">
        <f t="shared" ref="E68:X68" si="42">E39*E$48*$AA$21</f>
        <v>1539.8783486484151</v>
      </c>
      <c r="F68" s="32">
        <f t="shared" si="42"/>
        <v>1211.383977422938</v>
      </c>
      <c r="G68" s="32">
        <f t="shared" si="42"/>
        <v>952.91692550005951</v>
      </c>
      <c r="H68" s="32">
        <f t="shared" si="42"/>
        <v>750.42716274256168</v>
      </c>
      <c r="I68" s="32">
        <f t="shared" si="42"/>
        <v>596.00685384314431</v>
      </c>
      <c r="J68" s="32">
        <f t="shared" si="42"/>
        <v>469.77724145635113</v>
      </c>
      <c r="K68" s="32">
        <f t="shared" si="42"/>
        <v>370.28064762118026</v>
      </c>
      <c r="L68" s="32">
        <f t="shared" si="42"/>
        <v>292.07269174481399</v>
      </c>
      <c r="M68" s="32">
        <f t="shared" si="42"/>
        <v>230.21074316286115</v>
      </c>
      <c r="N68" s="32">
        <f t="shared" si="42"/>
        <v>183.11787488002415</v>
      </c>
      <c r="O68" s="32">
        <f t="shared" si="42"/>
        <v>144.30433708988537</v>
      </c>
      <c r="P68" s="32">
        <f t="shared" si="42"/>
        <v>113.71179265189409</v>
      </c>
      <c r="Q68" s="32">
        <f t="shared" si="42"/>
        <v>89.538334880969401</v>
      </c>
      <c r="R68" s="32">
        <f t="shared" si="42"/>
        <v>70.54764283963398</v>
      </c>
      <c r="S68" s="32">
        <f t="shared" si="42"/>
        <v>56.020708573579057</v>
      </c>
      <c r="T68" s="32">
        <f t="shared" si="42"/>
        <v>44.154882102423564</v>
      </c>
      <c r="U68" s="32">
        <f t="shared" si="42"/>
        <v>34.821684633477098</v>
      </c>
      <c r="V68" s="32">
        <f t="shared" si="42"/>
        <v>27.458049273938631</v>
      </c>
      <c r="W68" s="32">
        <f t="shared" si="42"/>
        <v>21.635689438544045</v>
      </c>
      <c r="X68" s="32">
        <f t="shared" si="42"/>
        <v>17.202830805624561</v>
      </c>
      <c r="Y68" s="32"/>
      <c r="AA68" s="32"/>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row>
    <row r="69" spans="1:80">
      <c r="E69" s="32"/>
      <c r="F69" s="32"/>
      <c r="G69" s="32"/>
      <c r="H69" s="32"/>
      <c r="I69" s="32"/>
      <c r="J69" s="32"/>
      <c r="K69" s="32"/>
      <c r="L69" s="32"/>
      <c r="M69" s="32"/>
      <c r="N69" s="32"/>
      <c r="O69" s="32"/>
      <c r="P69" s="32"/>
      <c r="Q69" s="32"/>
      <c r="R69" s="32"/>
      <c r="S69" s="32"/>
      <c r="T69" s="32"/>
      <c r="U69" s="32"/>
      <c r="V69" s="32"/>
      <c r="W69" s="32"/>
      <c r="X69" s="32"/>
      <c r="Y69" s="32"/>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row>
    <row r="70" spans="1:80">
      <c r="C70" s="7" t="s">
        <v>138</v>
      </c>
      <c r="E70" s="32">
        <f t="shared" ref="E70:X70" si="43">SUM(E49:E68)</f>
        <v>21514.300356830721</v>
      </c>
      <c r="F70" s="32">
        <f t="shared" si="43"/>
        <v>16890.728956505289</v>
      </c>
      <c r="G70" s="32">
        <f t="shared" si="43"/>
        <v>13262.010417505669</v>
      </c>
      <c r="H70" s="32">
        <f t="shared" si="43"/>
        <v>10416.524510839967</v>
      </c>
      <c r="I70" s="32">
        <f t="shared" si="43"/>
        <v>8213.0656172983927</v>
      </c>
      <c r="J70" s="32">
        <f t="shared" si="43"/>
        <v>6451.425997147735</v>
      </c>
      <c r="K70" s="32">
        <f t="shared" si="43"/>
        <v>5066.8548311658506</v>
      </c>
      <c r="L70" s="32">
        <f t="shared" si="43"/>
        <v>3980.7605184438858</v>
      </c>
      <c r="M70" s="32">
        <f t="shared" si="43"/>
        <v>3126.9821794597005</v>
      </c>
      <c r="N70" s="32">
        <f t="shared" si="43"/>
        <v>2467.113574948401</v>
      </c>
      <c r="O70" s="32">
        <f t="shared" si="43"/>
        <v>1938.0622723281626</v>
      </c>
      <c r="P70" s="32">
        <f t="shared" si="43"/>
        <v>1522.2421450078791</v>
      </c>
      <c r="Q70" s="32">
        <f t="shared" si="43"/>
        <v>1195.7936894815602</v>
      </c>
      <c r="R70" s="32">
        <f t="shared" si="43"/>
        <v>939.25284782388701</v>
      </c>
      <c r="S70" s="32">
        <f t="shared" si="43"/>
        <v>740.62912238669071</v>
      </c>
      <c r="T70" s="32">
        <f t="shared" si="43"/>
        <v>582.00534391727501</v>
      </c>
      <c r="U70" s="32">
        <f t="shared" si="43"/>
        <v>457.447192426188</v>
      </c>
      <c r="V70" s="32">
        <f t="shared" si="43"/>
        <v>359.53459867126207</v>
      </c>
      <c r="W70" s="32">
        <f t="shared" si="43"/>
        <v>282.51263883787993</v>
      </c>
      <c r="X70" s="32">
        <f t="shared" si="43"/>
        <v>222.93757178861614</v>
      </c>
      <c r="Y70" s="32"/>
      <c r="AA70" s="32">
        <f t="shared" ref="AA70" si="44">SUM(E70:Y70)</f>
        <v>99630.184382815001</v>
      </c>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row>
    <row r="71" spans="1:80">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row>
    <row r="72" spans="1:80">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row>
    <row r="73" spans="1:80">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row>
    <row r="74" spans="1:80" ht="15">
      <c r="A74" s="50" t="s">
        <v>34</v>
      </c>
      <c r="C74" s="58" t="str">
        <f>C8</f>
        <v>Lighting</v>
      </c>
      <c r="D74" s="58"/>
      <c r="E74" s="7" t="s">
        <v>129</v>
      </c>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ht="15">
      <c r="A75" s="58" t="s">
        <v>35</v>
      </c>
      <c r="B75" s="58" t="s">
        <v>21</v>
      </c>
      <c r="C75" s="58">
        <v>1</v>
      </c>
      <c r="D75" s="58"/>
      <c r="E75" s="52">
        <f t="shared" ref="E75:X75" si="45">E11</f>
        <v>2016</v>
      </c>
      <c r="F75" s="53">
        <f t="shared" si="45"/>
        <v>2017</v>
      </c>
      <c r="G75" s="53">
        <f t="shared" si="45"/>
        <v>2018</v>
      </c>
      <c r="H75" s="53">
        <f t="shared" si="45"/>
        <v>2019</v>
      </c>
      <c r="I75" s="53">
        <f t="shared" si="45"/>
        <v>2020</v>
      </c>
      <c r="J75" s="53">
        <f t="shared" si="45"/>
        <v>2021</v>
      </c>
      <c r="K75" s="53">
        <f t="shared" si="45"/>
        <v>2022</v>
      </c>
      <c r="L75" s="53">
        <f t="shared" si="45"/>
        <v>2023</v>
      </c>
      <c r="M75" s="53">
        <f t="shared" si="45"/>
        <v>2024</v>
      </c>
      <c r="N75" s="53">
        <f t="shared" si="45"/>
        <v>2025</v>
      </c>
      <c r="O75" s="53">
        <f t="shared" si="45"/>
        <v>2026</v>
      </c>
      <c r="P75" s="53">
        <f t="shared" si="45"/>
        <v>2027</v>
      </c>
      <c r="Q75" s="53">
        <f t="shared" si="45"/>
        <v>2028</v>
      </c>
      <c r="R75" s="53">
        <f t="shared" si="45"/>
        <v>2029</v>
      </c>
      <c r="S75" s="53">
        <f t="shared" si="45"/>
        <v>2030</v>
      </c>
      <c r="T75" s="53">
        <f t="shared" si="45"/>
        <v>2031</v>
      </c>
      <c r="U75" s="53">
        <f t="shared" si="45"/>
        <v>2032</v>
      </c>
      <c r="V75" s="53">
        <f t="shared" si="45"/>
        <v>2033</v>
      </c>
      <c r="W75" s="53">
        <f t="shared" si="45"/>
        <v>2034</v>
      </c>
      <c r="X75" s="53">
        <f t="shared" si="45"/>
        <v>2035</v>
      </c>
      <c r="Y75" s="54" t="s">
        <v>32</v>
      </c>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ht="15">
      <c r="A76" s="58" t="s">
        <v>22</v>
      </c>
      <c r="B76" s="58" t="s">
        <v>36</v>
      </c>
      <c r="C76" s="58" t="s">
        <v>37</v>
      </c>
      <c r="D76" s="58" t="s">
        <v>137</v>
      </c>
      <c r="E76" s="55" t="str">
        <f>CONCATENATE("Units_",E$11)</f>
        <v>Units_2016</v>
      </c>
      <c r="F76" s="56" t="str">
        <f t="shared" ref="F76:X76" si="46">CONCATENATE("Units_",F$11)</f>
        <v>Units_2017</v>
      </c>
      <c r="G76" s="56" t="str">
        <f t="shared" si="46"/>
        <v>Units_2018</v>
      </c>
      <c r="H76" s="56" t="str">
        <f t="shared" si="46"/>
        <v>Units_2019</v>
      </c>
      <c r="I76" s="56" t="str">
        <f t="shared" si="46"/>
        <v>Units_2020</v>
      </c>
      <c r="J76" s="56" t="str">
        <f t="shared" si="46"/>
        <v>Units_2021</v>
      </c>
      <c r="K76" s="56" t="str">
        <f t="shared" si="46"/>
        <v>Units_2022</v>
      </c>
      <c r="L76" s="56" t="str">
        <f t="shared" si="46"/>
        <v>Units_2023</v>
      </c>
      <c r="M76" s="56" t="str">
        <f t="shared" si="46"/>
        <v>Units_2024</v>
      </c>
      <c r="N76" s="56" t="str">
        <f t="shared" si="46"/>
        <v>Units_2025</v>
      </c>
      <c r="O76" s="56" t="str">
        <f t="shared" si="46"/>
        <v>Units_2026</v>
      </c>
      <c r="P76" s="56" t="str">
        <f t="shared" si="46"/>
        <v>Units_2027</v>
      </c>
      <c r="Q76" s="56" t="str">
        <f t="shared" si="46"/>
        <v>Units_2028</v>
      </c>
      <c r="R76" s="56" t="str">
        <f t="shared" si="46"/>
        <v>Units_2029</v>
      </c>
      <c r="S76" s="56" t="str">
        <f t="shared" si="46"/>
        <v>Units_2030</v>
      </c>
      <c r="T76" s="56" t="str">
        <f t="shared" si="46"/>
        <v>Units_2031</v>
      </c>
      <c r="U76" s="56" t="str">
        <f t="shared" si="46"/>
        <v>Units_2032</v>
      </c>
      <c r="V76" s="56" t="str">
        <f t="shared" si="46"/>
        <v>Units_2033</v>
      </c>
      <c r="W76" s="56" t="str">
        <f t="shared" si="46"/>
        <v>Units_2034</v>
      </c>
      <c r="X76" s="56" t="str">
        <f t="shared" si="46"/>
        <v>Units_2035</v>
      </c>
      <c r="Y76" s="57" t="s">
        <v>32</v>
      </c>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A77" s="63">
        <f t="shared" ref="A77:A96" si="47">VLOOKUP($C77,MeasureOutput,3,FALSE)</f>
        <v>263.37666569558996</v>
      </c>
      <c r="B77" s="63">
        <f t="shared" ref="B77:B96" si="48">VLOOKUP($C77,MeasureOutput,11,FALSE)</f>
        <v>-33.358198810091075</v>
      </c>
      <c r="C77" t="s">
        <v>601</v>
      </c>
      <c r="D77" s="386" t="s">
        <v>133</v>
      </c>
      <c r="E77" s="42">
        <f>VLOOKUP(CONCATENATE($C77&amp;$D77),$B$49:$Y$68,E$22+2,FALSE)*$C$75*$A77/8760/1000</f>
        <v>3.1747007831221204E-2</v>
      </c>
      <c r="F77" s="42">
        <f t="shared" ref="F77:X91" si="49">VLOOKUP(CONCATENATE($C77&amp;$D77),$B$49:$Y$68,F$22+2,FALSE)*$C$75*$A77/8760/1000</f>
        <v>2.4727686147209618E-2</v>
      </c>
      <c r="G77" s="42">
        <f t="shared" si="49"/>
        <v>1.9261287571674186E-2</v>
      </c>
      <c r="H77" s="42">
        <f t="shared" si="49"/>
        <v>1.5009887915003768E-2</v>
      </c>
      <c r="I77" s="42">
        <f t="shared" si="49"/>
        <v>1.1700014311902802E-2</v>
      </c>
      <c r="J77" s="42">
        <f t="shared" si="49"/>
        <v>9.1221875230426668E-3</v>
      </c>
      <c r="K77" s="42">
        <f t="shared" si="49"/>
        <v>7.1134020257168492E-3</v>
      </c>
      <c r="L77" s="42">
        <f t="shared" si="49"/>
        <v>5.5479031290618331E-3</v>
      </c>
      <c r="M77" s="42">
        <f t="shared" si="49"/>
        <v>4.3275701697039742E-3</v>
      </c>
      <c r="N77" s="42">
        <f t="shared" si="49"/>
        <v>3.3761135414582628E-3</v>
      </c>
      <c r="O77" s="42">
        <f t="shared" si="49"/>
        <v>2.6341286460929278E-3</v>
      </c>
      <c r="P77" s="42">
        <f t="shared" si="49"/>
        <v>2.0554366798703578E-3</v>
      </c>
      <c r="Q77" s="42">
        <f t="shared" si="49"/>
        <v>1.604027850795749E-3</v>
      </c>
      <c r="R77" s="42">
        <f t="shared" si="49"/>
        <v>1.2518765818039534E-3</v>
      </c>
      <c r="S77" s="42">
        <f t="shared" si="49"/>
        <v>9.7711972000336794E-4</v>
      </c>
      <c r="T77" s="42">
        <f t="shared" si="49"/>
        <v>7.6269976451036206E-4</v>
      </c>
      <c r="U77" s="42">
        <f t="shared" si="49"/>
        <v>5.9538494682539816E-4</v>
      </c>
      <c r="V77" s="42">
        <f t="shared" si="49"/>
        <v>4.64805818000655E-4</v>
      </c>
      <c r="W77" s="42">
        <f t="shared" si="49"/>
        <v>3.62890621970699E-4</v>
      </c>
      <c r="X77" s="42">
        <f t="shared" si="49"/>
        <v>2.8333577470065775E-4</v>
      </c>
      <c r="Y77" s="26">
        <f t="shared" ref="Y77:Y96" si="50">VLOOKUP($C77&amp;$D77,$Z$23:$AA$42,2,FALSE)*$A77*$C$75/8760/1000</f>
        <v>0.1480527971774174</v>
      </c>
      <c r="AA77" s="32">
        <f>SUM(E77:X77)</f>
        <v>0.14292476657056924</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c r="A78" s="63">
        <f t="shared" si="47"/>
        <v>264.86483952409634</v>
      </c>
      <c r="B78" s="63">
        <f t="shared" si="48"/>
        <v>-32.850302911189921</v>
      </c>
      <c r="C78" t="s">
        <v>600</v>
      </c>
      <c r="D78" s="386" t="s">
        <v>133</v>
      </c>
      <c r="E78" s="42">
        <f t="shared" ref="E78:T96" si="51">VLOOKUP(CONCATENATE($C78&amp;$D78),$B$49:$Y$68,E$22+2,FALSE)*$C$75*$A78/8760/1000</f>
        <v>3.1926389957056212E-2</v>
      </c>
      <c r="F78" s="42">
        <f t="shared" si="51"/>
        <v>2.486740655587456E-2</v>
      </c>
      <c r="G78" s="42">
        <f t="shared" si="51"/>
        <v>1.9370120842806222E-2</v>
      </c>
      <c r="H78" s="42">
        <f t="shared" si="51"/>
        <v>1.5094699233823256E-2</v>
      </c>
      <c r="I78" s="42">
        <f t="shared" si="51"/>
        <v>1.1766123642606563E-2</v>
      </c>
      <c r="J78" s="42">
        <f t="shared" si="51"/>
        <v>9.1737311960353625E-3</v>
      </c>
      <c r="K78" s="42">
        <f t="shared" si="51"/>
        <v>7.1535953309907162E-3</v>
      </c>
      <c r="L78" s="42">
        <f t="shared" si="51"/>
        <v>5.5792507969273722E-3</v>
      </c>
      <c r="M78" s="42">
        <f t="shared" si="51"/>
        <v>4.3520225130828745E-3</v>
      </c>
      <c r="N78" s="42">
        <f t="shared" si="51"/>
        <v>3.3951898092862993E-3</v>
      </c>
      <c r="O78" s="42">
        <f t="shared" si="51"/>
        <v>2.6490124297481022E-3</v>
      </c>
      <c r="P78" s="42">
        <f t="shared" si="51"/>
        <v>2.067050643715851E-3</v>
      </c>
      <c r="Q78" s="42">
        <f t="shared" si="51"/>
        <v>1.6130911907899935E-3</v>
      </c>
      <c r="R78" s="42">
        <f t="shared" si="51"/>
        <v>1.2589501392151251E-3</v>
      </c>
      <c r="S78" s="42">
        <f t="shared" si="51"/>
        <v>9.8264080134436685E-4</v>
      </c>
      <c r="T78" s="42">
        <f t="shared" si="51"/>
        <v>7.6700929521823476E-4</v>
      </c>
      <c r="U78" s="42">
        <f t="shared" si="49"/>
        <v>5.9874908803894179E-4</v>
      </c>
      <c r="V78" s="42">
        <f t="shared" si="49"/>
        <v>4.6743213970557615E-4</v>
      </c>
      <c r="W78" s="42">
        <f t="shared" si="49"/>
        <v>3.6494108579899944E-4</v>
      </c>
      <c r="X78" s="42">
        <f t="shared" si="49"/>
        <v>2.8493672474486721E-4</v>
      </c>
      <c r="Y78" s="26">
        <f t="shared" si="50"/>
        <v>0.1488893492592607</v>
      </c>
      <c r="AA78" s="32">
        <f t="shared" ref="AA78:AA96" si="52">SUM(E78:X78)</f>
        <v>0.14373234341680946</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c r="A79" s="63">
        <f t="shared" si="47"/>
        <v>266.56232768182667</v>
      </c>
      <c r="B79" s="63">
        <f t="shared" si="48"/>
        <v>-32.508813064490326</v>
      </c>
      <c r="C79" t="s">
        <v>599</v>
      </c>
      <c r="D79" s="386" t="s">
        <v>133</v>
      </c>
      <c r="E79" s="42">
        <f t="shared" si="51"/>
        <v>3.2131002501962359E-2</v>
      </c>
      <c r="F79" s="42">
        <f t="shared" si="49"/>
        <v>2.502677889165876E-2</v>
      </c>
      <c r="G79" s="42">
        <f t="shared" si="49"/>
        <v>1.9494261709534885E-2</v>
      </c>
      <c r="H79" s="42">
        <f t="shared" si="49"/>
        <v>1.5191439417382369E-2</v>
      </c>
      <c r="I79" s="42">
        <f t="shared" si="49"/>
        <v>1.1841531369738645E-2</v>
      </c>
      <c r="J79" s="42">
        <f t="shared" si="49"/>
        <v>9.2325245794661389E-3</v>
      </c>
      <c r="K79" s="42">
        <f t="shared" si="49"/>
        <v>7.1994418970406692E-3</v>
      </c>
      <c r="L79" s="42">
        <f t="shared" si="49"/>
        <v>5.6150075707362647E-3</v>
      </c>
      <c r="M79" s="42">
        <f t="shared" si="49"/>
        <v>4.3799141225974031E-3</v>
      </c>
      <c r="N79" s="42">
        <f t="shared" si="49"/>
        <v>3.4169491885412636E-3</v>
      </c>
      <c r="O79" s="42">
        <f t="shared" si="49"/>
        <v>2.665989644380507E-3</v>
      </c>
      <c r="P79" s="42">
        <f t="shared" si="49"/>
        <v>2.0802981324933006E-3</v>
      </c>
      <c r="Q79" s="42">
        <f t="shared" si="49"/>
        <v>1.6234293058777682E-3</v>
      </c>
      <c r="R79" s="42">
        <f t="shared" si="49"/>
        <v>1.2670186052158609E-3</v>
      </c>
      <c r="S79" s="42">
        <f t="shared" si="49"/>
        <v>9.8893843271960643E-4</v>
      </c>
      <c r="T79" s="42">
        <f t="shared" si="49"/>
        <v>7.7192496918176057E-4</v>
      </c>
      <c r="U79" s="42">
        <f t="shared" si="49"/>
        <v>6.025864017730867E-4</v>
      </c>
      <c r="V79" s="42">
        <f t="shared" si="49"/>
        <v>4.7042785828837645E-4</v>
      </c>
      <c r="W79" s="42">
        <f t="shared" si="49"/>
        <v>3.6727995105769563E-4</v>
      </c>
      <c r="X79" s="42">
        <f t="shared" si="49"/>
        <v>2.8676285129615252E-4</v>
      </c>
      <c r="Y79" s="26">
        <f t="shared" si="50"/>
        <v>0.14984356389807002</v>
      </c>
      <c r="AA79" s="32">
        <f t="shared" si="52"/>
        <v>0.14465350740094285</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1:80">
      <c r="A80" s="63">
        <f t="shared" si="47"/>
        <v>263.37666569558996</v>
      </c>
      <c r="B80" s="63">
        <f t="shared" si="48"/>
        <v>-33.358198810091075</v>
      </c>
      <c r="C80" t="s">
        <v>602</v>
      </c>
      <c r="D80" s="386" t="s">
        <v>133</v>
      </c>
      <c r="E80" s="42">
        <f t="shared" si="51"/>
        <v>3.1747007831221204E-2</v>
      </c>
      <c r="F80" s="42">
        <f t="shared" si="49"/>
        <v>2.4727686147209618E-2</v>
      </c>
      <c r="G80" s="42">
        <f t="shared" si="49"/>
        <v>1.9261287571674186E-2</v>
      </c>
      <c r="H80" s="42">
        <f t="shared" si="49"/>
        <v>1.5009887915003768E-2</v>
      </c>
      <c r="I80" s="42">
        <f t="shared" si="49"/>
        <v>1.1700014311902802E-2</v>
      </c>
      <c r="J80" s="42">
        <f t="shared" si="49"/>
        <v>9.1221875230426668E-3</v>
      </c>
      <c r="K80" s="42">
        <f t="shared" si="49"/>
        <v>7.1134020257168492E-3</v>
      </c>
      <c r="L80" s="42">
        <f t="shared" si="49"/>
        <v>5.5479031290618331E-3</v>
      </c>
      <c r="M80" s="42">
        <f t="shared" si="49"/>
        <v>4.3275701697039742E-3</v>
      </c>
      <c r="N80" s="42">
        <f t="shared" si="49"/>
        <v>3.3761135414582628E-3</v>
      </c>
      <c r="O80" s="42">
        <f t="shared" si="49"/>
        <v>2.6341286460929278E-3</v>
      </c>
      <c r="P80" s="42">
        <f t="shared" si="49"/>
        <v>2.0554366798703578E-3</v>
      </c>
      <c r="Q80" s="42">
        <f t="shared" si="49"/>
        <v>1.604027850795749E-3</v>
      </c>
      <c r="R80" s="42">
        <f t="shared" si="49"/>
        <v>1.2518765818039534E-3</v>
      </c>
      <c r="S80" s="42">
        <f t="shared" si="49"/>
        <v>9.7711972000336794E-4</v>
      </c>
      <c r="T80" s="42">
        <f t="shared" si="49"/>
        <v>7.6269976451036206E-4</v>
      </c>
      <c r="U80" s="42">
        <f t="shared" si="49"/>
        <v>5.9538494682539816E-4</v>
      </c>
      <c r="V80" s="42">
        <f t="shared" si="49"/>
        <v>4.64805818000655E-4</v>
      </c>
      <c r="W80" s="42">
        <f t="shared" si="49"/>
        <v>3.62890621970699E-4</v>
      </c>
      <c r="X80" s="42">
        <f t="shared" si="49"/>
        <v>2.8333577470065775E-4</v>
      </c>
      <c r="Y80" s="26">
        <f t="shared" si="50"/>
        <v>0.1480527971774174</v>
      </c>
      <c r="AA80" s="32">
        <f t="shared" si="52"/>
        <v>0.14292476657056924</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A81" s="63">
        <f t="shared" si="47"/>
        <v>265.0185068731119</v>
      </c>
      <c r="B81" s="63">
        <f t="shared" si="48"/>
        <v>-32.644780358969037</v>
      </c>
      <c r="C81" t="s">
        <v>603</v>
      </c>
      <c r="D81" s="386" t="s">
        <v>133</v>
      </c>
      <c r="E81" s="42">
        <f t="shared" si="51"/>
        <v>3.1944912776910868E-2</v>
      </c>
      <c r="F81" s="42">
        <f t="shared" si="49"/>
        <v>2.4881833946271862E-2</v>
      </c>
      <c r="G81" s="42">
        <f t="shared" si="49"/>
        <v>1.9381358858110081E-2</v>
      </c>
      <c r="H81" s="42">
        <f t="shared" si="49"/>
        <v>1.5103456766229661E-2</v>
      </c>
      <c r="I81" s="42">
        <f t="shared" si="49"/>
        <v>1.1772950026325888E-2</v>
      </c>
      <c r="J81" s="42">
        <f t="shared" si="49"/>
        <v>9.1790535444301463E-3</v>
      </c>
      <c r="K81" s="42">
        <f t="shared" si="49"/>
        <v>7.1577456517068162E-3</v>
      </c>
      <c r="L81" s="42">
        <f t="shared" si="49"/>
        <v>5.5824877259248078E-3</v>
      </c>
      <c r="M81" s="42">
        <f t="shared" si="49"/>
        <v>4.3545474377336638E-3</v>
      </c>
      <c r="N81" s="42">
        <f t="shared" si="49"/>
        <v>3.3971596057241166E-3</v>
      </c>
      <c r="O81" s="42">
        <f t="shared" si="49"/>
        <v>2.650549314441141E-3</v>
      </c>
      <c r="P81" s="42">
        <f t="shared" si="49"/>
        <v>2.0682498900683357E-3</v>
      </c>
      <c r="Q81" s="42">
        <f t="shared" si="49"/>
        <v>1.614027062261097E-3</v>
      </c>
      <c r="R81" s="42">
        <f t="shared" si="49"/>
        <v>1.2596805477162441E-3</v>
      </c>
      <c r="S81" s="42">
        <f t="shared" si="49"/>
        <v>9.8321090271096759E-4</v>
      </c>
      <c r="T81" s="42">
        <f t="shared" si="49"/>
        <v>7.6745429307177506E-4</v>
      </c>
      <c r="U81" s="42">
        <f t="shared" si="49"/>
        <v>5.990964659138222E-4</v>
      </c>
      <c r="V81" s="42">
        <f t="shared" si="49"/>
        <v>4.6770333107201901E-4</v>
      </c>
      <c r="W81" s="42">
        <f t="shared" si="49"/>
        <v>3.6515281465399719E-4</v>
      </c>
      <c r="X81" s="42">
        <f t="shared" si="49"/>
        <v>2.8510203725372042E-4</v>
      </c>
      <c r="Y81" s="26">
        <f t="shared" si="50"/>
        <v>0.1489757307949845</v>
      </c>
      <c r="AA81" s="32">
        <f t="shared" si="52"/>
        <v>0.14381573299853107</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A82" s="63">
        <f t="shared" si="47"/>
        <v>263.37666569558996</v>
      </c>
      <c r="B82" s="63">
        <f t="shared" si="48"/>
        <v>-33.358198810091075</v>
      </c>
      <c r="C82" t="s">
        <v>601</v>
      </c>
      <c r="D82" s="386" t="s">
        <v>132</v>
      </c>
      <c r="E82" s="42">
        <f t="shared" si="51"/>
        <v>1.8519087901545703E-2</v>
      </c>
      <c r="F82" s="42">
        <f t="shared" si="49"/>
        <v>1.4579140888475233E-2</v>
      </c>
      <c r="G82" s="42">
        <f t="shared" si="49"/>
        <v>1.1474518199434956E-2</v>
      </c>
      <c r="H82" s="42">
        <f t="shared" si="49"/>
        <v>9.0324503311671848E-3</v>
      </c>
      <c r="I82" s="42">
        <f t="shared" si="49"/>
        <v>7.1101598256704639E-3</v>
      </c>
      <c r="J82" s="42">
        <f t="shared" si="49"/>
        <v>5.5797964548863158E-3</v>
      </c>
      <c r="K82" s="42">
        <f t="shared" si="49"/>
        <v>4.3788072404037041E-3</v>
      </c>
      <c r="L82" s="42">
        <f t="shared" si="49"/>
        <v>3.4372396059408586E-3</v>
      </c>
      <c r="M82" s="42">
        <f t="shared" si="49"/>
        <v>2.6987308736401293E-3</v>
      </c>
      <c r="N82" s="42">
        <f t="shared" si="49"/>
        <v>2.1192841923232271E-3</v>
      </c>
      <c r="O82" s="42">
        <f t="shared" si="49"/>
        <v>1.6644821672742317E-3</v>
      </c>
      <c r="P82" s="42">
        <f t="shared" si="49"/>
        <v>1.3074402704783979E-3</v>
      </c>
      <c r="Q82" s="42">
        <f t="shared" si="49"/>
        <v>1.0270805143564213E-3</v>
      </c>
      <c r="R82" s="42">
        <f t="shared" si="49"/>
        <v>8.0690461814641524E-4</v>
      </c>
      <c r="S82" s="42">
        <f t="shared" si="49"/>
        <v>6.3396511108704246E-4</v>
      </c>
      <c r="T82" s="42">
        <f t="shared" si="49"/>
        <v>4.9809492664545213E-4</v>
      </c>
      <c r="U82" s="42">
        <f t="shared" si="49"/>
        <v>3.9136188588507868E-4</v>
      </c>
      <c r="V82" s="42">
        <f t="shared" si="49"/>
        <v>3.0750496200602345E-4</v>
      </c>
      <c r="W82" s="42">
        <f t="shared" si="49"/>
        <v>2.4161936743888037E-4</v>
      </c>
      <c r="X82" s="42">
        <f t="shared" si="49"/>
        <v>1.8984838249894273E-4</v>
      </c>
      <c r="Y82" s="26">
        <f t="shared" si="50"/>
        <v>9.9202383102776889E-2</v>
      </c>
      <c r="AA82" s="32">
        <f t="shared" si="52"/>
        <v>8.5997517719304667E-2</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A83" s="63">
        <f t="shared" si="47"/>
        <v>264.86483952409634</v>
      </c>
      <c r="B83" s="63">
        <f t="shared" si="48"/>
        <v>-32.850302911189921</v>
      </c>
      <c r="C83" t="s">
        <v>600</v>
      </c>
      <c r="D83" s="386" t="s">
        <v>132</v>
      </c>
      <c r="E83" s="42">
        <f t="shared" si="51"/>
        <v>1.8623727474949451E-2</v>
      </c>
      <c r="F83" s="42">
        <f t="shared" si="49"/>
        <v>1.4661518330132925E-2</v>
      </c>
      <c r="G83" s="42">
        <f t="shared" si="49"/>
        <v>1.1539353395195446E-2</v>
      </c>
      <c r="H83" s="42">
        <f t="shared" si="49"/>
        <v>9.0834869564301937E-3</v>
      </c>
      <c r="I83" s="42">
        <f t="shared" si="49"/>
        <v>7.1503348113363917E-3</v>
      </c>
      <c r="J83" s="42">
        <f t="shared" si="49"/>
        <v>5.6113243316274998E-3</v>
      </c>
      <c r="K83" s="42">
        <f t="shared" si="49"/>
        <v>4.4035490918430979E-3</v>
      </c>
      <c r="L83" s="42">
        <f t="shared" si="49"/>
        <v>3.4566612582362785E-3</v>
      </c>
      <c r="M83" s="42">
        <f t="shared" si="49"/>
        <v>2.7139796833466632E-3</v>
      </c>
      <c r="N83" s="42">
        <f t="shared" si="49"/>
        <v>2.1312589178056583E-3</v>
      </c>
      <c r="O83" s="42">
        <f t="shared" si="49"/>
        <v>1.6738870961156348E-3</v>
      </c>
      <c r="P83" s="42">
        <f t="shared" si="49"/>
        <v>1.3148277829131937E-3</v>
      </c>
      <c r="Q83" s="42">
        <f t="shared" si="49"/>
        <v>1.0328838923329678E-3</v>
      </c>
      <c r="R83" s="42">
        <f t="shared" si="49"/>
        <v>8.1146392233403196E-4</v>
      </c>
      <c r="S83" s="42">
        <f t="shared" si="49"/>
        <v>6.375472442422868E-4</v>
      </c>
      <c r="T83" s="42">
        <f t="shared" si="49"/>
        <v>5.0090934390594822E-4</v>
      </c>
      <c r="U83" s="42">
        <f t="shared" si="49"/>
        <v>3.9357322269622288E-4</v>
      </c>
      <c r="V83" s="42">
        <f t="shared" si="49"/>
        <v>3.0924247673757579E-4</v>
      </c>
      <c r="W83" s="42">
        <f t="shared" si="49"/>
        <v>2.4298460462924865E-4</v>
      </c>
      <c r="X83" s="42">
        <f t="shared" si="49"/>
        <v>1.9092109481942497E-4</v>
      </c>
      <c r="Y83" s="26">
        <f t="shared" si="50"/>
        <v>9.9762912600973377E-2</v>
      </c>
      <c r="AA83" s="32">
        <f t="shared" si="52"/>
        <v>8.6483434931630146E-2</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A84" s="63">
        <f t="shared" si="47"/>
        <v>266.56232768182667</v>
      </c>
      <c r="B84" s="63">
        <f t="shared" si="48"/>
        <v>-32.508813064490326</v>
      </c>
      <c r="C84" t="s">
        <v>599</v>
      </c>
      <c r="D84" s="386" t="s">
        <v>132</v>
      </c>
      <c r="E84" s="42">
        <f t="shared" si="51"/>
        <v>1.8743084792811372E-2</v>
      </c>
      <c r="F84" s="42">
        <f t="shared" si="49"/>
        <v>1.4755482307323951E-2</v>
      </c>
      <c r="G84" s="42">
        <f t="shared" si="49"/>
        <v>1.1613307778009735E-2</v>
      </c>
      <c r="H84" s="42">
        <f t="shared" si="49"/>
        <v>9.1417019749548984E-3</v>
      </c>
      <c r="I84" s="42">
        <f t="shared" si="49"/>
        <v>7.1961604810925556E-3</v>
      </c>
      <c r="J84" s="42">
        <f t="shared" si="49"/>
        <v>5.6472866610149568E-3</v>
      </c>
      <c r="K84" s="42">
        <f t="shared" si="49"/>
        <v>4.4317709292482389E-3</v>
      </c>
      <c r="L84" s="42">
        <f t="shared" si="49"/>
        <v>3.4788146009060118E-3</v>
      </c>
      <c r="M84" s="42">
        <f t="shared" si="49"/>
        <v>2.7313732656019723E-3</v>
      </c>
      <c r="N84" s="42">
        <f t="shared" si="49"/>
        <v>2.1449179099940238E-3</v>
      </c>
      <c r="O84" s="42">
        <f t="shared" si="49"/>
        <v>1.6846148451371331E-3</v>
      </c>
      <c r="P84" s="42">
        <f t="shared" si="49"/>
        <v>1.3232543622770689E-3</v>
      </c>
      <c r="Q84" s="42">
        <f t="shared" si="49"/>
        <v>1.0395035258739694E-3</v>
      </c>
      <c r="R84" s="42">
        <f t="shared" si="49"/>
        <v>8.1666450086707702E-4</v>
      </c>
      <c r="S84" s="42">
        <f t="shared" si="49"/>
        <v>6.4163321087734257E-4</v>
      </c>
      <c r="T84" s="42">
        <f t="shared" si="49"/>
        <v>5.0411961402298071E-4</v>
      </c>
      <c r="U84" s="42">
        <f t="shared" si="49"/>
        <v>3.9609558801253662E-4</v>
      </c>
      <c r="V84" s="42">
        <f t="shared" si="49"/>
        <v>3.112243760454357E-4</v>
      </c>
      <c r="W84" s="42">
        <f t="shared" si="49"/>
        <v>2.4454186488927421E-4</v>
      </c>
      <c r="X84" s="42">
        <f t="shared" si="49"/>
        <v>1.9214468605976929E-4</v>
      </c>
      <c r="Y84" s="26">
        <f t="shared" si="50"/>
        <v>0.10040228158262123</v>
      </c>
      <c r="AA84" s="32">
        <f t="shared" si="52"/>
        <v>8.7037697275020282E-2</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s="386" customFormat="1">
      <c r="A85" s="63">
        <f t="shared" si="47"/>
        <v>263.37666569558996</v>
      </c>
      <c r="B85" s="63">
        <f t="shared" si="48"/>
        <v>-33.358198810091075</v>
      </c>
      <c r="C85" t="s">
        <v>602</v>
      </c>
      <c r="D85" s="386" t="s">
        <v>132</v>
      </c>
      <c r="E85" s="42">
        <f t="shared" si="51"/>
        <v>1.8519087901545703E-2</v>
      </c>
      <c r="F85" s="42">
        <f t="shared" si="49"/>
        <v>1.4579140888475233E-2</v>
      </c>
      <c r="G85" s="42">
        <f t="shared" si="49"/>
        <v>1.1474518199434956E-2</v>
      </c>
      <c r="H85" s="42">
        <f t="shared" si="49"/>
        <v>9.0324503311671848E-3</v>
      </c>
      <c r="I85" s="42">
        <f t="shared" si="49"/>
        <v>7.1101598256704639E-3</v>
      </c>
      <c r="J85" s="42">
        <f t="shared" si="49"/>
        <v>5.5797964548863158E-3</v>
      </c>
      <c r="K85" s="42">
        <f t="shared" si="49"/>
        <v>4.3788072404037041E-3</v>
      </c>
      <c r="L85" s="42">
        <f t="shared" si="49"/>
        <v>3.4372396059408586E-3</v>
      </c>
      <c r="M85" s="42">
        <f t="shared" si="49"/>
        <v>2.6987308736401293E-3</v>
      </c>
      <c r="N85" s="42">
        <f t="shared" si="49"/>
        <v>2.1192841923232271E-3</v>
      </c>
      <c r="O85" s="42">
        <f t="shared" si="49"/>
        <v>1.6644821672742317E-3</v>
      </c>
      <c r="P85" s="42">
        <f t="shared" si="49"/>
        <v>1.3074402704783979E-3</v>
      </c>
      <c r="Q85" s="42">
        <f t="shared" si="49"/>
        <v>1.0270805143564213E-3</v>
      </c>
      <c r="R85" s="42">
        <f t="shared" si="49"/>
        <v>8.0690461814641524E-4</v>
      </c>
      <c r="S85" s="42">
        <f t="shared" si="49"/>
        <v>6.3396511108704246E-4</v>
      </c>
      <c r="T85" s="42">
        <f t="shared" si="49"/>
        <v>4.9809492664545213E-4</v>
      </c>
      <c r="U85" s="42">
        <f t="shared" si="49"/>
        <v>3.9136188588507868E-4</v>
      </c>
      <c r="V85" s="42">
        <f t="shared" si="49"/>
        <v>3.0750496200602345E-4</v>
      </c>
      <c r="W85" s="42">
        <f t="shared" si="49"/>
        <v>2.4161936743888037E-4</v>
      </c>
      <c r="X85" s="42">
        <f t="shared" si="49"/>
        <v>1.8984838249894273E-4</v>
      </c>
      <c r="Y85" s="26">
        <f t="shared" si="50"/>
        <v>9.9202383102776889E-2</v>
      </c>
      <c r="AA85" s="32">
        <f t="shared" ref="AA85:AA89" si="53">SUM(E85:X85)</f>
        <v>8.5997517719304667E-2</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s="386" customFormat="1">
      <c r="A86" s="63">
        <f t="shared" si="47"/>
        <v>265.0185068731119</v>
      </c>
      <c r="B86" s="63">
        <f t="shared" si="48"/>
        <v>-32.644780358969037</v>
      </c>
      <c r="C86" t="s">
        <v>603</v>
      </c>
      <c r="D86" s="386" t="s">
        <v>132</v>
      </c>
      <c r="E86" s="42">
        <f t="shared" si="51"/>
        <v>1.8634532453198002E-2</v>
      </c>
      <c r="F86" s="42">
        <f t="shared" si="49"/>
        <v>1.4670024542804952E-2</v>
      </c>
      <c r="G86" s="42">
        <f t="shared" si="49"/>
        <v>1.1546048213008106E-2</v>
      </c>
      <c r="H86" s="42">
        <f t="shared" si="49"/>
        <v>9.0887569475808505E-3</v>
      </c>
      <c r="I86" s="42">
        <f t="shared" si="49"/>
        <v>7.1544832403880017E-3</v>
      </c>
      <c r="J86" s="42">
        <f t="shared" si="49"/>
        <v>5.6145798688141532E-3</v>
      </c>
      <c r="K86" s="42">
        <f t="shared" si="49"/>
        <v>4.4061039108081942E-3</v>
      </c>
      <c r="L86" s="42">
        <f t="shared" si="49"/>
        <v>3.4586667187305911E-3</v>
      </c>
      <c r="M86" s="42">
        <f t="shared" si="49"/>
        <v>2.7155542602666171E-3</v>
      </c>
      <c r="N86" s="42">
        <f t="shared" si="49"/>
        <v>2.1324954160458682E-3</v>
      </c>
      <c r="O86" s="42">
        <f t="shared" si="49"/>
        <v>1.6748582397112649E-3</v>
      </c>
      <c r="P86" s="42">
        <f t="shared" si="49"/>
        <v>1.3155906100977127E-3</v>
      </c>
      <c r="Q86" s="42">
        <f t="shared" si="49"/>
        <v>1.033483143369311E-3</v>
      </c>
      <c r="R86" s="42">
        <f t="shared" si="49"/>
        <v>8.1193471154860232E-4</v>
      </c>
      <c r="S86" s="42">
        <f t="shared" si="49"/>
        <v>6.3791713174819709E-4</v>
      </c>
      <c r="T86" s="42">
        <f t="shared" si="49"/>
        <v>5.0119995783233214E-4</v>
      </c>
      <c r="U86" s="42">
        <f t="shared" si="49"/>
        <v>3.9380156313538386E-4</v>
      </c>
      <c r="V86" s="42">
        <f t="shared" si="49"/>
        <v>3.0942189078018203E-4</v>
      </c>
      <c r="W86" s="42">
        <f t="shared" si="49"/>
        <v>2.4312557766331409E-4</v>
      </c>
      <c r="X86" s="42">
        <f t="shared" si="49"/>
        <v>1.9103186202644562E-4</v>
      </c>
      <c r="Y86" s="26">
        <f t="shared" si="50"/>
        <v>9.9820792319312013E-2</v>
      </c>
      <c r="AA86" s="32">
        <f t="shared" si="53"/>
        <v>8.653361025955808E-2</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s="386" customFormat="1">
      <c r="A87" s="63">
        <f t="shared" si="47"/>
        <v>263.37666569558996</v>
      </c>
      <c r="B87" s="63">
        <f t="shared" si="48"/>
        <v>-33.358198810091075</v>
      </c>
      <c r="C87" t="s">
        <v>601</v>
      </c>
      <c r="D87" s="386" t="s">
        <v>135</v>
      </c>
      <c r="E87" s="42">
        <f t="shared" si="51"/>
        <v>4.8943303739799347E-2</v>
      </c>
      <c r="F87" s="42">
        <f t="shared" si="49"/>
        <v>3.8523492278719068E-2</v>
      </c>
      <c r="G87" s="42">
        <f t="shared" si="49"/>
        <v>3.0330086959741112E-2</v>
      </c>
      <c r="H87" s="42">
        <f t="shared" si="49"/>
        <v>2.3885031962433741E-2</v>
      </c>
      <c r="I87" s="42">
        <f t="shared" si="49"/>
        <v>1.8938639879792392E-2</v>
      </c>
      <c r="J87" s="42">
        <f t="shared" si="49"/>
        <v>1.4932320311424453E-2</v>
      </c>
      <c r="K87" s="42">
        <f t="shared" si="49"/>
        <v>1.1768155032726284E-2</v>
      </c>
      <c r="L87" s="42">
        <f t="shared" si="49"/>
        <v>9.2776710797311639E-3</v>
      </c>
      <c r="M87" s="42">
        <f t="shared" si="49"/>
        <v>7.3110230044968055E-3</v>
      </c>
      <c r="N87" s="42">
        <f t="shared" si="49"/>
        <v>5.8058973103727214E-3</v>
      </c>
      <c r="O87" s="42">
        <f t="shared" si="49"/>
        <v>4.5740532546920658E-3</v>
      </c>
      <c r="P87" s="42">
        <f t="shared" si="49"/>
        <v>3.6019879566420478E-3</v>
      </c>
      <c r="Q87" s="42">
        <f t="shared" si="49"/>
        <v>2.8372835690952118E-3</v>
      </c>
      <c r="R87" s="42">
        <f t="shared" si="49"/>
        <v>2.2339537754650415E-3</v>
      </c>
      <c r="S87" s="42">
        <f t="shared" si="49"/>
        <v>1.7710000497739072E-3</v>
      </c>
      <c r="T87" s="42">
        <f t="shared" si="49"/>
        <v>1.3954436668714165E-3</v>
      </c>
      <c r="U87" s="42">
        <f t="shared" si="49"/>
        <v>1.0997944339149743E-3</v>
      </c>
      <c r="V87" s="42">
        <f t="shared" si="49"/>
        <v>8.666813502692755E-4</v>
      </c>
      <c r="W87" s="42">
        <f t="shared" si="49"/>
        <v>6.8267896836379143E-4</v>
      </c>
      <c r="X87" s="42">
        <f t="shared" si="49"/>
        <v>5.4168661568552968E-4</v>
      </c>
      <c r="Y87" s="26">
        <f t="shared" si="50"/>
        <v>0.28305009747018445</v>
      </c>
      <c r="AA87" s="32">
        <f t="shared" si="53"/>
        <v>0.2293201852000103</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s="386" customFormat="1">
      <c r="A88" s="63">
        <f t="shared" si="47"/>
        <v>264.86483952409634</v>
      </c>
      <c r="B88" s="63">
        <f t="shared" si="48"/>
        <v>-32.850302911189921</v>
      </c>
      <c r="C88" t="s">
        <v>600</v>
      </c>
      <c r="D88" s="386" t="s">
        <v>135</v>
      </c>
      <c r="E88" s="42">
        <f t="shared" si="51"/>
        <v>4.9219851183794981E-2</v>
      </c>
      <c r="F88" s="42">
        <f t="shared" si="49"/>
        <v>3.8741164003131115E-2</v>
      </c>
      <c r="G88" s="42">
        <f t="shared" si="49"/>
        <v>3.0501462967978597E-2</v>
      </c>
      <c r="H88" s="42">
        <f t="shared" si="49"/>
        <v>2.4019991068874154E-2</v>
      </c>
      <c r="I88" s="42">
        <f t="shared" si="49"/>
        <v>1.9045650074268724E-2</v>
      </c>
      <c r="J88" s="42">
        <f t="shared" si="49"/>
        <v>1.5016693345108537E-2</v>
      </c>
      <c r="K88" s="42">
        <f t="shared" si="49"/>
        <v>1.1834649383253718E-2</v>
      </c>
      <c r="L88" s="42">
        <f t="shared" si="49"/>
        <v>9.3300932912960405E-3</v>
      </c>
      <c r="M88" s="42">
        <f t="shared" si="49"/>
        <v>7.3523329400834126E-3</v>
      </c>
      <c r="N88" s="42">
        <f t="shared" si="49"/>
        <v>5.8387027390748927E-3</v>
      </c>
      <c r="O88" s="42">
        <f t="shared" si="49"/>
        <v>4.5998983170321538E-3</v>
      </c>
      <c r="P88" s="42">
        <f t="shared" si="49"/>
        <v>3.6223404969611102E-3</v>
      </c>
      <c r="Q88" s="42">
        <f t="shared" si="49"/>
        <v>2.8533152518580985E-3</v>
      </c>
      <c r="R88" s="42">
        <f t="shared" si="49"/>
        <v>2.2465764257441007E-3</v>
      </c>
      <c r="S88" s="42">
        <f t="shared" si="49"/>
        <v>1.7810068433423364E-3</v>
      </c>
      <c r="T88" s="42">
        <f t="shared" si="49"/>
        <v>1.4033284304616474E-3</v>
      </c>
      <c r="U88" s="42">
        <f t="shared" si="49"/>
        <v>1.1060086719491852E-3</v>
      </c>
      <c r="V88" s="42">
        <f t="shared" si="49"/>
        <v>8.7157841470632009E-4</v>
      </c>
      <c r="W88" s="42">
        <f t="shared" si="49"/>
        <v>6.8653635250717239E-4</v>
      </c>
      <c r="X88" s="42">
        <f t="shared" si="49"/>
        <v>5.447473418230802E-4</v>
      </c>
      <c r="Y88" s="26">
        <f t="shared" si="50"/>
        <v>0.284649433334274</v>
      </c>
      <c r="AA88" s="32">
        <f t="shared" si="53"/>
        <v>0.23061592754324933</v>
      </c>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s="386" customFormat="1">
      <c r="A89" s="63">
        <f t="shared" si="47"/>
        <v>266.56232768182667</v>
      </c>
      <c r="B89" s="63">
        <f t="shared" si="48"/>
        <v>-32.508813064490326</v>
      </c>
      <c r="C89" t="s">
        <v>599</v>
      </c>
      <c r="D89" s="386" t="s">
        <v>135</v>
      </c>
      <c r="E89" s="42">
        <f t="shared" si="51"/>
        <v>4.9535295523858623E-2</v>
      </c>
      <c r="F89" s="42">
        <f t="shared" si="49"/>
        <v>3.8989451647614873E-2</v>
      </c>
      <c r="G89" s="42">
        <f t="shared" si="49"/>
        <v>3.069694332042788E-2</v>
      </c>
      <c r="H89" s="42">
        <f t="shared" si="49"/>
        <v>2.4173932416700704E-2</v>
      </c>
      <c r="I89" s="42">
        <f t="shared" si="49"/>
        <v>1.9167711445326644E-2</v>
      </c>
      <c r="J89" s="42">
        <f t="shared" si="49"/>
        <v>1.511293359793859E-2</v>
      </c>
      <c r="K89" s="42">
        <f t="shared" si="49"/>
        <v>1.1910496283941098E-2</v>
      </c>
      <c r="L89" s="42">
        <f t="shared" si="49"/>
        <v>9.3898887813314534E-3</v>
      </c>
      <c r="M89" s="42">
        <f t="shared" si="49"/>
        <v>7.399453192510677E-3</v>
      </c>
      <c r="N89" s="42">
        <f t="shared" si="49"/>
        <v>5.8761223104075591E-3</v>
      </c>
      <c r="O89" s="42">
        <f t="shared" si="49"/>
        <v>4.6293785339380882E-3</v>
      </c>
      <c r="P89" s="42">
        <f t="shared" si="49"/>
        <v>3.6455556587315693E-3</v>
      </c>
      <c r="Q89" s="42">
        <f t="shared" si="49"/>
        <v>2.8716018196751143E-3</v>
      </c>
      <c r="R89" s="42">
        <f t="shared" si="49"/>
        <v>2.2609744745186715E-3</v>
      </c>
      <c r="S89" s="42">
        <f t="shared" si="49"/>
        <v>1.7924211104486931E-3</v>
      </c>
      <c r="T89" s="42">
        <f t="shared" si="49"/>
        <v>1.4123222002515338E-3</v>
      </c>
      <c r="U89" s="42">
        <f t="shared" si="49"/>
        <v>1.1130969537549327E-3</v>
      </c>
      <c r="V89" s="42">
        <f t="shared" si="49"/>
        <v>8.7716426007619142E-4</v>
      </c>
      <c r="W89" s="42">
        <f t="shared" si="49"/>
        <v>6.9093628467758149E-4</v>
      </c>
      <c r="X89" s="42">
        <f t="shared" si="49"/>
        <v>5.4823856460433425E-4</v>
      </c>
      <c r="Y89" s="26">
        <f t="shared" si="50"/>
        <v>0.28647371866809851</v>
      </c>
      <c r="AA89" s="32">
        <f t="shared" si="53"/>
        <v>0.23209391838073481</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c r="A90" s="63">
        <f t="shared" si="47"/>
        <v>263.37666569558996</v>
      </c>
      <c r="B90" s="63">
        <f t="shared" si="48"/>
        <v>-33.358198810091075</v>
      </c>
      <c r="C90" t="s">
        <v>602</v>
      </c>
      <c r="D90" s="386" t="s">
        <v>135</v>
      </c>
      <c r="E90" s="42">
        <f t="shared" si="51"/>
        <v>4.8943303739799347E-2</v>
      </c>
      <c r="F90" s="42">
        <f t="shared" si="49"/>
        <v>3.8523492278719068E-2</v>
      </c>
      <c r="G90" s="42">
        <f t="shared" si="49"/>
        <v>3.0330086959741112E-2</v>
      </c>
      <c r="H90" s="42">
        <f t="shared" si="49"/>
        <v>2.3885031962433741E-2</v>
      </c>
      <c r="I90" s="42">
        <f t="shared" si="49"/>
        <v>1.8938639879792392E-2</v>
      </c>
      <c r="J90" s="42">
        <f t="shared" si="49"/>
        <v>1.4932320311424453E-2</v>
      </c>
      <c r="K90" s="42">
        <f t="shared" si="49"/>
        <v>1.1768155032726284E-2</v>
      </c>
      <c r="L90" s="42">
        <f t="shared" si="49"/>
        <v>9.2776710797311639E-3</v>
      </c>
      <c r="M90" s="42">
        <f t="shared" si="49"/>
        <v>7.3110230044968055E-3</v>
      </c>
      <c r="N90" s="42">
        <f t="shared" si="49"/>
        <v>5.8058973103727214E-3</v>
      </c>
      <c r="O90" s="42">
        <f t="shared" si="49"/>
        <v>4.5740532546920658E-3</v>
      </c>
      <c r="P90" s="42">
        <f t="shared" si="49"/>
        <v>3.6019879566420478E-3</v>
      </c>
      <c r="Q90" s="42">
        <f t="shared" si="49"/>
        <v>2.8372835690952118E-3</v>
      </c>
      <c r="R90" s="42">
        <f t="shared" si="49"/>
        <v>2.2339537754650415E-3</v>
      </c>
      <c r="S90" s="42">
        <f t="shared" si="49"/>
        <v>1.7710000497739072E-3</v>
      </c>
      <c r="T90" s="42">
        <f t="shared" si="49"/>
        <v>1.3954436668714165E-3</v>
      </c>
      <c r="U90" s="42">
        <f t="shared" si="49"/>
        <v>1.0997944339149743E-3</v>
      </c>
      <c r="V90" s="42">
        <f t="shared" si="49"/>
        <v>8.666813502692755E-4</v>
      </c>
      <c r="W90" s="42">
        <f t="shared" si="49"/>
        <v>6.8267896836379143E-4</v>
      </c>
      <c r="X90" s="42">
        <f t="shared" si="49"/>
        <v>5.4168661568552968E-4</v>
      </c>
      <c r="Y90" s="26">
        <f t="shared" si="50"/>
        <v>0.28305009747018445</v>
      </c>
      <c r="AA90" s="32">
        <f t="shared" si="52"/>
        <v>0.2293201852000103</v>
      </c>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c r="A91" s="63">
        <f t="shared" si="47"/>
        <v>265.0185068731119</v>
      </c>
      <c r="B91" s="63">
        <f t="shared" si="48"/>
        <v>-32.644780358969037</v>
      </c>
      <c r="C91" t="s">
        <v>603</v>
      </c>
      <c r="D91" s="386" t="s">
        <v>135</v>
      </c>
      <c r="E91" s="42">
        <f t="shared" si="51"/>
        <v>1.8634532453198002E-2</v>
      </c>
      <c r="F91" s="42">
        <f t="shared" si="49"/>
        <v>1.4670024542804952E-2</v>
      </c>
      <c r="G91" s="42">
        <f t="shared" si="49"/>
        <v>1.1546048213008106E-2</v>
      </c>
      <c r="H91" s="42">
        <f t="shared" si="49"/>
        <v>9.0887569475808505E-3</v>
      </c>
      <c r="I91" s="42">
        <f t="shared" si="49"/>
        <v>7.1544832403880017E-3</v>
      </c>
      <c r="J91" s="42">
        <f t="shared" ref="F91:X96" si="54">VLOOKUP(CONCATENATE($C91&amp;$D91),$B$49:$Y$68,J$22+2,FALSE)*$C$75*$A91/8760/1000</f>
        <v>5.6145798688141532E-3</v>
      </c>
      <c r="K91" s="42">
        <f t="shared" si="54"/>
        <v>4.4061039108081942E-3</v>
      </c>
      <c r="L91" s="42">
        <f t="shared" si="54"/>
        <v>3.4586667187305911E-3</v>
      </c>
      <c r="M91" s="42">
        <f t="shared" si="54"/>
        <v>2.7155542602666171E-3</v>
      </c>
      <c r="N91" s="42">
        <f t="shared" si="54"/>
        <v>2.1324954160458682E-3</v>
      </c>
      <c r="O91" s="42">
        <f t="shared" si="54"/>
        <v>1.6748582397112649E-3</v>
      </c>
      <c r="P91" s="42">
        <f t="shared" si="54"/>
        <v>1.3155906100977127E-3</v>
      </c>
      <c r="Q91" s="42">
        <f t="shared" si="54"/>
        <v>1.033483143369311E-3</v>
      </c>
      <c r="R91" s="42">
        <f t="shared" si="54"/>
        <v>8.1193471154860232E-4</v>
      </c>
      <c r="S91" s="42">
        <f t="shared" si="54"/>
        <v>6.3791713174819709E-4</v>
      </c>
      <c r="T91" s="42">
        <f t="shared" si="54"/>
        <v>5.0119995783233214E-4</v>
      </c>
      <c r="U91" s="42">
        <f t="shared" si="54"/>
        <v>3.9380156313538386E-4</v>
      </c>
      <c r="V91" s="42">
        <f t="shared" si="54"/>
        <v>3.0942189078018203E-4</v>
      </c>
      <c r="W91" s="42">
        <f t="shared" si="54"/>
        <v>2.4312557766331409E-4</v>
      </c>
      <c r="X91" s="42">
        <f t="shared" si="54"/>
        <v>1.9103186202644562E-4</v>
      </c>
      <c r="Y91" s="26">
        <f t="shared" si="50"/>
        <v>0.28481457916449393</v>
      </c>
      <c r="AA91" s="32">
        <f t="shared" si="52"/>
        <v>8.653361025955808E-2</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A92" s="63">
        <f t="shared" si="47"/>
        <v>263.37666569558996</v>
      </c>
      <c r="B92" s="63">
        <f t="shared" si="48"/>
        <v>-33.358198810091075</v>
      </c>
      <c r="C92" t="s">
        <v>601</v>
      </c>
      <c r="D92" s="386" t="s">
        <v>134</v>
      </c>
      <c r="E92" s="42">
        <f t="shared" si="51"/>
        <v>1.8519087901545703E-2</v>
      </c>
      <c r="F92" s="42">
        <f t="shared" si="54"/>
        <v>1.4579140888475233E-2</v>
      </c>
      <c r="G92" s="42">
        <f t="shared" si="54"/>
        <v>1.1474518199434956E-2</v>
      </c>
      <c r="H92" s="42">
        <f t="shared" si="54"/>
        <v>9.0324503311671848E-3</v>
      </c>
      <c r="I92" s="42">
        <f t="shared" si="54"/>
        <v>7.1101598256704639E-3</v>
      </c>
      <c r="J92" s="42">
        <f t="shared" si="54"/>
        <v>5.5797964548863158E-3</v>
      </c>
      <c r="K92" s="42">
        <f t="shared" si="54"/>
        <v>4.3788072404037041E-3</v>
      </c>
      <c r="L92" s="42">
        <f t="shared" si="54"/>
        <v>3.4372396059408586E-3</v>
      </c>
      <c r="M92" s="42">
        <f t="shared" si="54"/>
        <v>2.6987308736401293E-3</v>
      </c>
      <c r="N92" s="42">
        <f t="shared" si="54"/>
        <v>2.1192841923232271E-3</v>
      </c>
      <c r="O92" s="42">
        <f t="shared" si="54"/>
        <v>1.6644821672742317E-3</v>
      </c>
      <c r="P92" s="42">
        <f t="shared" si="54"/>
        <v>1.3074402704783979E-3</v>
      </c>
      <c r="Q92" s="42">
        <f t="shared" si="54"/>
        <v>1.0270805143564213E-3</v>
      </c>
      <c r="R92" s="42">
        <f t="shared" si="54"/>
        <v>8.0690461814641524E-4</v>
      </c>
      <c r="S92" s="42">
        <f t="shared" si="54"/>
        <v>6.3396511108704246E-4</v>
      </c>
      <c r="T92" s="42">
        <f t="shared" si="54"/>
        <v>4.9809492664545213E-4</v>
      </c>
      <c r="U92" s="42">
        <f t="shared" si="54"/>
        <v>3.9136188588507868E-4</v>
      </c>
      <c r="V92" s="42">
        <f t="shared" si="54"/>
        <v>3.0750496200602345E-4</v>
      </c>
      <c r="W92" s="42">
        <f t="shared" si="54"/>
        <v>2.4161936743888037E-4</v>
      </c>
      <c r="X92" s="42">
        <f t="shared" si="54"/>
        <v>1.8984838249894273E-4</v>
      </c>
      <c r="Y92" s="26">
        <f t="shared" si="50"/>
        <v>0.27026406891257548</v>
      </c>
      <c r="AA92" s="32">
        <f t="shared" si="52"/>
        <v>8.5997517719304667E-2</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A93" s="63">
        <f t="shared" si="47"/>
        <v>264.86483952409634</v>
      </c>
      <c r="B93" s="63">
        <f t="shared" si="48"/>
        <v>-32.850302911189921</v>
      </c>
      <c r="C93" t="s">
        <v>600</v>
      </c>
      <c r="D93" s="386" t="s">
        <v>134</v>
      </c>
      <c r="E93" s="42">
        <f t="shared" si="51"/>
        <v>1.8623727474949451E-2</v>
      </c>
      <c r="F93" s="42">
        <f t="shared" si="54"/>
        <v>1.4661518330132925E-2</v>
      </c>
      <c r="G93" s="42">
        <f t="shared" si="54"/>
        <v>1.1539353395195446E-2</v>
      </c>
      <c r="H93" s="42">
        <f t="shared" si="54"/>
        <v>9.0834869564301937E-3</v>
      </c>
      <c r="I93" s="42">
        <f t="shared" si="54"/>
        <v>7.1503348113363917E-3</v>
      </c>
      <c r="J93" s="42">
        <f t="shared" si="54"/>
        <v>5.6113243316274998E-3</v>
      </c>
      <c r="K93" s="42">
        <f t="shared" si="54"/>
        <v>4.4035490918430979E-3</v>
      </c>
      <c r="L93" s="42">
        <f t="shared" si="54"/>
        <v>3.4566612582362785E-3</v>
      </c>
      <c r="M93" s="42">
        <f t="shared" si="54"/>
        <v>2.7139796833466632E-3</v>
      </c>
      <c r="N93" s="42">
        <f t="shared" si="54"/>
        <v>2.1312589178056583E-3</v>
      </c>
      <c r="O93" s="42">
        <f t="shared" si="54"/>
        <v>1.6738870961156348E-3</v>
      </c>
      <c r="P93" s="42">
        <f t="shared" si="54"/>
        <v>1.3148277829131937E-3</v>
      </c>
      <c r="Q93" s="42">
        <f t="shared" si="54"/>
        <v>1.0328838923329678E-3</v>
      </c>
      <c r="R93" s="42">
        <f t="shared" si="54"/>
        <v>8.1146392233403196E-4</v>
      </c>
      <c r="S93" s="42">
        <f t="shared" si="54"/>
        <v>6.375472442422868E-4</v>
      </c>
      <c r="T93" s="42">
        <f t="shared" si="54"/>
        <v>5.0090934390594822E-4</v>
      </c>
      <c r="U93" s="42">
        <f t="shared" si="54"/>
        <v>3.9357322269622288E-4</v>
      </c>
      <c r="V93" s="42">
        <f t="shared" si="54"/>
        <v>3.0924247673757579E-4</v>
      </c>
      <c r="W93" s="42">
        <f t="shared" si="54"/>
        <v>2.4298460462924865E-4</v>
      </c>
      <c r="X93" s="42">
        <f t="shared" si="54"/>
        <v>1.9092109481942497E-4</v>
      </c>
      <c r="Y93" s="26">
        <f t="shared" si="50"/>
        <v>0.27179115907099594</v>
      </c>
      <c r="AA93" s="32">
        <f t="shared" si="52"/>
        <v>8.6483434931630146E-2</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A94" s="63">
        <f t="shared" si="47"/>
        <v>266.56232768182667</v>
      </c>
      <c r="B94" s="63">
        <f t="shared" si="48"/>
        <v>-32.508813064490326</v>
      </c>
      <c r="C94" t="s">
        <v>599</v>
      </c>
      <c r="D94" s="386" t="s">
        <v>134</v>
      </c>
      <c r="E94" s="42">
        <f t="shared" si="51"/>
        <v>4.9535295523858623E-2</v>
      </c>
      <c r="F94" s="42">
        <f t="shared" si="54"/>
        <v>3.8989451647614873E-2</v>
      </c>
      <c r="G94" s="42">
        <f t="shared" si="54"/>
        <v>3.069694332042788E-2</v>
      </c>
      <c r="H94" s="42">
        <f t="shared" si="54"/>
        <v>2.4173932416700704E-2</v>
      </c>
      <c r="I94" s="42">
        <f t="shared" si="54"/>
        <v>1.9167711445326644E-2</v>
      </c>
      <c r="J94" s="42">
        <f t="shared" si="54"/>
        <v>1.511293359793859E-2</v>
      </c>
      <c r="K94" s="42">
        <f t="shared" si="54"/>
        <v>1.1910496283941098E-2</v>
      </c>
      <c r="L94" s="42">
        <f t="shared" si="54"/>
        <v>9.3898887813314534E-3</v>
      </c>
      <c r="M94" s="42">
        <f t="shared" si="54"/>
        <v>7.399453192510677E-3</v>
      </c>
      <c r="N94" s="42">
        <f t="shared" si="54"/>
        <v>5.8761223104075591E-3</v>
      </c>
      <c r="O94" s="42">
        <f t="shared" si="54"/>
        <v>4.6293785339380882E-3</v>
      </c>
      <c r="P94" s="42">
        <f t="shared" si="54"/>
        <v>3.6455556587315693E-3</v>
      </c>
      <c r="Q94" s="42">
        <f t="shared" si="54"/>
        <v>2.8716018196751143E-3</v>
      </c>
      <c r="R94" s="42">
        <f t="shared" si="54"/>
        <v>2.2609744745186715E-3</v>
      </c>
      <c r="S94" s="42">
        <f t="shared" si="54"/>
        <v>1.7924211104486931E-3</v>
      </c>
      <c r="T94" s="42">
        <f t="shared" si="54"/>
        <v>1.4123222002515338E-3</v>
      </c>
      <c r="U94" s="42">
        <f t="shared" si="54"/>
        <v>1.1130969537549327E-3</v>
      </c>
      <c r="V94" s="42">
        <f t="shared" si="54"/>
        <v>8.7716426007619142E-4</v>
      </c>
      <c r="W94" s="42">
        <f t="shared" si="54"/>
        <v>6.9093628467758149E-4</v>
      </c>
      <c r="X94" s="42">
        <f t="shared" si="54"/>
        <v>5.4823856460433425E-4</v>
      </c>
      <c r="Y94" s="26">
        <f t="shared" si="50"/>
        <v>0.27353303721053224</v>
      </c>
      <c r="AA94" s="32">
        <f t="shared" si="52"/>
        <v>0.23209391838073481</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A95" s="63">
        <f t="shared" si="47"/>
        <v>263.37666569558996</v>
      </c>
      <c r="B95" s="63">
        <f t="shared" si="48"/>
        <v>-33.358198810091075</v>
      </c>
      <c r="C95" t="s">
        <v>602</v>
      </c>
      <c r="D95" s="386" t="s">
        <v>134</v>
      </c>
      <c r="E95" s="42">
        <f t="shared" si="51"/>
        <v>4.8943303739799347E-2</v>
      </c>
      <c r="F95" s="42">
        <f t="shared" si="54"/>
        <v>3.8523492278719068E-2</v>
      </c>
      <c r="G95" s="42">
        <f t="shared" si="54"/>
        <v>3.0330086959741112E-2</v>
      </c>
      <c r="H95" s="42">
        <f t="shared" si="54"/>
        <v>2.3885031962433741E-2</v>
      </c>
      <c r="I95" s="42">
        <f t="shared" si="54"/>
        <v>1.8938639879792392E-2</v>
      </c>
      <c r="J95" s="42">
        <f t="shared" si="54"/>
        <v>1.4932320311424453E-2</v>
      </c>
      <c r="K95" s="42">
        <f t="shared" si="54"/>
        <v>1.1768155032726284E-2</v>
      </c>
      <c r="L95" s="42">
        <f t="shared" si="54"/>
        <v>9.2776710797311639E-3</v>
      </c>
      <c r="M95" s="42">
        <f t="shared" si="54"/>
        <v>7.3110230044968055E-3</v>
      </c>
      <c r="N95" s="42">
        <f t="shared" si="54"/>
        <v>5.8058973103727214E-3</v>
      </c>
      <c r="O95" s="42">
        <f t="shared" si="54"/>
        <v>4.5740532546920658E-3</v>
      </c>
      <c r="P95" s="42">
        <f t="shared" si="54"/>
        <v>3.6019879566420478E-3</v>
      </c>
      <c r="Q95" s="42">
        <f t="shared" si="54"/>
        <v>2.8372835690952118E-3</v>
      </c>
      <c r="R95" s="42">
        <f t="shared" si="54"/>
        <v>2.2339537754650415E-3</v>
      </c>
      <c r="S95" s="42">
        <f t="shared" si="54"/>
        <v>1.7710000497739072E-3</v>
      </c>
      <c r="T95" s="42">
        <f t="shared" si="54"/>
        <v>1.3954436668714165E-3</v>
      </c>
      <c r="U95" s="42">
        <f t="shared" si="54"/>
        <v>1.0997944339149743E-3</v>
      </c>
      <c r="V95" s="42">
        <f t="shared" si="54"/>
        <v>8.666813502692755E-4</v>
      </c>
      <c r="W95" s="42">
        <f t="shared" si="54"/>
        <v>6.8267896836379143E-4</v>
      </c>
      <c r="X95" s="42">
        <f t="shared" si="54"/>
        <v>5.4168661568552968E-4</v>
      </c>
      <c r="Y95" s="26">
        <f t="shared" si="50"/>
        <v>0.27026406891257548</v>
      </c>
      <c r="AA95" s="32">
        <f t="shared" si="52"/>
        <v>0.2293201852000103</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A96" s="63">
        <f t="shared" si="47"/>
        <v>265.0185068731119</v>
      </c>
      <c r="B96" s="63">
        <f t="shared" si="48"/>
        <v>-32.644780358969037</v>
      </c>
      <c r="C96" t="s">
        <v>603</v>
      </c>
      <c r="D96" s="386" t="s">
        <v>134</v>
      </c>
      <c r="E96" s="42">
        <f t="shared" si="51"/>
        <v>4.6586331132994999E-2</v>
      </c>
      <c r="F96" s="42">
        <f t="shared" si="54"/>
        <v>3.6648307413999832E-2</v>
      </c>
      <c r="G96" s="42">
        <f t="shared" si="54"/>
        <v>2.8828837987459152E-2</v>
      </c>
      <c r="H96" s="42">
        <f t="shared" si="54"/>
        <v>2.2702863719983955E-2</v>
      </c>
      <c r="I96" s="42">
        <f t="shared" si="54"/>
        <v>1.8031146859777528E-2</v>
      </c>
      <c r="J96" s="42">
        <f t="shared" si="54"/>
        <v>1.4212290307503601E-2</v>
      </c>
      <c r="K96" s="42">
        <f t="shared" si="54"/>
        <v>1.120219456125275E-2</v>
      </c>
      <c r="L96" s="42">
        <f t="shared" si="54"/>
        <v>8.8361493909385018E-3</v>
      </c>
      <c r="M96" s="42">
        <f t="shared" si="54"/>
        <v>6.9646241346085526E-3</v>
      </c>
      <c r="N96" s="42">
        <f t="shared" si="54"/>
        <v>5.5399116190047171E-3</v>
      </c>
      <c r="O96" s="42">
        <f t="shared" si="54"/>
        <v>4.3656757934789547E-3</v>
      </c>
      <c r="P96" s="42">
        <f t="shared" si="54"/>
        <v>3.4401517696883411E-3</v>
      </c>
      <c r="Q96" s="42">
        <f t="shared" si="54"/>
        <v>2.708826006627761E-3</v>
      </c>
      <c r="R96" s="42">
        <f t="shared" si="54"/>
        <v>2.134295772691482E-3</v>
      </c>
      <c r="S96" s="42">
        <f t="shared" si="54"/>
        <v>1.694808737459322E-3</v>
      </c>
      <c r="T96" s="42">
        <f t="shared" si="54"/>
        <v>1.3358288728244961E-3</v>
      </c>
      <c r="U96" s="42">
        <f t="shared" si="54"/>
        <v>1.0534692772112427E-3</v>
      </c>
      <c r="V96" s="42">
        <f t="shared" si="54"/>
        <v>8.3069534477483455E-4</v>
      </c>
      <c r="W96" s="42">
        <f t="shared" si="54"/>
        <v>6.5455001257686072E-4</v>
      </c>
      <c r="X96" s="42">
        <f t="shared" si="54"/>
        <v>5.204416134814377E-4</v>
      </c>
      <c r="Y96" s="26">
        <f t="shared" si="50"/>
        <v>0.27194884488152238</v>
      </c>
      <c r="AA96" s="32">
        <f t="shared" si="52"/>
        <v>0.21829140032833833</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c r="AA97" s="32"/>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c r="B98" s="61">
        <f>SUMPRODUCT(B77:B96,AA77:AA96)/SUM(AA77:AA96)</f>
        <v>-32.942656955983082</v>
      </c>
      <c r="E98" s="26">
        <f t="shared" ref="E98:Y98" si="55">SUM(E77:E96)</f>
        <v>0.65001987383602045</v>
      </c>
      <c r="F98" s="26">
        <f t="shared" si="55"/>
        <v>0.51032623395536769</v>
      </c>
      <c r="G98" s="26">
        <f t="shared" si="55"/>
        <v>0.40069043062203813</v>
      </c>
      <c r="H98" s="26">
        <f t="shared" si="55"/>
        <v>0.31471872753348212</v>
      </c>
      <c r="I98" s="26">
        <f t="shared" si="55"/>
        <v>0.24814504918810615</v>
      </c>
      <c r="J98" s="26">
        <f t="shared" si="55"/>
        <v>0.19491998057533683</v>
      </c>
      <c r="K98" s="26">
        <f t="shared" si="55"/>
        <v>0.15308738719750134</v>
      </c>
      <c r="L98" s="26">
        <f t="shared" si="55"/>
        <v>0.1202727752084654</v>
      </c>
      <c r="M98" s="26">
        <f t="shared" si="55"/>
        <v>9.4477190659774529E-2</v>
      </c>
      <c r="N98" s="26">
        <f t="shared" si="55"/>
        <v>7.4540355751147855E-2</v>
      </c>
      <c r="O98" s="26">
        <f t="shared" si="55"/>
        <v>5.8555851641832725E-2</v>
      </c>
      <c r="P98" s="26">
        <f t="shared" si="55"/>
        <v>4.5992451439791027E-2</v>
      </c>
      <c r="Q98" s="26">
        <f t="shared" si="55"/>
        <v>3.6129278005989869E-2</v>
      </c>
      <c r="R98" s="26">
        <f t="shared" si="55"/>
        <v>2.8378260552694774E-2</v>
      </c>
      <c r="S98" s="26">
        <f t="shared" si="55"/>
        <v>2.2377144823921884E-2</v>
      </c>
      <c r="T98" s="26">
        <f t="shared" si="55"/>
        <v>1.7584543788331856E-2</v>
      </c>
      <c r="U98" s="26">
        <f t="shared" si="55"/>
        <v>1.3821187825122852E-2</v>
      </c>
      <c r="V98" s="26">
        <f t="shared" si="55"/>
        <v>1.0862889292607666E-2</v>
      </c>
      <c r="W98" s="26">
        <f t="shared" si="55"/>
        <v>8.5357712667737014E-3</v>
      </c>
      <c r="X98" s="26">
        <f t="shared" si="55"/>
        <v>6.7357948415141698E-3</v>
      </c>
      <c r="Y98" s="26">
        <f t="shared" si="55"/>
        <v>4.0220440961110464</v>
      </c>
      <c r="AA98" s="32">
        <f>SUM(E98:X98)</f>
        <v>3.0101711780058218</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80">
      <c r="D100" s="26"/>
      <c r="E100" s="26">
        <f>E98</f>
        <v>0.65001987383602045</v>
      </c>
      <c r="F100" s="26">
        <f>F98+E100</f>
        <v>1.1603461077913881</v>
      </c>
      <c r="G100" s="26">
        <f t="shared" ref="G100:X100" si="56">G98+F100</f>
        <v>1.5610365384134264</v>
      </c>
      <c r="H100" s="26">
        <f t="shared" si="56"/>
        <v>1.8757552659469086</v>
      </c>
      <c r="I100" s="26">
        <f t="shared" si="56"/>
        <v>2.1239003151350149</v>
      </c>
      <c r="J100" s="26">
        <f t="shared" si="56"/>
        <v>2.3188202957103519</v>
      </c>
      <c r="K100" s="26">
        <f t="shared" si="56"/>
        <v>2.4719076829078532</v>
      </c>
      <c r="L100" s="26">
        <f t="shared" si="56"/>
        <v>2.5921804581163186</v>
      </c>
      <c r="M100" s="26">
        <f t="shared" si="56"/>
        <v>2.6866576487760931</v>
      </c>
      <c r="N100" s="26">
        <f t="shared" si="56"/>
        <v>2.7611980045272411</v>
      </c>
      <c r="O100" s="26">
        <f t="shared" si="56"/>
        <v>2.8197538561690738</v>
      </c>
      <c r="P100" s="26">
        <f t="shared" si="56"/>
        <v>2.8657463076088647</v>
      </c>
      <c r="Q100" s="26">
        <f t="shared" si="56"/>
        <v>2.9018755856148548</v>
      </c>
      <c r="R100" s="26">
        <f t="shared" si="56"/>
        <v>2.9302538461675498</v>
      </c>
      <c r="S100" s="26">
        <f t="shared" si="56"/>
        <v>2.9526309909914716</v>
      </c>
      <c r="T100" s="26">
        <f t="shared" si="56"/>
        <v>2.9702155347798036</v>
      </c>
      <c r="U100" s="26">
        <f t="shared" si="56"/>
        <v>2.9840367226049263</v>
      </c>
      <c r="V100" s="26">
        <f t="shared" si="56"/>
        <v>2.9948996118975337</v>
      </c>
      <c r="W100" s="26">
        <f t="shared" si="56"/>
        <v>3.0034353831643075</v>
      </c>
      <c r="X100" s="26">
        <f t="shared" si="56"/>
        <v>3.0101711780058218</v>
      </c>
      <c r="Y100" s="26"/>
      <c r="Z100" s="26"/>
      <c r="AA100" s="26">
        <f>SUM(AA77:AA96)</f>
        <v>3.0101711780058209</v>
      </c>
      <c r="AB100" s="43"/>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80">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80">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80" ht="15">
      <c r="A103" s="50" t="s">
        <v>38</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80" ht="15">
      <c r="E104" s="52">
        <f t="shared" ref="E104:X104" si="57">E11</f>
        <v>2016</v>
      </c>
      <c r="F104" s="53">
        <f t="shared" si="57"/>
        <v>2017</v>
      </c>
      <c r="G104" s="53">
        <f t="shared" si="57"/>
        <v>2018</v>
      </c>
      <c r="H104" s="53">
        <f t="shared" si="57"/>
        <v>2019</v>
      </c>
      <c r="I104" s="53">
        <f t="shared" si="57"/>
        <v>2020</v>
      </c>
      <c r="J104" s="53">
        <f t="shared" si="57"/>
        <v>2021</v>
      </c>
      <c r="K104" s="53">
        <f t="shared" si="57"/>
        <v>2022</v>
      </c>
      <c r="L104" s="53">
        <f t="shared" si="57"/>
        <v>2023</v>
      </c>
      <c r="M104" s="53">
        <f t="shared" si="57"/>
        <v>2024</v>
      </c>
      <c r="N104" s="53">
        <f t="shared" si="57"/>
        <v>2025</v>
      </c>
      <c r="O104" s="53">
        <f t="shared" si="57"/>
        <v>2026</v>
      </c>
      <c r="P104" s="53">
        <f t="shared" si="57"/>
        <v>2027</v>
      </c>
      <c r="Q104" s="53">
        <f t="shared" si="57"/>
        <v>2028</v>
      </c>
      <c r="R104" s="53">
        <f t="shared" si="57"/>
        <v>2029</v>
      </c>
      <c r="S104" s="53">
        <f t="shared" si="57"/>
        <v>2030</v>
      </c>
      <c r="T104" s="53">
        <f t="shared" si="57"/>
        <v>2031</v>
      </c>
      <c r="U104" s="53">
        <f t="shared" si="57"/>
        <v>2032</v>
      </c>
      <c r="V104" s="53">
        <f t="shared" si="57"/>
        <v>2033</v>
      </c>
      <c r="W104" s="53">
        <f t="shared" si="57"/>
        <v>2034</v>
      </c>
      <c r="X104" s="53">
        <f t="shared" si="57"/>
        <v>2035</v>
      </c>
      <c r="Y104" s="54" t="s">
        <v>32</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80" ht="15">
      <c r="C105" s="44" t="s">
        <v>36</v>
      </c>
      <c r="D105" s="44" t="s">
        <v>36</v>
      </c>
      <c r="E105" s="55" t="str">
        <f t="shared" ref="E105:X105" si="58">CONCATENATE("Units_",E$11)</f>
        <v>Units_2016</v>
      </c>
      <c r="F105" s="56" t="str">
        <f t="shared" si="58"/>
        <v>Units_2017</v>
      </c>
      <c r="G105" s="56" t="str">
        <f t="shared" si="58"/>
        <v>Units_2018</v>
      </c>
      <c r="H105" s="56" t="str">
        <f t="shared" si="58"/>
        <v>Units_2019</v>
      </c>
      <c r="I105" s="56" t="str">
        <f t="shared" si="58"/>
        <v>Units_2020</v>
      </c>
      <c r="J105" s="56" t="str">
        <f t="shared" si="58"/>
        <v>Units_2021</v>
      </c>
      <c r="K105" s="56" t="str">
        <f t="shared" si="58"/>
        <v>Units_2022</v>
      </c>
      <c r="L105" s="56" t="str">
        <f t="shared" si="58"/>
        <v>Units_2023</v>
      </c>
      <c r="M105" s="56" t="str">
        <f t="shared" si="58"/>
        <v>Units_2024</v>
      </c>
      <c r="N105" s="56" t="str">
        <f t="shared" si="58"/>
        <v>Units_2025</v>
      </c>
      <c r="O105" s="56" t="str">
        <f t="shared" si="58"/>
        <v>Units_2026</v>
      </c>
      <c r="P105" s="56" t="str">
        <f t="shared" si="58"/>
        <v>Units_2027</v>
      </c>
      <c r="Q105" s="56" t="str">
        <f t="shared" si="58"/>
        <v>Units_2028</v>
      </c>
      <c r="R105" s="56" t="str">
        <f t="shared" si="58"/>
        <v>Units_2029</v>
      </c>
      <c r="S105" s="56" t="str">
        <f t="shared" si="58"/>
        <v>Units_2030</v>
      </c>
      <c r="T105" s="56" t="str">
        <f t="shared" si="58"/>
        <v>Units_2031</v>
      </c>
      <c r="U105" s="56" t="str">
        <f t="shared" si="58"/>
        <v>Units_2032</v>
      </c>
      <c r="V105" s="56" t="str">
        <f t="shared" si="58"/>
        <v>Units_2033</v>
      </c>
      <c r="W105" s="56" t="str">
        <f t="shared" si="58"/>
        <v>Units_2034</v>
      </c>
      <c r="X105" s="56" t="str">
        <f t="shared" si="58"/>
        <v>Units_2035</v>
      </c>
      <c r="Y105" s="57" t="s">
        <v>32</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80">
      <c r="B106" s="7" t="s">
        <v>39</v>
      </c>
      <c r="C106" s="45" t="s">
        <v>40</v>
      </c>
      <c r="D106" s="45" t="s">
        <v>41</v>
      </c>
      <c r="E106" s="42">
        <f>DSUM($B$76:$Y$96,E$76,$C$105:$D106)</f>
        <v>0.65001987383602045</v>
      </c>
      <c r="F106" s="42">
        <f>DSUM($B$76:$Y$96,F$76,$C$105:$D106)</f>
        <v>0.51032623395536769</v>
      </c>
      <c r="G106" s="42">
        <f>DSUM($B$76:$Y$96,G$76,$C$105:$D106)</f>
        <v>0.40069043062203813</v>
      </c>
      <c r="H106" s="42">
        <f>DSUM($B$76:$Y$96,H$76,$C$105:$D106)</f>
        <v>0.31471872753348212</v>
      </c>
      <c r="I106" s="42">
        <f>DSUM($B$76:$Y$96,I$76,$C$105:$D106)</f>
        <v>0.24814504918810615</v>
      </c>
      <c r="J106" s="42">
        <f>DSUM($B$76:$Y$96,J$76,$C$105:$D106)</f>
        <v>0.19491998057533683</v>
      </c>
      <c r="K106" s="42">
        <f>DSUM($B$76:$Y$96,K$76,$C$105:$D106)</f>
        <v>0.15308738719750134</v>
      </c>
      <c r="L106" s="42">
        <f>DSUM($B$76:$Y$96,L$76,$C$105:$D106)</f>
        <v>0.1202727752084654</v>
      </c>
      <c r="M106" s="42">
        <f>DSUM($B$76:$Y$96,M$76,$C$105:$D106)</f>
        <v>9.4477190659774529E-2</v>
      </c>
      <c r="N106" s="42">
        <f>DSUM($B$76:$Y$96,N$76,$C$105:$D106)</f>
        <v>7.4540355751147855E-2</v>
      </c>
      <c r="O106" s="42">
        <f>DSUM($B$76:$Y$96,O$76,$C$105:$D106)</f>
        <v>5.8555851641832725E-2</v>
      </c>
      <c r="P106" s="42">
        <f>DSUM($B$76:$Y$96,P$76,$C$105:$D106)</f>
        <v>4.5992451439791027E-2</v>
      </c>
      <c r="Q106" s="42">
        <f>DSUM($B$76:$Y$96,Q$76,$C$105:$D106)</f>
        <v>3.6129278005989869E-2</v>
      </c>
      <c r="R106" s="42">
        <f>DSUM($B$76:$Y$96,R$76,$C$105:$D106)</f>
        <v>2.8378260552694774E-2</v>
      </c>
      <c r="S106" s="42">
        <f>DSUM($B$76:$Y$96,S$76,$C$105:$D106)</f>
        <v>2.2377144823921884E-2</v>
      </c>
      <c r="T106" s="42">
        <f>DSUM($B$76:$Y$96,T$76,$C$105:$D106)</f>
        <v>1.7584543788331856E-2</v>
      </c>
      <c r="U106" s="42">
        <f>DSUM($B$76:$Y$96,U$76,$C$105:$D106)</f>
        <v>1.3821187825122852E-2</v>
      </c>
      <c r="V106" s="42">
        <f>DSUM($B$76:$Y$96,V$76,$C$105:$D106)</f>
        <v>1.0862889292607666E-2</v>
      </c>
      <c r="W106" s="42">
        <f>DSUM($B$76:$Y$96,W$76,$C$105:$D106)</f>
        <v>8.5357712667737014E-3</v>
      </c>
      <c r="X106" s="42">
        <f>DSUM($B$76:$Y$96,X$76,$C$105:$D106)</f>
        <v>6.7357948415141698E-3</v>
      </c>
      <c r="Y106" s="42">
        <f>DSUM($B$76:$Y$96,Y$76,$C$105:$D106)</f>
        <v>4.0220440961110464</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80">
      <c r="B107" s="7" t="s">
        <v>42</v>
      </c>
      <c r="C107" s="45" t="s">
        <v>43</v>
      </c>
      <c r="D107" s="45" t="s">
        <v>44</v>
      </c>
      <c r="E107" s="42">
        <f>DSUM($B$76:$Y$96,E$76,$C$105:$D107)</f>
        <v>0.65001987383602045</v>
      </c>
      <c r="F107" s="42">
        <f>DSUM($B$76:$Y$96,F$76,$C$105:$D107)</f>
        <v>0.51032623395536769</v>
      </c>
      <c r="G107" s="42">
        <f>DSUM($B$76:$Y$96,G$76,$C$105:$D107)</f>
        <v>0.40069043062203813</v>
      </c>
      <c r="H107" s="42">
        <f>DSUM($B$76:$Y$96,H$76,$C$105:$D107)</f>
        <v>0.31471872753348212</v>
      </c>
      <c r="I107" s="42">
        <f>DSUM($B$76:$Y$96,I$76,$C$105:$D107)</f>
        <v>0.24814504918810615</v>
      </c>
      <c r="J107" s="42">
        <f>DSUM($B$76:$Y$96,J$76,$C$105:$D107)</f>
        <v>0.19491998057533683</v>
      </c>
      <c r="K107" s="42">
        <f>DSUM($B$76:$Y$96,K$76,$C$105:$D107)</f>
        <v>0.15308738719750134</v>
      </c>
      <c r="L107" s="42">
        <f>DSUM($B$76:$Y$96,L$76,$C$105:$D107)</f>
        <v>0.1202727752084654</v>
      </c>
      <c r="M107" s="42">
        <f>DSUM($B$76:$Y$96,M$76,$C$105:$D107)</f>
        <v>9.4477190659774529E-2</v>
      </c>
      <c r="N107" s="42">
        <f>DSUM($B$76:$Y$96,N$76,$C$105:$D107)</f>
        <v>7.4540355751147855E-2</v>
      </c>
      <c r="O107" s="42">
        <f>DSUM($B$76:$Y$96,O$76,$C$105:$D107)</f>
        <v>5.8555851641832725E-2</v>
      </c>
      <c r="P107" s="42">
        <f>DSUM($B$76:$Y$96,P$76,$C$105:$D107)</f>
        <v>4.5992451439791027E-2</v>
      </c>
      <c r="Q107" s="42">
        <f>DSUM($B$76:$Y$96,Q$76,$C$105:$D107)</f>
        <v>3.6129278005989869E-2</v>
      </c>
      <c r="R107" s="42">
        <f>DSUM($B$76:$Y$96,R$76,$C$105:$D107)</f>
        <v>2.8378260552694774E-2</v>
      </c>
      <c r="S107" s="42">
        <f>DSUM($B$76:$Y$96,S$76,$C$105:$D107)</f>
        <v>2.2377144823921884E-2</v>
      </c>
      <c r="T107" s="42">
        <f>DSUM($B$76:$Y$96,T$76,$C$105:$D107)</f>
        <v>1.7584543788331856E-2</v>
      </c>
      <c r="U107" s="42">
        <f>DSUM($B$76:$Y$96,U$76,$C$105:$D107)</f>
        <v>1.3821187825122852E-2</v>
      </c>
      <c r="V107" s="42">
        <f>DSUM($B$76:$Y$96,V$76,$C$105:$D107)</f>
        <v>1.0862889292607666E-2</v>
      </c>
      <c r="W107" s="42">
        <f>DSUM($B$76:$Y$96,W$76,$C$105:$D107)</f>
        <v>8.5357712667737014E-3</v>
      </c>
      <c r="X107" s="42">
        <f>DSUM($B$76:$Y$96,X$76,$C$105:$D107)</f>
        <v>6.7357948415141698E-3</v>
      </c>
      <c r="Y107" s="42">
        <f>DSUM($B$76:$Y$96,Y$76,$C$105:$D107)</f>
        <v>4.0220440961110464</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80">
      <c r="B108" s="7" t="s">
        <v>45</v>
      </c>
      <c r="C108" s="45" t="s">
        <v>46</v>
      </c>
      <c r="D108" s="45" t="s">
        <v>47</v>
      </c>
      <c r="E108" s="42">
        <f>DSUM($B$76:$Y$96,E$76,$C$105:$D108)</f>
        <v>0.65001987383602045</v>
      </c>
      <c r="F108" s="42">
        <f>DSUM($B$76:$Y$96,F$76,$C$105:$D108)</f>
        <v>0.51032623395536769</v>
      </c>
      <c r="G108" s="42">
        <f>DSUM($B$76:$Y$96,G$76,$C$105:$D108)</f>
        <v>0.40069043062203813</v>
      </c>
      <c r="H108" s="42">
        <f>DSUM($B$76:$Y$96,H$76,$C$105:$D108)</f>
        <v>0.31471872753348212</v>
      </c>
      <c r="I108" s="42">
        <f>DSUM($B$76:$Y$96,I$76,$C$105:$D108)</f>
        <v>0.24814504918810615</v>
      </c>
      <c r="J108" s="42">
        <f>DSUM($B$76:$Y$96,J$76,$C$105:$D108)</f>
        <v>0.19491998057533683</v>
      </c>
      <c r="K108" s="42">
        <f>DSUM($B$76:$Y$96,K$76,$C$105:$D108)</f>
        <v>0.15308738719750134</v>
      </c>
      <c r="L108" s="42">
        <f>DSUM($B$76:$Y$96,L$76,$C$105:$D108)</f>
        <v>0.1202727752084654</v>
      </c>
      <c r="M108" s="42">
        <f>DSUM($B$76:$Y$96,M$76,$C$105:$D108)</f>
        <v>9.4477190659774529E-2</v>
      </c>
      <c r="N108" s="42">
        <f>DSUM($B$76:$Y$96,N$76,$C$105:$D108)</f>
        <v>7.4540355751147855E-2</v>
      </c>
      <c r="O108" s="42">
        <f>DSUM($B$76:$Y$96,O$76,$C$105:$D108)</f>
        <v>5.8555851641832725E-2</v>
      </c>
      <c r="P108" s="42">
        <f>DSUM($B$76:$Y$96,P$76,$C$105:$D108)</f>
        <v>4.5992451439791027E-2</v>
      </c>
      <c r="Q108" s="42">
        <f>DSUM($B$76:$Y$96,Q$76,$C$105:$D108)</f>
        <v>3.6129278005989869E-2</v>
      </c>
      <c r="R108" s="42">
        <f>DSUM($B$76:$Y$96,R$76,$C$105:$D108)</f>
        <v>2.8378260552694774E-2</v>
      </c>
      <c r="S108" s="42">
        <f>DSUM($B$76:$Y$96,S$76,$C$105:$D108)</f>
        <v>2.2377144823921884E-2</v>
      </c>
      <c r="T108" s="42">
        <f>DSUM($B$76:$Y$96,T$76,$C$105:$D108)</f>
        <v>1.7584543788331856E-2</v>
      </c>
      <c r="U108" s="42">
        <f>DSUM($B$76:$Y$96,U$76,$C$105:$D108)</f>
        <v>1.3821187825122852E-2</v>
      </c>
      <c r="V108" s="42">
        <f>DSUM($B$76:$Y$96,V$76,$C$105:$D108)</f>
        <v>1.0862889292607666E-2</v>
      </c>
      <c r="W108" s="42">
        <f>DSUM($B$76:$Y$96,W$76,$C$105:$D108)</f>
        <v>8.5357712667737014E-3</v>
      </c>
      <c r="X108" s="42">
        <f>DSUM($B$76:$Y$96,X$76,$C$105:$D108)</f>
        <v>6.7357948415141698E-3</v>
      </c>
      <c r="Y108" s="42">
        <f>DSUM($B$76:$Y$96,Y$76,$C$105:$D108)</f>
        <v>4.0220440961110464</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80">
      <c r="B109" s="7" t="s">
        <v>48</v>
      </c>
      <c r="C109" s="45" t="s">
        <v>49</v>
      </c>
      <c r="D109" s="45" t="s">
        <v>50</v>
      </c>
      <c r="E109" s="42">
        <f>DSUM($B$76:$Y$96,E$76,$C$105:$D109)</f>
        <v>0.65001987383602045</v>
      </c>
      <c r="F109" s="42">
        <f>DSUM($B$76:$Y$96,F$76,$C$105:$D109)</f>
        <v>0.51032623395536769</v>
      </c>
      <c r="G109" s="42">
        <f>DSUM($B$76:$Y$96,G$76,$C$105:$D109)</f>
        <v>0.40069043062203813</v>
      </c>
      <c r="H109" s="42">
        <f>DSUM($B$76:$Y$96,H$76,$C$105:$D109)</f>
        <v>0.31471872753348212</v>
      </c>
      <c r="I109" s="42">
        <f>DSUM($B$76:$Y$96,I$76,$C$105:$D109)</f>
        <v>0.24814504918810615</v>
      </c>
      <c r="J109" s="42">
        <f>DSUM($B$76:$Y$96,J$76,$C$105:$D109)</f>
        <v>0.19491998057533683</v>
      </c>
      <c r="K109" s="42">
        <f>DSUM($B$76:$Y$96,K$76,$C$105:$D109)</f>
        <v>0.15308738719750134</v>
      </c>
      <c r="L109" s="42">
        <f>DSUM($B$76:$Y$96,L$76,$C$105:$D109)</f>
        <v>0.1202727752084654</v>
      </c>
      <c r="M109" s="42">
        <f>DSUM($B$76:$Y$96,M$76,$C$105:$D109)</f>
        <v>9.4477190659774529E-2</v>
      </c>
      <c r="N109" s="42">
        <f>DSUM($B$76:$Y$96,N$76,$C$105:$D109)</f>
        <v>7.4540355751147855E-2</v>
      </c>
      <c r="O109" s="42">
        <f>DSUM($B$76:$Y$96,O$76,$C$105:$D109)</f>
        <v>5.8555851641832725E-2</v>
      </c>
      <c r="P109" s="42">
        <f>DSUM($B$76:$Y$96,P$76,$C$105:$D109)</f>
        <v>4.5992451439791027E-2</v>
      </c>
      <c r="Q109" s="42">
        <f>DSUM($B$76:$Y$96,Q$76,$C$105:$D109)</f>
        <v>3.6129278005989869E-2</v>
      </c>
      <c r="R109" s="42">
        <f>DSUM($B$76:$Y$96,R$76,$C$105:$D109)</f>
        <v>2.8378260552694774E-2</v>
      </c>
      <c r="S109" s="42">
        <f>DSUM($B$76:$Y$96,S$76,$C$105:$D109)</f>
        <v>2.2377144823921884E-2</v>
      </c>
      <c r="T109" s="42">
        <f>DSUM($B$76:$Y$96,T$76,$C$105:$D109)</f>
        <v>1.7584543788331856E-2</v>
      </c>
      <c r="U109" s="42">
        <f>DSUM($B$76:$Y$96,U$76,$C$105:$D109)</f>
        <v>1.3821187825122852E-2</v>
      </c>
      <c r="V109" s="42">
        <f>DSUM($B$76:$Y$96,V$76,$C$105:$D109)</f>
        <v>1.0862889292607666E-2</v>
      </c>
      <c r="W109" s="42">
        <f>DSUM($B$76:$Y$96,W$76,$C$105:$D109)</f>
        <v>8.5357712667737014E-3</v>
      </c>
      <c r="X109" s="42">
        <f>DSUM($B$76:$Y$96,X$76,$C$105:$D109)</f>
        <v>6.7357948415141698E-3</v>
      </c>
      <c r="Y109" s="42">
        <f>DSUM($B$76:$Y$96,Y$76,$C$105:$D109)</f>
        <v>4.0220440961110464</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80">
      <c r="B110" s="7" t="s">
        <v>51</v>
      </c>
      <c r="C110" s="45" t="s">
        <v>52</v>
      </c>
      <c r="D110" s="45" t="s">
        <v>53</v>
      </c>
      <c r="E110" s="42">
        <f>DSUM($B$76:$Y$96,E$76,$C$105:$D110)</f>
        <v>0.65001987383602045</v>
      </c>
      <c r="F110" s="42">
        <f>DSUM($B$76:$Y$96,F$76,$C$105:$D110)</f>
        <v>0.51032623395536769</v>
      </c>
      <c r="G110" s="42">
        <f>DSUM($B$76:$Y$96,G$76,$C$105:$D110)</f>
        <v>0.40069043062203813</v>
      </c>
      <c r="H110" s="42">
        <f>DSUM($B$76:$Y$96,H$76,$C$105:$D110)</f>
        <v>0.31471872753348212</v>
      </c>
      <c r="I110" s="42">
        <f>DSUM($B$76:$Y$96,I$76,$C$105:$D110)</f>
        <v>0.24814504918810615</v>
      </c>
      <c r="J110" s="42">
        <f>DSUM($B$76:$Y$96,J$76,$C$105:$D110)</f>
        <v>0.19491998057533683</v>
      </c>
      <c r="K110" s="42">
        <f>DSUM($B$76:$Y$96,K$76,$C$105:$D110)</f>
        <v>0.15308738719750134</v>
      </c>
      <c r="L110" s="42">
        <f>DSUM($B$76:$Y$96,L$76,$C$105:$D110)</f>
        <v>0.1202727752084654</v>
      </c>
      <c r="M110" s="42">
        <f>DSUM($B$76:$Y$96,M$76,$C$105:$D110)</f>
        <v>9.4477190659774529E-2</v>
      </c>
      <c r="N110" s="42">
        <f>DSUM($B$76:$Y$96,N$76,$C$105:$D110)</f>
        <v>7.4540355751147855E-2</v>
      </c>
      <c r="O110" s="42">
        <f>DSUM($B$76:$Y$96,O$76,$C$105:$D110)</f>
        <v>5.8555851641832725E-2</v>
      </c>
      <c r="P110" s="42">
        <f>DSUM($B$76:$Y$96,P$76,$C$105:$D110)</f>
        <v>4.5992451439791027E-2</v>
      </c>
      <c r="Q110" s="42">
        <f>DSUM($B$76:$Y$96,Q$76,$C$105:$D110)</f>
        <v>3.6129278005989869E-2</v>
      </c>
      <c r="R110" s="42">
        <f>DSUM($B$76:$Y$96,R$76,$C$105:$D110)</f>
        <v>2.8378260552694774E-2</v>
      </c>
      <c r="S110" s="42">
        <f>DSUM($B$76:$Y$96,S$76,$C$105:$D110)</f>
        <v>2.2377144823921884E-2</v>
      </c>
      <c r="T110" s="42">
        <f>DSUM($B$76:$Y$96,T$76,$C$105:$D110)</f>
        <v>1.7584543788331856E-2</v>
      </c>
      <c r="U110" s="42">
        <f>DSUM($B$76:$Y$96,U$76,$C$105:$D110)</f>
        <v>1.3821187825122852E-2</v>
      </c>
      <c r="V110" s="42">
        <f>DSUM($B$76:$Y$96,V$76,$C$105:$D110)</f>
        <v>1.0862889292607666E-2</v>
      </c>
      <c r="W110" s="42">
        <f>DSUM($B$76:$Y$96,W$76,$C$105:$D110)</f>
        <v>8.5357712667737014E-3</v>
      </c>
      <c r="X110" s="42">
        <f>DSUM($B$76:$Y$96,X$76,$C$105:$D110)</f>
        <v>6.7357948415141698E-3</v>
      </c>
      <c r="Y110" s="42">
        <f>DSUM($B$76:$Y$96,Y$76,$C$105:$D110)</f>
        <v>4.0220440961110464</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80">
      <c r="B111" s="7" t="s">
        <v>54</v>
      </c>
      <c r="C111" s="45" t="s">
        <v>55</v>
      </c>
      <c r="D111" s="45" t="s">
        <v>56</v>
      </c>
      <c r="E111" s="42">
        <f>DSUM($B$76:$Y$96,E$76,$C$105:$D111)</f>
        <v>0.65001987383602045</v>
      </c>
      <c r="F111" s="42">
        <f>DSUM($B$76:$Y$96,F$76,$C$105:$D111)</f>
        <v>0.51032623395536769</v>
      </c>
      <c r="G111" s="42">
        <f>DSUM($B$76:$Y$96,G$76,$C$105:$D111)</f>
        <v>0.40069043062203813</v>
      </c>
      <c r="H111" s="42">
        <f>DSUM($B$76:$Y$96,H$76,$C$105:$D111)</f>
        <v>0.31471872753348212</v>
      </c>
      <c r="I111" s="42">
        <f>DSUM($B$76:$Y$96,I$76,$C$105:$D111)</f>
        <v>0.24814504918810615</v>
      </c>
      <c r="J111" s="42">
        <f>DSUM($B$76:$Y$96,J$76,$C$105:$D111)</f>
        <v>0.19491998057533683</v>
      </c>
      <c r="K111" s="42">
        <f>DSUM($B$76:$Y$96,K$76,$C$105:$D111)</f>
        <v>0.15308738719750134</v>
      </c>
      <c r="L111" s="42">
        <f>DSUM($B$76:$Y$96,L$76,$C$105:$D111)</f>
        <v>0.1202727752084654</v>
      </c>
      <c r="M111" s="42">
        <f>DSUM($B$76:$Y$96,M$76,$C$105:$D111)</f>
        <v>9.4477190659774529E-2</v>
      </c>
      <c r="N111" s="42">
        <f>DSUM($B$76:$Y$96,N$76,$C$105:$D111)</f>
        <v>7.4540355751147855E-2</v>
      </c>
      <c r="O111" s="42">
        <f>DSUM($B$76:$Y$96,O$76,$C$105:$D111)</f>
        <v>5.8555851641832725E-2</v>
      </c>
      <c r="P111" s="42">
        <f>DSUM($B$76:$Y$96,P$76,$C$105:$D111)</f>
        <v>4.5992451439791027E-2</v>
      </c>
      <c r="Q111" s="42">
        <f>DSUM($B$76:$Y$96,Q$76,$C$105:$D111)</f>
        <v>3.6129278005989869E-2</v>
      </c>
      <c r="R111" s="42">
        <f>DSUM($B$76:$Y$96,R$76,$C$105:$D111)</f>
        <v>2.8378260552694774E-2</v>
      </c>
      <c r="S111" s="42">
        <f>DSUM($B$76:$Y$96,S$76,$C$105:$D111)</f>
        <v>2.2377144823921884E-2</v>
      </c>
      <c r="T111" s="42">
        <f>DSUM($B$76:$Y$96,T$76,$C$105:$D111)</f>
        <v>1.7584543788331856E-2</v>
      </c>
      <c r="U111" s="42">
        <f>DSUM($B$76:$Y$96,U$76,$C$105:$D111)</f>
        <v>1.3821187825122852E-2</v>
      </c>
      <c r="V111" s="42">
        <f>DSUM($B$76:$Y$96,V$76,$C$105:$D111)</f>
        <v>1.0862889292607666E-2</v>
      </c>
      <c r="W111" s="42">
        <f>DSUM($B$76:$Y$96,W$76,$C$105:$D111)</f>
        <v>8.5357712667737014E-3</v>
      </c>
      <c r="X111" s="42">
        <f>DSUM($B$76:$Y$96,X$76,$C$105:$D111)</f>
        <v>6.7357948415141698E-3</v>
      </c>
      <c r="Y111" s="42">
        <f>DSUM($B$76:$Y$96,Y$76,$C$105:$D111)</f>
        <v>4.0220440961110464</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80">
      <c r="B112" s="7" t="s">
        <v>57</v>
      </c>
      <c r="C112" s="45" t="s">
        <v>58</v>
      </c>
      <c r="D112" s="45" t="s">
        <v>59</v>
      </c>
      <c r="E112" s="42">
        <f>DSUM($B$76:$Y$96,E$76,$C$105:$D112)</f>
        <v>0.65001987383602045</v>
      </c>
      <c r="F112" s="42">
        <f>DSUM($B$76:$Y$96,F$76,$C$105:$D112)</f>
        <v>0.51032623395536769</v>
      </c>
      <c r="G112" s="42">
        <f>DSUM($B$76:$Y$96,G$76,$C$105:$D112)</f>
        <v>0.40069043062203813</v>
      </c>
      <c r="H112" s="42">
        <f>DSUM($B$76:$Y$96,H$76,$C$105:$D112)</f>
        <v>0.31471872753348212</v>
      </c>
      <c r="I112" s="42">
        <f>DSUM($B$76:$Y$96,I$76,$C$105:$D112)</f>
        <v>0.24814504918810615</v>
      </c>
      <c r="J112" s="42">
        <f>DSUM($B$76:$Y$96,J$76,$C$105:$D112)</f>
        <v>0.19491998057533683</v>
      </c>
      <c r="K112" s="42">
        <f>DSUM($B$76:$Y$96,K$76,$C$105:$D112)</f>
        <v>0.15308738719750134</v>
      </c>
      <c r="L112" s="42">
        <f>DSUM($B$76:$Y$96,L$76,$C$105:$D112)</f>
        <v>0.1202727752084654</v>
      </c>
      <c r="M112" s="42">
        <f>DSUM($B$76:$Y$96,M$76,$C$105:$D112)</f>
        <v>9.4477190659774529E-2</v>
      </c>
      <c r="N112" s="42">
        <f>DSUM($B$76:$Y$96,N$76,$C$105:$D112)</f>
        <v>7.4540355751147855E-2</v>
      </c>
      <c r="O112" s="42">
        <f>DSUM($B$76:$Y$96,O$76,$C$105:$D112)</f>
        <v>5.8555851641832725E-2</v>
      </c>
      <c r="P112" s="42">
        <f>DSUM($B$76:$Y$96,P$76,$C$105:$D112)</f>
        <v>4.5992451439791027E-2</v>
      </c>
      <c r="Q112" s="42">
        <f>DSUM($B$76:$Y$96,Q$76,$C$105:$D112)</f>
        <v>3.6129278005989869E-2</v>
      </c>
      <c r="R112" s="42">
        <f>DSUM($B$76:$Y$96,R$76,$C$105:$D112)</f>
        <v>2.8378260552694774E-2</v>
      </c>
      <c r="S112" s="42">
        <f>DSUM($B$76:$Y$96,S$76,$C$105:$D112)</f>
        <v>2.2377144823921884E-2</v>
      </c>
      <c r="T112" s="42">
        <f>DSUM($B$76:$Y$96,T$76,$C$105:$D112)</f>
        <v>1.7584543788331856E-2</v>
      </c>
      <c r="U112" s="42">
        <f>DSUM($B$76:$Y$96,U$76,$C$105:$D112)</f>
        <v>1.3821187825122852E-2</v>
      </c>
      <c r="V112" s="42">
        <f>DSUM($B$76:$Y$96,V$76,$C$105:$D112)</f>
        <v>1.0862889292607666E-2</v>
      </c>
      <c r="W112" s="42">
        <f>DSUM($B$76:$Y$96,W$76,$C$105:$D112)</f>
        <v>8.5357712667737014E-3</v>
      </c>
      <c r="X112" s="42">
        <f>DSUM($B$76:$Y$96,X$76,$C$105:$D112)</f>
        <v>6.7357948415141698E-3</v>
      </c>
      <c r="Y112" s="42">
        <f>DSUM($B$76:$Y$96,Y$76,$C$105:$D112)</f>
        <v>4.0220440961110464</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2:79">
      <c r="B113" s="7" t="s">
        <v>60</v>
      </c>
      <c r="C113" s="45" t="s">
        <v>61</v>
      </c>
      <c r="D113" s="45" t="s">
        <v>62</v>
      </c>
      <c r="E113" s="42">
        <f>DSUM($B$76:$Y$96,E$76,$C$105:$D113)</f>
        <v>0.65001987383602045</v>
      </c>
      <c r="F113" s="42">
        <f>DSUM($B$76:$Y$96,F$76,$C$105:$D113)</f>
        <v>0.51032623395536769</v>
      </c>
      <c r="G113" s="42">
        <f>DSUM($B$76:$Y$96,G$76,$C$105:$D113)</f>
        <v>0.40069043062203813</v>
      </c>
      <c r="H113" s="42">
        <f>DSUM($B$76:$Y$96,H$76,$C$105:$D113)</f>
        <v>0.31471872753348212</v>
      </c>
      <c r="I113" s="42">
        <f>DSUM($B$76:$Y$96,I$76,$C$105:$D113)</f>
        <v>0.24814504918810615</v>
      </c>
      <c r="J113" s="42">
        <f>DSUM($B$76:$Y$96,J$76,$C$105:$D113)</f>
        <v>0.19491998057533683</v>
      </c>
      <c r="K113" s="42">
        <f>DSUM($B$76:$Y$96,K$76,$C$105:$D113)</f>
        <v>0.15308738719750134</v>
      </c>
      <c r="L113" s="42">
        <f>DSUM($B$76:$Y$96,L$76,$C$105:$D113)</f>
        <v>0.1202727752084654</v>
      </c>
      <c r="M113" s="42">
        <f>DSUM($B$76:$Y$96,M$76,$C$105:$D113)</f>
        <v>9.4477190659774529E-2</v>
      </c>
      <c r="N113" s="42">
        <f>DSUM($B$76:$Y$96,N$76,$C$105:$D113)</f>
        <v>7.4540355751147855E-2</v>
      </c>
      <c r="O113" s="42">
        <f>DSUM($B$76:$Y$96,O$76,$C$105:$D113)</f>
        <v>5.8555851641832725E-2</v>
      </c>
      <c r="P113" s="42">
        <f>DSUM($B$76:$Y$96,P$76,$C$105:$D113)</f>
        <v>4.5992451439791027E-2</v>
      </c>
      <c r="Q113" s="42">
        <f>DSUM($B$76:$Y$96,Q$76,$C$105:$D113)</f>
        <v>3.6129278005989869E-2</v>
      </c>
      <c r="R113" s="42">
        <f>DSUM($B$76:$Y$96,R$76,$C$105:$D113)</f>
        <v>2.8378260552694774E-2</v>
      </c>
      <c r="S113" s="42">
        <f>DSUM($B$76:$Y$96,S$76,$C$105:$D113)</f>
        <v>2.2377144823921884E-2</v>
      </c>
      <c r="T113" s="42">
        <f>DSUM($B$76:$Y$96,T$76,$C$105:$D113)</f>
        <v>1.7584543788331856E-2</v>
      </c>
      <c r="U113" s="42">
        <f>DSUM($B$76:$Y$96,U$76,$C$105:$D113)</f>
        <v>1.3821187825122852E-2</v>
      </c>
      <c r="V113" s="42">
        <f>DSUM($B$76:$Y$96,V$76,$C$105:$D113)</f>
        <v>1.0862889292607666E-2</v>
      </c>
      <c r="W113" s="42">
        <f>DSUM($B$76:$Y$96,W$76,$C$105:$D113)</f>
        <v>8.5357712667737014E-3</v>
      </c>
      <c r="X113" s="42">
        <f>DSUM($B$76:$Y$96,X$76,$C$105:$D113)</f>
        <v>6.7357948415141698E-3</v>
      </c>
      <c r="Y113" s="42">
        <f>DSUM($B$76:$Y$96,Y$76,$C$105:$D113)</f>
        <v>4.0220440961110464</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2:79">
      <c r="B114" s="7" t="s">
        <v>63</v>
      </c>
      <c r="C114" s="45" t="s">
        <v>64</v>
      </c>
      <c r="D114" s="45" t="s">
        <v>65</v>
      </c>
      <c r="E114" s="42">
        <f>DSUM($B$76:$Y$96,E$76,$C$105:$D114)</f>
        <v>0.65001987383602045</v>
      </c>
      <c r="F114" s="42">
        <f>DSUM($B$76:$Y$96,F$76,$C$105:$D114)</f>
        <v>0.51032623395536769</v>
      </c>
      <c r="G114" s="42">
        <f>DSUM($B$76:$Y$96,G$76,$C$105:$D114)</f>
        <v>0.40069043062203813</v>
      </c>
      <c r="H114" s="42">
        <f>DSUM($B$76:$Y$96,H$76,$C$105:$D114)</f>
        <v>0.31471872753348212</v>
      </c>
      <c r="I114" s="42">
        <f>DSUM($B$76:$Y$96,I$76,$C$105:$D114)</f>
        <v>0.24814504918810615</v>
      </c>
      <c r="J114" s="42">
        <f>DSUM($B$76:$Y$96,J$76,$C$105:$D114)</f>
        <v>0.19491998057533683</v>
      </c>
      <c r="K114" s="42">
        <f>DSUM($B$76:$Y$96,K$76,$C$105:$D114)</f>
        <v>0.15308738719750134</v>
      </c>
      <c r="L114" s="42">
        <f>DSUM($B$76:$Y$96,L$76,$C$105:$D114)</f>
        <v>0.1202727752084654</v>
      </c>
      <c r="M114" s="42">
        <f>DSUM($B$76:$Y$96,M$76,$C$105:$D114)</f>
        <v>9.4477190659774529E-2</v>
      </c>
      <c r="N114" s="42">
        <f>DSUM($B$76:$Y$96,N$76,$C$105:$D114)</f>
        <v>7.4540355751147855E-2</v>
      </c>
      <c r="O114" s="42">
        <f>DSUM($B$76:$Y$96,O$76,$C$105:$D114)</f>
        <v>5.8555851641832725E-2</v>
      </c>
      <c r="P114" s="42">
        <f>DSUM($B$76:$Y$96,P$76,$C$105:$D114)</f>
        <v>4.5992451439791027E-2</v>
      </c>
      <c r="Q114" s="42">
        <f>DSUM($B$76:$Y$96,Q$76,$C$105:$D114)</f>
        <v>3.6129278005989869E-2</v>
      </c>
      <c r="R114" s="42">
        <f>DSUM($B$76:$Y$96,R$76,$C$105:$D114)</f>
        <v>2.8378260552694774E-2</v>
      </c>
      <c r="S114" s="42">
        <f>DSUM($B$76:$Y$96,S$76,$C$105:$D114)</f>
        <v>2.2377144823921884E-2</v>
      </c>
      <c r="T114" s="42">
        <f>DSUM($B$76:$Y$96,T$76,$C$105:$D114)</f>
        <v>1.7584543788331856E-2</v>
      </c>
      <c r="U114" s="42">
        <f>DSUM($B$76:$Y$96,U$76,$C$105:$D114)</f>
        <v>1.3821187825122852E-2</v>
      </c>
      <c r="V114" s="42">
        <f>DSUM($B$76:$Y$96,V$76,$C$105:$D114)</f>
        <v>1.0862889292607666E-2</v>
      </c>
      <c r="W114" s="42">
        <f>DSUM($B$76:$Y$96,W$76,$C$105:$D114)</f>
        <v>8.5357712667737014E-3</v>
      </c>
      <c r="X114" s="42">
        <f>DSUM($B$76:$Y$96,X$76,$C$105:$D114)</f>
        <v>6.7357948415141698E-3</v>
      </c>
      <c r="Y114" s="42">
        <f>DSUM($B$76:$Y$96,Y$76,$C$105:$D114)</f>
        <v>4.0220440961110464</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2:79">
      <c r="B115" s="7" t="s">
        <v>66</v>
      </c>
      <c r="C115" s="45" t="s">
        <v>67</v>
      </c>
      <c r="D115" s="45" t="s">
        <v>68</v>
      </c>
      <c r="E115" s="42">
        <f>DSUM($B$76:$Y$96,E$76,$C$105:$D115)</f>
        <v>0.65001987383602045</v>
      </c>
      <c r="F115" s="42">
        <f>DSUM($B$76:$Y$96,F$76,$C$105:$D115)</f>
        <v>0.51032623395536769</v>
      </c>
      <c r="G115" s="42">
        <f>DSUM($B$76:$Y$96,G$76,$C$105:$D115)</f>
        <v>0.40069043062203813</v>
      </c>
      <c r="H115" s="42">
        <f>DSUM($B$76:$Y$96,H$76,$C$105:$D115)</f>
        <v>0.31471872753348212</v>
      </c>
      <c r="I115" s="42">
        <f>DSUM($B$76:$Y$96,I$76,$C$105:$D115)</f>
        <v>0.24814504918810615</v>
      </c>
      <c r="J115" s="42">
        <f>DSUM($B$76:$Y$96,J$76,$C$105:$D115)</f>
        <v>0.19491998057533683</v>
      </c>
      <c r="K115" s="42">
        <f>DSUM($B$76:$Y$96,K$76,$C$105:$D115)</f>
        <v>0.15308738719750134</v>
      </c>
      <c r="L115" s="42">
        <f>DSUM($B$76:$Y$96,L$76,$C$105:$D115)</f>
        <v>0.1202727752084654</v>
      </c>
      <c r="M115" s="42">
        <f>DSUM($B$76:$Y$96,M$76,$C$105:$D115)</f>
        <v>9.4477190659774529E-2</v>
      </c>
      <c r="N115" s="42">
        <f>DSUM($B$76:$Y$96,N$76,$C$105:$D115)</f>
        <v>7.4540355751147855E-2</v>
      </c>
      <c r="O115" s="42">
        <f>DSUM($B$76:$Y$96,O$76,$C$105:$D115)</f>
        <v>5.8555851641832725E-2</v>
      </c>
      <c r="P115" s="42">
        <f>DSUM($B$76:$Y$96,P$76,$C$105:$D115)</f>
        <v>4.5992451439791027E-2</v>
      </c>
      <c r="Q115" s="42">
        <f>DSUM($B$76:$Y$96,Q$76,$C$105:$D115)</f>
        <v>3.6129278005989869E-2</v>
      </c>
      <c r="R115" s="42">
        <f>DSUM($B$76:$Y$96,R$76,$C$105:$D115)</f>
        <v>2.8378260552694774E-2</v>
      </c>
      <c r="S115" s="42">
        <f>DSUM($B$76:$Y$96,S$76,$C$105:$D115)</f>
        <v>2.2377144823921884E-2</v>
      </c>
      <c r="T115" s="42">
        <f>DSUM($B$76:$Y$96,T$76,$C$105:$D115)</f>
        <v>1.7584543788331856E-2</v>
      </c>
      <c r="U115" s="42">
        <f>DSUM($B$76:$Y$96,U$76,$C$105:$D115)</f>
        <v>1.3821187825122852E-2</v>
      </c>
      <c r="V115" s="42">
        <f>DSUM($B$76:$Y$96,V$76,$C$105:$D115)</f>
        <v>1.0862889292607666E-2</v>
      </c>
      <c r="W115" s="42">
        <f>DSUM($B$76:$Y$96,W$76,$C$105:$D115)</f>
        <v>8.5357712667737014E-3</v>
      </c>
      <c r="X115" s="42">
        <f>DSUM($B$76:$Y$96,X$76,$C$105:$D115)</f>
        <v>6.7357948415141698E-3</v>
      </c>
      <c r="Y115" s="42">
        <f>DSUM($B$76:$Y$96,Y$76,$C$105:$D115)</f>
        <v>4.0220440961110464</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2:79">
      <c r="B116" s="7" t="s">
        <v>69</v>
      </c>
      <c r="C116" s="45" t="s">
        <v>70</v>
      </c>
      <c r="D116" s="45" t="s">
        <v>71</v>
      </c>
      <c r="E116" s="42">
        <f>DSUM($B$76:$Y$96,E$76,$C$105:$D116)</f>
        <v>0.65001987383602045</v>
      </c>
      <c r="F116" s="42">
        <f>DSUM($B$76:$Y$96,F$76,$C$105:$D116)</f>
        <v>0.51032623395536769</v>
      </c>
      <c r="G116" s="42">
        <f>DSUM($B$76:$Y$96,G$76,$C$105:$D116)</f>
        <v>0.40069043062203813</v>
      </c>
      <c r="H116" s="42">
        <f>DSUM($B$76:$Y$96,H$76,$C$105:$D116)</f>
        <v>0.31471872753348212</v>
      </c>
      <c r="I116" s="42">
        <f>DSUM($B$76:$Y$96,I$76,$C$105:$D116)</f>
        <v>0.24814504918810615</v>
      </c>
      <c r="J116" s="42">
        <f>DSUM($B$76:$Y$96,J$76,$C$105:$D116)</f>
        <v>0.19491998057533683</v>
      </c>
      <c r="K116" s="42">
        <f>DSUM($B$76:$Y$96,K$76,$C$105:$D116)</f>
        <v>0.15308738719750134</v>
      </c>
      <c r="L116" s="42">
        <f>DSUM($B$76:$Y$96,L$76,$C$105:$D116)</f>
        <v>0.1202727752084654</v>
      </c>
      <c r="M116" s="42">
        <f>DSUM($B$76:$Y$96,M$76,$C$105:$D116)</f>
        <v>9.4477190659774529E-2</v>
      </c>
      <c r="N116" s="42">
        <f>DSUM($B$76:$Y$96,N$76,$C$105:$D116)</f>
        <v>7.4540355751147855E-2</v>
      </c>
      <c r="O116" s="42">
        <f>DSUM($B$76:$Y$96,O$76,$C$105:$D116)</f>
        <v>5.8555851641832725E-2</v>
      </c>
      <c r="P116" s="42">
        <f>DSUM($B$76:$Y$96,P$76,$C$105:$D116)</f>
        <v>4.5992451439791027E-2</v>
      </c>
      <c r="Q116" s="42">
        <f>DSUM($B$76:$Y$96,Q$76,$C$105:$D116)</f>
        <v>3.6129278005989869E-2</v>
      </c>
      <c r="R116" s="42">
        <f>DSUM($B$76:$Y$96,R$76,$C$105:$D116)</f>
        <v>2.8378260552694774E-2</v>
      </c>
      <c r="S116" s="42">
        <f>DSUM($B$76:$Y$96,S$76,$C$105:$D116)</f>
        <v>2.2377144823921884E-2</v>
      </c>
      <c r="T116" s="42">
        <f>DSUM($B$76:$Y$96,T$76,$C$105:$D116)</f>
        <v>1.7584543788331856E-2</v>
      </c>
      <c r="U116" s="42">
        <f>DSUM($B$76:$Y$96,U$76,$C$105:$D116)</f>
        <v>1.3821187825122852E-2</v>
      </c>
      <c r="V116" s="42">
        <f>DSUM($B$76:$Y$96,V$76,$C$105:$D116)</f>
        <v>1.0862889292607666E-2</v>
      </c>
      <c r="W116" s="42">
        <f>DSUM($B$76:$Y$96,W$76,$C$105:$D116)</f>
        <v>8.5357712667737014E-3</v>
      </c>
      <c r="X116" s="42">
        <f>DSUM($B$76:$Y$96,X$76,$C$105:$D116)</f>
        <v>6.7357948415141698E-3</v>
      </c>
      <c r="Y116" s="42">
        <f>DSUM($B$76:$Y$96,Y$76,$C$105:$D116)</f>
        <v>4.0220440961110464</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2:79">
      <c r="B117" s="7" t="s">
        <v>72</v>
      </c>
      <c r="C117" s="45" t="s">
        <v>73</v>
      </c>
      <c r="D117" s="45" t="s">
        <v>74</v>
      </c>
      <c r="E117" s="42">
        <f>DSUM($B$76:$Y$96,E$76,$C$105:$D117)</f>
        <v>0.65001987383602045</v>
      </c>
      <c r="F117" s="42">
        <f>DSUM($B$76:$Y$96,F$76,$C$105:$D117)</f>
        <v>0.51032623395536769</v>
      </c>
      <c r="G117" s="42">
        <f>DSUM($B$76:$Y$96,G$76,$C$105:$D117)</f>
        <v>0.40069043062203813</v>
      </c>
      <c r="H117" s="42">
        <f>DSUM($B$76:$Y$96,H$76,$C$105:$D117)</f>
        <v>0.31471872753348212</v>
      </c>
      <c r="I117" s="42">
        <f>DSUM($B$76:$Y$96,I$76,$C$105:$D117)</f>
        <v>0.24814504918810615</v>
      </c>
      <c r="J117" s="42">
        <f>DSUM($B$76:$Y$96,J$76,$C$105:$D117)</f>
        <v>0.19491998057533683</v>
      </c>
      <c r="K117" s="42">
        <f>DSUM($B$76:$Y$96,K$76,$C$105:$D117)</f>
        <v>0.15308738719750134</v>
      </c>
      <c r="L117" s="42">
        <f>DSUM($B$76:$Y$96,L$76,$C$105:$D117)</f>
        <v>0.1202727752084654</v>
      </c>
      <c r="M117" s="42">
        <f>DSUM($B$76:$Y$96,M$76,$C$105:$D117)</f>
        <v>9.4477190659774529E-2</v>
      </c>
      <c r="N117" s="42">
        <f>DSUM($B$76:$Y$96,N$76,$C$105:$D117)</f>
        <v>7.4540355751147855E-2</v>
      </c>
      <c r="O117" s="42">
        <f>DSUM($B$76:$Y$96,O$76,$C$105:$D117)</f>
        <v>5.8555851641832725E-2</v>
      </c>
      <c r="P117" s="42">
        <f>DSUM($B$76:$Y$96,P$76,$C$105:$D117)</f>
        <v>4.5992451439791027E-2</v>
      </c>
      <c r="Q117" s="42">
        <f>DSUM($B$76:$Y$96,Q$76,$C$105:$D117)</f>
        <v>3.6129278005989869E-2</v>
      </c>
      <c r="R117" s="42">
        <f>DSUM($B$76:$Y$96,R$76,$C$105:$D117)</f>
        <v>2.8378260552694774E-2</v>
      </c>
      <c r="S117" s="42">
        <f>DSUM($B$76:$Y$96,S$76,$C$105:$D117)</f>
        <v>2.2377144823921884E-2</v>
      </c>
      <c r="T117" s="42">
        <f>DSUM($B$76:$Y$96,T$76,$C$105:$D117)</f>
        <v>1.7584543788331856E-2</v>
      </c>
      <c r="U117" s="42">
        <f>DSUM($B$76:$Y$96,U$76,$C$105:$D117)</f>
        <v>1.3821187825122852E-2</v>
      </c>
      <c r="V117" s="42">
        <f>DSUM($B$76:$Y$96,V$76,$C$105:$D117)</f>
        <v>1.0862889292607666E-2</v>
      </c>
      <c r="W117" s="42">
        <f>DSUM($B$76:$Y$96,W$76,$C$105:$D117)</f>
        <v>8.5357712667737014E-3</v>
      </c>
      <c r="X117" s="42">
        <f>DSUM($B$76:$Y$96,X$76,$C$105:$D117)</f>
        <v>6.7357948415141698E-3</v>
      </c>
      <c r="Y117" s="42">
        <f>DSUM($B$76:$Y$96,Y$76,$C$105:$D117)</f>
        <v>4.0220440961110464</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2:79">
      <c r="B118" s="7" t="s">
        <v>75</v>
      </c>
      <c r="C118" s="45" t="s">
        <v>76</v>
      </c>
      <c r="D118" s="45" t="s">
        <v>77</v>
      </c>
      <c r="E118" s="42">
        <f>DSUM($B$76:$Y$96,E$76,$C$105:$D118)</f>
        <v>0.65001987383602045</v>
      </c>
      <c r="F118" s="42">
        <f>DSUM($B$76:$Y$96,F$76,$C$105:$D118)</f>
        <v>0.51032623395536769</v>
      </c>
      <c r="G118" s="42">
        <f>DSUM($B$76:$Y$96,G$76,$C$105:$D118)</f>
        <v>0.40069043062203813</v>
      </c>
      <c r="H118" s="42">
        <f>DSUM($B$76:$Y$96,H$76,$C$105:$D118)</f>
        <v>0.31471872753348212</v>
      </c>
      <c r="I118" s="42">
        <f>DSUM($B$76:$Y$96,I$76,$C$105:$D118)</f>
        <v>0.24814504918810615</v>
      </c>
      <c r="J118" s="42">
        <f>DSUM($B$76:$Y$96,J$76,$C$105:$D118)</f>
        <v>0.19491998057533683</v>
      </c>
      <c r="K118" s="42">
        <f>DSUM($B$76:$Y$96,K$76,$C$105:$D118)</f>
        <v>0.15308738719750134</v>
      </c>
      <c r="L118" s="42">
        <f>DSUM($B$76:$Y$96,L$76,$C$105:$D118)</f>
        <v>0.1202727752084654</v>
      </c>
      <c r="M118" s="42">
        <f>DSUM($B$76:$Y$96,M$76,$C$105:$D118)</f>
        <v>9.4477190659774529E-2</v>
      </c>
      <c r="N118" s="42">
        <f>DSUM($B$76:$Y$96,N$76,$C$105:$D118)</f>
        <v>7.4540355751147855E-2</v>
      </c>
      <c r="O118" s="42">
        <f>DSUM($B$76:$Y$96,O$76,$C$105:$D118)</f>
        <v>5.8555851641832725E-2</v>
      </c>
      <c r="P118" s="42">
        <f>DSUM($B$76:$Y$96,P$76,$C$105:$D118)</f>
        <v>4.5992451439791027E-2</v>
      </c>
      <c r="Q118" s="42">
        <f>DSUM($B$76:$Y$96,Q$76,$C$105:$D118)</f>
        <v>3.6129278005989869E-2</v>
      </c>
      <c r="R118" s="42">
        <f>DSUM($B$76:$Y$96,R$76,$C$105:$D118)</f>
        <v>2.8378260552694774E-2</v>
      </c>
      <c r="S118" s="42">
        <f>DSUM($B$76:$Y$96,S$76,$C$105:$D118)</f>
        <v>2.2377144823921884E-2</v>
      </c>
      <c r="T118" s="42">
        <f>DSUM($B$76:$Y$96,T$76,$C$105:$D118)</f>
        <v>1.7584543788331856E-2</v>
      </c>
      <c r="U118" s="42">
        <f>DSUM($B$76:$Y$96,U$76,$C$105:$D118)</f>
        <v>1.3821187825122852E-2</v>
      </c>
      <c r="V118" s="42">
        <f>DSUM($B$76:$Y$96,V$76,$C$105:$D118)</f>
        <v>1.0862889292607666E-2</v>
      </c>
      <c r="W118" s="42">
        <f>DSUM($B$76:$Y$96,W$76,$C$105:$D118)</f>
        <v>8.5357712667737014E-3</v>
      </c>
      <c r="X118" s="42">
        <f>DSUM($B$76:$Y$96,X$76,$C$105:$D118)</f>
        <v>6.7357948415141698E-3</v>
      </c>
      <c r="Y118" s="42">
        <f>DSUM($B$76:$Y$96,Y$76,$C$105:$D118)</f>
        <v>4.0220440961110464</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2:79">
      <c r="B119" s="7" t="s">
        <v>78</v>
      </c>
      <c r="C119" s="45" t="s">
        <v>79</v>
      </c>
      <c r="D119" s="45" t="s">
        <v>80</v>
      </c>
      <c r="E119" s="42">
        <f>DSUM($B$76:$Y$96,E$76,$C$105:$D119)</f>
        <v>0.65001987383602045</v>
      </c>
      <c r="F119" s="42">
        <f>DSUM($B$76:$Y$96,F$76,$C$105:$D119)</f>
        <v>0.51032623395536769</v>
      </c>
      <c r="G119" s="42">
        <f>DSUM($B$76:$Y$96,G$76,$C$105:$D119)</f>
        <v>0.40069043062203813</v>
      </c>
      <c r="H119" s="42">
        <f>DSUM($B$76:$Y$96,H$76,$C$105:$D119)</f>
        <v>0.31471872753348212</v>
      </c>
      <c r="I119" s="42">
        <f>DSUM($B$76:$Y$96,I$76,$C$105:$D119)</f>
        <v>0.24814504918810615</v>
      </c>
      <c r="J119" s="42">
        <f>DSUM($B$76:$Y$96,J$76,$C$105:$D119)</f>
        <v>0.19491998057533683</v>
      </c>
      <c r="K119" s="42">
        <f>DSUM($B$76:$Y$96,K$76,$C$105:$D119)</f>
        <v>0.15308738719750134</v>
      </c>
      <c r="L119" s="42">
        <f>DSUM($B$76:$Y$96,L$76,$C$105:$D119)</f>
        <v>0.1202727752084654</v>
      </c>
      <c r="M119" s="42">
        <f>DSUM($B$76:$Y$96,M$76,$C$105:$D119)</f>
        <v>9.4477190659774529E-2</v>
      </c>
      <c r="N119" s="42">
        <f>DSUM($B$76:$Y$96,N$76,$C$105:$D119)</f>
        <v>7.4540355751147855E-2</v>
      </c>
      <c r="O119" s="42">
        <f>DSUM($B$76:$Y$96,O$76,$C$105:$D119)</f>
        <v>5.8555851641832725E-2</v>
      </c>
      <c r="P119" s="42">
        <f>DSUM($B$76:$Y$96,P$76,$C$105:$D119)</f>
        <v>4.5992451439791027E-2</v>
      </c>
      <c r="Q119" s="42">
        <f>DSUM($B$76:$Y$96,Q$76,$C$105:$D119)</f>
        <v>3.6129278005989869E-2</v>
      </c>
      <c r="R119" s="42">
        <f>DSUM($B$76:$Y$96,R$76,$C$105:$D119)</f>
        <v>2.8378260552694774E-2</v>
      </c>
      <c r="S119" s="42">
        <f>DSUM($B$76:$Y$96,S$76,$C$105:$D119)</f>
        <v>2.2377144823921884E-2</v>
      </c>
      <c r="T119" s="42">
        <f>DSUM($B$76:$Y$96,T$76,$C$105:$D119)</f>
        <v>1.7584543788331856E-2</v>
      </c>
      <c r="U119" s="42">
        <f>DSUM($B$76:$Y$96,U$76,$C$105:$D119)</f>
        <v>1.3821187825122852E-2</v>
      </c>
      <c r="V119" s="42">
        <f>DSUM($B$76:$Y$96,V$76,$C$105:$D119)</f>
        <v>1.0862889292607666E-2</v>
      </c>
      <c r="W119" s="42">
        <f>DSUM($B$76:$Y$96,W$76,$C$105:$D119)</f>
        <v>8.5357712667737014E-3</v>
      </c>
      <c r="X119" s="42">
        <f>DSUM($B$76:$Y$96,X$76,$C$105:$D119)</f>
        <v>6.7357948415141698E-3</v>
      </c>
      <c r="Y119" s="42">
        <f>DSUM($B$76:$Y$96,Y$76,$C$105:$D119)</f>
        <v>4.0220440961110464</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2:79">
      <c r="B120" s="7" t="s">
        <v>81</v>
      </c>
      <c r="C120" s="45" t="s">
        <v>82</v>
      </c>
      <c r="D120" s="45" t="s">
        <v>83</v>
      </c>
      <c r="E120" s="42">
        <f>DSUM($B$76:$Y$96,E$76,$C$105:$D120)</f>
        <v>0.65001987383602045</v>
      </c>
      <c r="F120" s="42">
        <f>DSUM($B$76:$Y$96,F$76,$C$105:$D120)</f>
        <v>0.51032623395536769</v>
      </c>
      <c r="G120" s="42">
        <f>DSUM($B$76:$Y$96,G$76,$C$105:$D120)</f>
        <v>0.40069043062203813</v>
      </c>
      <c r="H120" s="42">
        <f>DSUM($B$76:$Y$96,H$76,$C$105:$D120)</f>
        <v>0.31471872753348212</v>
      </c>
      <c r="I120" s="42">
        <f>DSUM($B$76:$Y$96,I$76,$C$105:$D120)</f>
        <v>0.24814504918810615</v>
      </c>
      <c r="J120" s="42">
        <f>DSUM($B$76:$Y$96,J$76,$C$105:$D120)</f>
        <v>0.19491998057533683</v>
      </c>
      <c r="K120" s="42">
        <f>DSUM($B$76:$Y$96,K$76,$C$105:$D120)</f>
        <v>0.15308738719750134</v>
      </c>
      <c r="L120" s="42">
        <f>DSUM($B$76:$Y$96,L$76,$C$105:$D120)</f>
        <v>0.1202727752084654</v>
      </c>
      <c r="M120" s="42">
        <f>DSUM($B$76:$Y$96,M$76,$C$105:$D120)</f>
        <v>9.4477190659774529E-2</v>
      </c>
      <c r="N120" s="42">
        <f>DSUM($B$76:$Y$96,N$76,$C$105:$D120)</f>
        <v>7.4540355751147855E-2</v>
      </c>
      <c r="O120" s="42">
        <f>DSUM($B$76:$Y$96,O$76,$C$105:$D120)</f>
        <v>5.8555851641832725E-2</v>
      </c>
      <c r="P120" s="42">
        <f>DSUM($B$76:$Y$96,P$76,$C$105:$D120)</f>
        <v>4.5992451439791027E-2</v>
      </c>
      <c r="Q120" s="42">
        <f>DSUM($B$76:$Y$96,Q$76,$C$105:$D120)</f>
        <v>3.6129278005989869E-2</v>
      </c>
      <c r="R120" s="42">
        <f>DSUM($B$76:$Y$96,R$76,$C$105:$D120)</f>
        <v>2.8378260552694774E-2</v>
      </c>
      <c r="S120" s="42">
        <f>DSUM($B$76:$Y$96,S$76,$C$105:$D120)</f>
        <v>2.2377144823921884E-2</v>
      </c>
      <c r="T120" s="42">
        <f>DSUM($B$76:$Y$96,T$76,$C$105:$D120)</f>
        <v>1.7584543788331856E-2</v>
      </c>
      <c r="U120" s="42">
        <f>DSUM($B$76:$Y$96,U$76,$C$105:$D120)</f>
        <v>1.3821187825122852E-2</v>
      </c>
      <c r="V120" s="42">
        <f>DSUM($B$76:$Y$96,V$76,$C$105:$D120)</f>
        <v>1.0862889292607666E-2</v>
      </c>
      <c r="W120" s="42">
        <f>DSUM($B$76:$Y$96,W$76,$C$105:$D120)</f>
        <v>8.5357712667737014E-3</v>
      </c>
      <c r="X120" s="42">
        <f>DSUM($B$76:$Y$96,X$76,$C$105:$D120)</f>
        <v>6.7357948415141698E-3</v>
      </c>
      <c r="Y120" s="42">
        <f>DSUM($B$76:$Y$96,Y$76,$C$105:$D120)</f>
        <v>4.0220440961110464</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2:79">
      <c r="B121" s="7" t="s">
        <v>84</v>
      </c>
      <c r="C121" s="45" t="s">
        <v>85</v>
      </c>
      <c r="D121" s="45" t="s">
        <v>86</v>
      </c>
      <c r="E121" s="42">
        <f>DSUM($B$76:$Y$96,E$76,$C$105:$D121)</f>
        <v>0.65001987383602045</v>
      </c>
      <c r="F121" s="42">
        <f>DSUM($B$76:$Y$96,F$76,$C$105:$D121)</f>
        <v>0.51032623395536769</v>
      </c>
      <c r="G121" s="42">
        <f>DSUM($B$76:$Y$96,G$76,$C$105:$D121)</f>
        <v>0.40069043062203813</v>
      </c>
      <c r="H121" s="42">
        <f>DSUM($B$76:$Y$96,H$76,$C$105:$D121)</f>
        <v>0.31471872753348212</v>
      </c>
      <c r="I121" s="42">
        <f>DSUM($B$76:$Y$96,I$76,$C$105:$D121)</f>
        <v>0.24814504918810615</v>
      </c>
      <c r="J121" s="42">
        <f>DSUM($B$76:$Y$96,J$76,$C$105:$D121)</f>
        <v>0.19491998057533683</v>
      </c>
      <c r="K121" s="42">
        <f>DSUM($B$76:$Y$96,K$76,$C$105:$D121)</f>
        <v>0.15308738719750134</v>
      </c>
      <c r="L121" s="42">
        <f>DSUM($B$76:$Y$96,L$76,$C$105:$D121)</f>
        <v>0.1202727752084654</v>
      </c>
      <c r="M121" s="42">
        <f>DSUM($B$76:$Y$96,M$76,$C$105:$D121)</f>
        <v>9.4477190659774529E-2</v>
      </c>
      <c r="N121" s="42">
        <f>DSUM($B$76:$Y$96,N$76,$C$105:$D121)</f>
        <v>7.4540355751147855E-2</v>
      </c>
      <c r="O121" s="42">
        <f>DSUM($B$76:$Y$96,O$76,$C$105:$D121)</f>
        <v>5.8555851641832725E-2</v>
      </c>
      <c r="P121" s="42">
        <f>DSUM($B$76:$Y$96,P$76,$C$105:$D121)</f>
        <v>4.5992451439791027E-2</v>
      </c>
      <c r="Q121" s="42">
        <f>DSUM($B$76:$Y$96,Q$76,$C$105:$D121)</f>
        <v>3.6129278005989869E-2</v>
      </c>
      <c r="R121" s="42">
        <f>DSUM($B$76:$Y$96,R$76,$C$105:$D121)</f>
        <v>2.8378260552694774E-2</v>
      </c>
      <c r="S121" s="42">
        <f>DSUM($B$76:$Y$96,S$76,$C$105:$D121)</f>
        <v>2.2377144823921884E-2</v>
      </c>
      <c r="T121" s="42">
        <f>DSUM($B$76:$Y$96,T$76,$C$105:$D121)</f>
        <v>1.7584543788331856E-2</v>
      </c>
      <c r="U121" s="42">
        <f>DSUM($B$76:$Y$96,U$76,$C$105:$D121)</f>
        <v>1.3821187825122852E-2</v>
      </c>
      <c r="V121" s="42">
        <f>DSUM($B$76:$Y$96,V$76,$C$105:$D121)</f>
        <v>1.0862889292607666E-2</v>
      </c>
      <c r="W121" s="42">
        <f>DSUM($B$76:$Y$96,W$76,$C$105:$D121)</f>
        <v>8.5357712667737014E-3</v>
      </c>
      <c r="X121" s="42">
        <f>DSUM($B$76:$Y$96,X$76,$C$105:$D121)</f>
        <v>6.7357948415141698E-3</v>
      </c>
      <c r="Y121" s="42">
        <f>DSUM($B$76:$Y$96,Y$76,$C$105:$D121)</f>
        <v>4.0220440961110464</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2:79">
      <c r="B122" s="7" t="s">
        <v>87</v>
      </c>
      <c r="C122" s="45" t="s">
        <v>88</v>
      </c>
      <c r="D122" s="45" t="s">
        <v>89</v>
      </c>
      <c r="E122" s="42">
        <f>DSUM($B$76:$Y$96,E$76,$C$105:$D122)</f>
        <v>0.65001987383602045</v>
      </c>
      <c r="F122" s="42">
        <f>DSUM($B$76:$Y$96,F$76,$C$105:$D122)</f>
        <v>0.51032623395536769</v>
      </c>
      <c r="G122" s="42">
        <f>DSUM($B$76:$Y$96,G$76,$C$105:$D122)</f>
        <v>0.40069043062203813</v>
      </c>
      <c r="H122" s="42">
        <f>DSUM($B$76:$Y$96,H$76,$C$105:$D122)</f>
        <v>0.31471872753348212</v>
      </c>
      <c r="I122" s="42">
        <f>DSUM($B$76:$Y$96,I$76,$C$105:$D122)</f>
        <v>0.24814504918810615</v>
      </c>
      <c r="J122" s="42">
        <f>DSUM($B$76:$Y$96,J$76,$C$105:$D122)</f>
        <v>0.19491998057533683</v>
      </c>
      <c r="K122" s="42">
        <f>DSUM($B$76:$Y$96,K$76,$C$105:$D122)</f>
        <v>0.15308738719750134</v>
      </c>
      <c r="L122" s="42">
        <f>DSUM($B$76:$Y$96,L$76,$C$105:$D122)</f>
        <v>0.1202727752084654</v>
      </c>
      <c r="M122" s="42">
        <f>DSUM($B$76:$Y$96,M$76,$C$105:$D122)</f>
        <v>9.4477190659774529E-2</v>
      </c>
      <c r="N122" s="42">
        <f>DSUM($B$76:$Y$96,N$76,$C$105:$D122)</f>
        <v>7.4540355751147855E-2</v>
      </c>
      <c r="O122" s="42">
        <f>DSUM($B$76:$Y$96,O$76,$C$105:$D122)</f>
        <v>5.8555851641832725E-2</v>
      </c>
      <c r="P122" s="42">
        <f>DSUM($B$76:$Y$96,P$76,$C$105:$D122)</f>
        <v>4.5992451439791027E-2</v>
      </c>
      <c r="Q122" s="42">
        <f>DSUM($B$76:$Y$96,Q$76,$C$105:$D122)</f>
        <v>3.6129278005989869E-2</v>
      </c>
      <c r="R122" s="42">
        <f>DSUM($B$76:$Y$96,R$76,$C$105:$D122)</f>
        <v>2.8378260552694774E-2</v>
      </c>
      <c r="S122" s="42">
        <f>DSUM($B$76:$Y$96,S$76,$C$105:$D122)</f>
        <v>2.2377144823921884E-2</v>
      </c>
      <c r="T122" s="42">
        <f>DSUM($B$76:$Y$96,T$76,$C$105:$D122)</f>
        <v>1.7584543788331856E-2</v>
      </c>
      <c r="U122" s="42">
        <f>DSUM($B$76:$Y$96,U$76,$C$105:$D122)</f>
        <v>1.3821187825122852E-2</v>
      </c>
      <c r="V122" s="42">
        <f>DSUM($B$76:$Y$96,V$76,$C$105:$D122)</f>
        <v>1.0862889292607666E-2</v>
      </c>
      <c r="W122" s="42">
        <f>DSUM($B$76:$Y$96,W$76,$C$105:$D122)</f>
        <v>8.5357712667737014E-3</v>
      </c>
      <c r="X122" s="42">
        <f>DSUM($B$76:$Y$96,X$76,$C$105:$D122)</f>
        <v>6.7357948415141698E-3</v>
      </c>
      <c r="Y122" s="42">
        <f>DSUM($B$76:$Y$96,Y$76,$C$105:$D122)</f>
        <v>4.0220440961110464</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2:79">
      <c r="B123" s="7" t="s">
        <v>90</v>
      </c>
      <c r="C123" s="45" t="s">
        <v>91</v>
      </c>
      <c r="D123" s="45" t="s">
        <v>92</v>
      </c>
      <c r="E123" s="42">
        <f>DSUM($B$76:$Y$96,E$76,$C$105:$D123)</f>
        <v>0.65001987383602045</v>
      </c>
      <c r="F123" s="42">
        <f>DSUM($B$76:$Y$96,F$76,$C$105:$D123)</f>
        <v>0.51032623395536769</v>
      </c>
      <c r="G123" s="42">
        <f>DSUM($B$76:$Y$96,G$76,$C$105:$D123)</f>
        <v>0.40069043062203813</v>
      </c>
      <c r="H123" s="42">
        <f>DSUM($B$76:$Y$96,H$76,$C$105:$D123)</f>
        <v>0.31471872753348212</v>
      </c>
      <c r="I123" s="42">
        <f>DSUM($B$76:$Y$96,I$76,$C$105:$D123)</f>
        <v>0.24814504918810615</v>
      </c>
      <c r="J123" s="42">
        <f>DSUM($B$76:$Y$96,J$76,$C$105:$D123)</f>
        <v>0.19491998057533683</v>
      </c>
      <c r="K123" s="42">
        <f>DSUM($B$76:$Y$96,K$76,$C$105:$D123)</f>
        <v>0.15308738719750134</v>
      </c>
      <c r="L123" s="42">
        <f>DSUM($B$76:$Y$96,L$76,$C$105:$D123)</f>
        <v>0.1202727752084654</v>
      </c>
      <c r="M123" s="42">
        <f>DSUM($B$76:$Y$96,M$76,$C$105:$D123)</f>
        <v>9.4477190659774529E-2</v>
      </c>
      <c r="N123" s="42">
        <f>DSUM($B$76:$Y$96,N$76,$C$105:$D123)</f>
        <v>7.4540355751147855E-2</v>
      </c>
      <c r="O123" s="42">
        <f>DSUM($B$76:$Y$96,O$76,$C$105:$D123)</f>
        <v>5.8555851641832725E-2</v>
      </c>
      <c r="P123" s="42">
        <f>DSUM($B$76:$Y$96,P$76,$C$105:$D123)</f>
        <v>4.5992451439791027E-2</v>
      </c>
      <c r="Q123" s="42">
        <f>DSUM($B$76:$Y$96,Q$76,$C$105:$D123)</f>
        <v>3.6129278005989869E-2</v>
      </c>
      <c r="R123" s="42">
        <f>DSUM($B$76:$Y$96,R$76,$C$105:$D123)</f>
        <v>2.8378260552694774E-2</v>
      </c>
      <c r="S123" s="42">
        <f>DSUM($B$76:$Y$96,S$76,$C$105:$D123)</f>
        <v>2.2377144823921884E-2</v>
      </c>
      <c r="T123" s="42">
        <f>DSUM($B$76:$Y$96,T$76,$C$105:$D123)</f>
        <v>1.7584543788331856E-2</v>
      </c>
      <c r="U123" s="42">
        <f>DSUM($B$76:$Y$96,U$76,$C$105:$D123)</f>
        <v>1.3821187825122852E-2</v>
      </c>
      <c r="V123" s="42">
        <f>DSUM($B$76:$Y$96,V$76,$C$105:$D123)</f>
        <v>1.0862889292607666E-2</v>
      </c>
      <c r="W123" s="42">
        <f>DSUM($B$76:$Y$96,W$76,$C$105:$D123)</f>
        <v>8.5357712667737014E-3</v>
      </c>
      <c r="X123" s="42">
        <f>DSUM($B$76:$Y$96,X$76,$C$105:$D123)</f>
        <v>6.7357948415141698E-3</v>
      </c>
      <c r="Y123" s="42">
        <f>DSUM($B$76:$Y$96,Y$76,$C$105:$D123)</f>
        <v>4.0220440961110464</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2:79">
      <c r="B124" s="7" t="s">
        <v>93</v>
      </c>
      <c r="C124" s="45" t="s">
        <v>94</v>
      </c>
      <c r="D124" s="45" t="s">
        <v>95</v>
      </c>
      <c r="E124" s="42">
        <f>DSUM($B$76:$Y$96,E$76,$C$105:$D124)</f>
        <v>0.65001987383602045</v>
      </c>
      <c r="F124" s="42">
        <f>DSUM($B$76:$Y$96,F$76,$C$105:$D124)</f>
        <v>0.51032623395536769</v>
      </c>
      <c r="G124" s="42">
        <f>DSUM($B$76:$Y$96,G$76,$C$105:$D124)</f>
        <v>0.40069043062203813</v>
      </c>
      <c r="H124" s="42">
        <f>DSUM($B$76:$Y$96,H$76,$C$105:$D124)</f>
        <v>0.31471872753348212</v>
      </c>
      <c r="I124" s="42">
        <f>DSUM($B$76:$Y$96,I$76,$C$105:$D124)</f>
        <v>0.24814504918810615</v>
      </c>
      <c r="J124" s="42">
        <f>DSUM($B$76:$Y$96,J$76,$C$105:$D124)</f>
        <v>0.19491998057533683</v>
      </c>
      <c r="K124" s="42">
        <f>DSUM($B$76:$Y$96,K$76,$C$105:$D124)</f>
        <v>0.15308738719750134</v>
      </c>
      <c r="L124" s="42">
        <f>DSUM($B$76:$Y$96,L$76,$C$105:$D124)</f>
        <v>0.1202727752084654</v>
      </c>
      <c r="M124" s="42">
        <f>DSUM($B$76:$Y$96,M$76,$C$105:$D124)</f>
        <v>9.4477190659774529E-2</v>
      </c>
      <c r="N124" s="42">
        <f>DSUM($B$76:$Y$96,N$76,$C$105:$D124)</f>
        <v>7.4540355751147855E-2</v>
      </c>
      <c r="O124" s="42">
        <f>DSUM($B$76:$Y$96,O$76,$C$105:$D124)</f>
        <v>5.8555851641832725E-2</v>
      </c>
      <c r="P124" s="42">
        <f>DSUM($B$76:$Y$96,P$76,$C$105:$D124)</f>
        <v>4.5992451439791027E-2</v>
      </c>
      <c r="Q124" s="42">
        <f>DSUM($B$76:$Y$96,Q$76,$C$105:$D124)</f>
        <v>3.6129278005989869E-2</v>
      </c>
      <c r="R124" s="42">
        <f>DSUM($B$76:$Y$96,R$76,$C$105:$D124)</f>
        <v>2.8378260552694774E-2</v>
      </c>
      <c r="S124" s="42">
        <f>DSUM($B$76:$Y$96,S$76,$C$105:$D124)</f>
        <v>2.2377144823921884E-2</v>
      </c>
      <c r="T124" s="42">
        <f>DSUM($B$76:$Y$96,T$76,$C$105:$D124)</f>
        <v>1.7584543788331856E-2</v>
      </c>
      <c r="U124" s="42">
        <f>DSUM($B$76:$Y$96,U$76,$C$105:$D124)</f>
        <v>1.3821187825122852E-2</v>
      </c>
      <c r="V124" s="42">
        <f>DSUM($B$76:$Y$96,V$76,$C$105:$D124)</f>
        <v>1.0862889292607666E-2</v>
      </c>
      <c r="W124" s="42">
        <f>DSUM($B$76:$Y$96,W$76,$C$105:$D124)</f>
        <v>8.5357712667737014E-3</v>
      </c>
      <c r="X124" s="42">
        <f>DSUM($B$76:$Y$96,X$76,$C$105:$D124)</f>
        <v>6.7357948415141698E-3</v>
      </c>
      <c r="Y124" s="42">
        <f>DSUM($B$76:$Y$96,Y$76,$C$105:$D124)</f>
        <v>4.0220440961110464</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2:79">
      <c r="B125" s="7" t="s">
        <v>96</v>
      </c>
      <c r="C125" s="45" t="s">
        <v>97</v>
      </c>
      <c r="D125" s="45" t="s">
        <v>98</v>
      </c>
      <c r="E125" s="42">
        <f>DSUM($B$76:$Y$96,E$76,$C$105:$D125)</f>
        <v>0.65001987383602045</v>
      </c>
      <c r="F125" s="42">
        <f>DSUM($B$76:$Y$96,F$76,$C$105:$D125)</f>
        <v>0.51032623395536769</v>
      </c>
      <c r="G125" s="42">
        <f>DSUM($B$76:$Y$96,G$76,$C$105:$D125)</f>
        <v>0.40069043062203813</v>
      </c>
      <c r="H125" s="42">
        <f>DSUM($B$76:$Y$96,H$76,$C$105:$D125)</f>
        <v>0.31471872753348212</v>
      </c>
      <c r="I125" s="42">
        <f>DSUM($B$76:$Y$96,I$76,$C$105:$D125)</f>
        <v>0.24814504918810615</v>
      </c>
      <c r="J125" s="42">
        <f>DSUM($B$76:$Y$96,J$76,$C$105:$D125)</f>
        <v>0.19491998057533683</v>
      </c>
      <c r="K125" s="42">
        <f>DSUM($B$76:$Y$96,K$76,$C$105:$D125)</f>
        <v>0.15308738719750134</v>
      </c>
      <c r="L125" s="42">
        <f>DSUM($B$76:$Y$96,L$76,$C$105:$D125)</f>
        <v>0.1202727752084654</v>
      </c>
      <c r="M125" s="42">
        <f>DSUM($B$76:$Y$96,M$76,$C$105:$D125)</f>
        <v>9.4477190659774529E-2</v>
      </c>
      <c r="N125" s="42">
        <f>DSUM($B$76:$Y$96,N$76,$C$105:$D125)</f>
        <v>7.4540355751147855E-2</v>
      </c>
      <c r="O125" s="42">
        <f>DSUM($B$76:$Y$96,O$76,$C$105:$D125)</f>
        <v>5.8555851641832725E-2</v>
      </c>
      <c r="P125" s="42">
        <f>DSUM($B$76:$Y$96,P$76,$C$105:$D125)</f>
        <v>4.5992451439791027E-2</v>
      </c>
      <c r="Q125" s="42">
        <f>DSUM($B$76:$Y$96,Q$76,$C$105:$D125)</f>
        <v>3.6129278005989869E-2</v>
      </c>
      <c r="R125" s="42">
        <f>DSUM($B$76:$Y$96,R$76,$C$105:$D125)</f>
        <v>2.8378260552694774E-2</v>
      </c>
      <c r="S125" s="42">
        <f>DSUM($B$76:$Y$96,S$76,$C$105:$D125)</f>
        <v>2.2377144823921884E-2</v>
      </c>
      <c r="T125" s="42">
        <f>DSUM($B$76:$Y$96,T$76,$C$105:$D125)</f>
        <v>1.7584543788331856E-2</v>
      </c>
      <c r="U125" s="42">
        <f>DSUM($B$76:$Y$96,U$76,$C$105:$D125)</f>
        <v>1.3821187825122852E-2</v>
      </c>
      <c r="V125" s="42">
        <f>DSUM($B$76:$Y$96,V$76,$C$105:$D125)</f>
        <v>1.0862889292607666E-2</v>
      </c>
      <c r="W125" s="42">
        <f>DSUM($B$76:$Y$96,W$76,$C$105:$D125)</f>
        <v>8.5357712667737014E-3</v>
      </c>
      <c r="X125" s="42">
        <f>DSUM($B$76:$Y$96,X$76,$C$105:$D125)</f>
        <v>6.7357948415141698E-3</v>
      </c>
      <c r="Y125" s="42">
        <f>DSUM($B$76:$Y$96,Y$76,$C$105:$D125)</f>
        <v>4.0220440961110464</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2:79">
      <c r="B126" s="7" t="s">
        <v>99</v>
      </c>
      <c r="C126" s="45" t="s">
        <v>100</v>
      </c>
      <c r="D126" s="45" t="s">
        <v>101</v>
      </c>
      <c r="E126" s="42">
        <f>DSUM($B$76:$Y$96,E$76,$C$105:$D126)</f>
        <v>0.65001987383602045</v>
      </c>
      <c r="F126" s="42">
        <f>DSUM($B$76:$Y$96,F$76,$C$105:$D126)</f>
        <v>0.51032623395536769</v>
      </c>
      <c r="G126" s="42">
        <f>DSUM($B$76:$Y$96,G$76,$C$105:$D126)</f>
        <v>0.40069043062203813</v>
      </c>
      <c r="H126" s="42">
        <f>DSUM($B$76:$Y$96,H$76,$C$105:$D126)</f>
        <v>0.31471872753348212</v>
      </c>
      <c r="I126" s="42">
        <f>DSUM($B$76:$Y$96,I$76,$C$105:$D126)</f>
        <v>0.24814504918810615</v>
      </c>
      <c r="J126" s="42">
        <f>DSUM($B$76:$Y$96,J$76,$C$105:$D126)</f>
        <v>0.19491998057533683</v>
      </c>
      <c r="K126" s="42">
        <f>DSUM($B$76:$Y$96,K$76,$C$105:$D126)</f>
        <v>0.15308738719750134</v>
      </c>
      <c r="L126" s="42">
        <f>DSUM($B$76:$Y$96,L$76,$C$105:$D126)</f>
        <v>0.1202727752084654</v>
      </c>
      <c r="M126" s="42">
        <f>DSUM($B$76:$Y$96,M$76,$C$105:$D126)</f>
        <v>9.4477190659774529E-2</v>
      </c>
      <c r="N126" s="42">
        <f>DSUM($B$76:$Y$96,N$76,$C$105:$D126)</f>
        <v>7.4540355751147855E-2</v>
      </c>
      <c r="O126" s="42">
        <f>DSUM($B$76:$Y$96,O$76,$C$105:$D126)</f>
        <v>5.8555851641832725E-2</v>
      </c>
      <c r="P126" s="42">
        <f>DSUM($B$76:$Y$96,P$76,$C$105:$D126)</f>
        <v>4.5992451439791027E-2</v>
      </c>
      <c r="Q126" s="42">
        <f>DSUM($B$76:$Y$96,Q$76,$C$105:$D126)</f>
        <v>3.6129278005989869E-2</v>
      </c>
      <c r="R126" s="42">
        <f>DSUM($B$76:$Y$96,R$76,$C$105:$D126)</f>
        <v>2.8378260552694774E-2</v>
      </c>
      <c r="S126" s="42">
        <f>DSUM($B$76:$Y$96,S$76,$C$105:$D126)</f>
        <v>2.2377144823921884E-2</v>
      </c>
      <c r="T126" s="42">
        <f>DSUM($B$76:$Y$96,T$76,$C$105:$D126)</f>
        <v>1.7584543788331856E-2</v>
      </c>
      <c r="U126" s="42">
        <f>DSUM($B$76:$Y$96,U$76,$C$105:$D126)</f>
        <v>1.3821187825122852E-2</v>
      </c>
      <c r="V126" s="42">
        <f>DSUM($B$76:$Y$96,V$76,$C$105:$D126)</f>
        <v>1.0862889292607666E-2</v>
      </c>
      <c r="W126" s="42">
        <f>DSUM($B$76:$Y$96,W$76,$C$105:$D126)</f>
        <v>8.5357712667737014E-3</v>
      </c>
      <c r="X126" s="42">
        <f>DSUM($B$76:$Y$96,X$76,$C$105:$D126)</f>
        <v>6.7357948415141698E-3</v>
      </c>
      <c r="Y126" s="42">
        <f>DSUM($B$76:$Y$96,Y$76,$C$105:$D126)</f>
        <v>4.0220440961110464</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2:79">
      <c r="B127" s="7" t="s">
        <v>341</v>
      </c>
      <c r="C127" s="45" t="s">
        <v>103</v>
      </c>
      <c r="D127" s="45" t="s">
        <v>342</v>
      </c>
      <c r="E127" s="42">
        <f>DSUM($B$76:$Y$96,E$76,$C$105:$D127)</f>
        <v>0.65001987383602045</v>
      </c>
      <c r="F127" s="42">
        <f>DSUM($B$76:$Y$96,F$76,$C$105:$D127)</f>
        <v>0.51032623395536769</v>
      </c>
      <c r="G127" s="42">
        <f>DSUM($B$76:$Y$96,G$76,$C$105:$D127)</f>
        <v>0.40069043062203813</v>
      </c>
      <c r="H127" s="42">
        <f>DSUM($B$76:$Y$96,H$76,$C$105:$D127)</f>
        <v>0.31471872753348212</v>
      </c>
      <c r="I127" s="42">
        <f>DSUM($B$76:$Y$96,I$76,$C$105:$D127)</f>
        <v>0.24814504918810615</v>
      </c>
      <c r="J127" s="42">
        <f>DSUM($B$76:$Y$96,J$76,$C$105:$D127)</f>
        <v>0.19491998057533683</v>
      </c>
      <c r="K127" s="42">
        <f>DSUM($B$76:$Y$96,K$76,$C$105:$D127)</f>
        <v>0.15308738719750134</v>
      </c>
      <c r="L127" s="42">
        <f>DSUM($B$76:$Y$96,L$76,$C$105:$D127)</f>
        <v>0.1202727752084654</v>
      </c>
      <c r="M127" s="42">
        <f>DSUM($B$76:$Y$96,M$76,$C$105:$D127)</f>
        <v>9.4477190659774529E-2</v>
      </c>
      <c r="N127" s="42">
        <f>DSUM($B$76:$Y$96,N$76,$C$105:$D127)</f>
        <v>7.4540355751147855E-2</v>
      </c>
      <c r="O127" s="42">
        <f>DSUM($B$76:$Y$96,O$76,$C$105:$D127)</f>
        <v>5.8555851641832725E-2</v>
      </c>
      <c r="P127" s="42">
        <f>DSUM($B$76:$Y$96,P$76,$C$105:$D127)</f>
        <v>4.5992451439791027E-2</v>
      </c>
      <c r="Q127" s="42">
        <f>DSUM($B$76:$Y$96,Q$76,$C$105:$D127)</f>
        <v>3.6129278005989869E-2</v>
      </c>
      <c r="R127" s="42">
        <f>DSUM($B$76:$Y$96,R$76,$C$105:$D127)</f>
        <v>2.8378260552694774E-2</v>
      </c>
      <c r="S127" s="42">
        <f>DSUM($B$76:$Y$96,S$76,$C$105:$D127)</f>
        <v>2.2377144823921884E-2</v>
      </c>
      <c r="T127" s="42">
        <f>DSUM($B$76:$Y$96,T$76,$C$105:$D127)</f>
        <v>1.7584543788331856E-2</v>
      </c>
      <c r="U127" s="42">
        <f>DSUM($B$76:$Y$96,U$76,$C$105:$D127)</f>
        <v>1.3821187825122852E-2</v>
      </c>
      <c r="V127" s="42">
        <f>DSUM($B$76:$Y$96,V$76,$C$105:$D127)</f>
        <v>1.0862889292607666E-2</v>
      </c>
      <c r="W127" s="42">
        <f>DSUM($B$76:$Y$96,W$76,$C$105:$D127)</f>
        <v>8.5357712667737014E-3</v>
      </c>
      <c r="X127" s="42">
        <f>DSUM($B$76:$Y$96,X$76,$C$105:$D127)</f>
        <v>6.7357948415141698E-3</v>
      </c>
      <c r="Y127" s="42">
        <f>DSUM($B$76:$Y$96,Y$76,$C$105:$D127)</f>
        <v>4.0220440961110464</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2:79">
      <c r="B128" s="7" t="s">
        <v>343</v>
      </c>
      <c r="C128" s="45" t="s">
        <v>344</v>
      </c>
      <c r="D128" s="45" t="s">
        <v>345</v>
      </c>
      <c r="E128" s="42">
        <f>DSUM($B$76:$Y$96,E$76,$C$105:$D128)</f>
        <v>0.65001987383602045</v>
      </c>
      <c r="F128" s="42">
        <f>DSUM($B$76:$Y$96,F$76,$C$105:$D128)</f>
        <v>0.51032623395536769</v>
      </c>
      <c r="G128" s="42">
        <f>DSUM($B$76:$Y$96,G$76,$C$105:$D128)</f>
        <v>0.40069043062203813</v>
      </c>
      <c r="H128" s="42">
        <f>DSUM($B$76:$Y$96,H$76,$C$105:$D128)</f>
        <v>0.31471872753348212</v>
      </c>
      <c r="I128" s="42">
        <f>DSUM($B$76:$Y$96,I$76,$C$105:$D128)</f>
        <v>0.24814504918810615</v>
      </c>
      <c r="J128" s="42">
        <f>DSUM($B$76:$Y$96,J$76,$C$105:$D128)</f>
        <v>0.19491998057533683</v>
      </c>
      <c r="K128" s="42">
        <f>DSUM($B$76:$Y$96,K$76,$C$105:$D128)</f>
        <v>0.15308738719750134</v>
      </c>
      <c r="L128" s="42">
        <f>DSUM($B$76:$Y$96,L$76,$C$105:$D128)</f>
        <v>0.1202727752084654</v>
      </c>
      <c r="M128" s="42">
        <f>DSUM($B$76:$Y$96,M$76,$C$105:$D128)</f>
        <v>9.4477190659774529E-2</v>
      </c>
      <c r="N128" s="42">
        <f>DSUM($B$76:$Y$96,N$76,$C$105:$D128)</f>
        <v>7.4540355751147855E-2</v>
      </c>
      <c r="O128" s="42">
        <f>DSUM($B$76:$Y$96,O$76,$C$105:$D128)</f>
        <v>5.8555851641832725E-2</v>
      </c>
      <c r="P128" s="42">
        <f>DSUM($B$76:$Y$96,P$76,$C$105:$D128)</f>
        <v>4.5992451439791027E-2</v>
      </c>
      <c r="Q128" s="42">
        <f>DSUM($B$76:$Y$96,Q$76,$C$105:$D128)</f>
        <v>3.6129278005989869E-2</v>
      </c>
      <c r="R128" s="42">
        <f>DSUM($B$76:$Y$96,R$76,$C$105:$D128)</f>
        <v>2.8378260552694774E-2</v>
      </c>
      <c r="S128" s="42">
        <f>DSUM($B$76:$Y$96,S$76,$C$105:$D128)</f>
        <v>2.2377144823921884E-2</v>
      </c>
      <c r="T128" s="42">
        <f>DSUM($B$76:$Y$96,T$76,$C$105:$D128)</f>
        <v>1.7584543788331856E-2</v>
      </c>
      <c r="U128" s="42">
        <f>DSUM($B$76:$Y$96,U$76,$C$105:$D128)</f>
        <v>1.3821187825122852E-2</v>
      </c>
      <c r="V128" s="42">
        <f>DSUM($B$76:$Y$96,V$76,$C$105:$D128)</f>
        <v>1.0862889292607666E-2</v>
      </c>
      <c r="W128" s="42">
        <f>DSUM($B$76:$Y$96,W$76,$C$105:$D128)</f>
        <v>8.5357712667737014E-3</v>
      </c>
      <c r="X128" s="42">
        <f>DSUM($B$76:$Y$96,X$76,$C$105:$D128)</f>
        <v>6.7357948415141698E-3</v>
      </c>
      <c r="Y128" s="42">
        <f>DSUM($B$76:$Y$96,Y$76,$C$105:$D128)</f>
        <v>4.0220440961110464</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1:79">
      <c r="B129" s="7" t="s">
        <v>346</v>
      </c>
      <c r="C129" s="45" t="s">
        <v>347</v>
      </c>
      <c r="D129" s="45" t="s">
        <v>348</v>
      </c>
      <c r="E129" s="42">
        <f>DSUM($B$76:$Y$96,E$76,$C$105:$D129)</f>
        <v>0.65001987383602045</v>
      </c>
      <c r="F129" s="42">
        <f>DSUM($B$76:$Y$96,F$76,$C$105:$D129)</f>
        <v>0.51032623395536769</v>
      </c>
      <c r="G129" s="42">
        <f>DSUM($B$76:$Y$96,G$76,$C$105:$D129)</f>
        <v>0.40069043062203813</v>
      </c>
      <c r="H129" s="42">
        <f>DSUM($B$76:$Y$96,H$76,$C$105:$D129)</f>
        <v>0.31471872753348212</v>
      </c>
      <c r="I129" s="42">
        <f>DSUM($B$76:$Y$96,I$76,$C$105:$D129)</f>
        <v>0.24814504918810615</v>
      </c>
      <c r="J129" s="42">
        <f>DSUM($B$76:$Y$96,J$76,$C$105:$D129)</f>
        <v>0.19491998057533683</v>
      </c>
      <c r="K129" s="42">
        <f>DSUM($B$76:$Y$96,K$76,$C$105:$D129)</f>
        <v>0.15308738719750134</v>
      </c>
      <c r="L129" s="42">
        <f>DSUM($B$76:$Y$96,L$76,$C$105:$D129)</f>
        <v>0.1202727752084654</v>
      </c>
      <c r="M129" s="42">
        <f>DSUM($B$76:$Y$96,M$76,$C$105:$D129)</f>
        <v>9.4477190659774529E-2</v>
      </c>
      <c r="N129" s="42">
        <f>DSUM($B$76:$Y$96,N$76,$C$105:$D129)</f>
        <v>7.4540355751147855E-2</v>
      </c>
      <c r="O129" s="42">
        <f>DSUM($B$76:$Y$96,O$76,$C$105:$D129)</f>
        <v>5.8555851641832725E-2</v>
      </c>
      <c r="P129" s="42">
        <f>DSUM($B$76:$Y$96,P$76,$C$105:$D129)</f>
        <v>4.5992451439791027E-2</v>
      </c>
      <c r="Q129" s="42">
        <f>DSUM($B$76:$Y$96,Q$76,$C$105:$D129)</f>
        <v>3.6129278005989869E-2</v>
      </c>
      <c r="R129" s="42">
        <f>DSUM($B$76:$Y$96,R$76,$C$105:$D129)</f>
        <v>2.8378260552694774E-2</v>
      </c>
      <c r="S129" s="42">
        <f>DSUM($B$76:$Y$96,S$76,$C$105:$D129)</f>
        <v>2.2377144823921884E-2</v>
      </c>
      <c r="T129" s="42">
        <f>DSUM($B$76:$Y$96,T$76,$C$105:$D129)</f>
        <v>1.7584543788331856E-2</v>
      </c>
      <c r="U129" s="42">
        <f>DSUM($B$76:$Y$96,U$76,$C$105:$D129)</f>
        <v>1.3821187825122852E-2</v>
      </c>
      <c r="V129" s="42">
        <f>DSUM($B$76:$Y$96,V$76,$C$105:$D129)</f>
        <v>1.0862889292607666E-2</v>
      </c>
      <c r="W129" s="42">
        <f>DSUM($B$76:$Y$96,W$76,$C$105:$D129)</f>
        <v>8.5357712667737014E-3</v>
      </c>
      <c r="X129" s="42">
        <f>DSUM($B$76:$Y$96,X$76,$C$105:$D129)</f>
        <v>6.7357948415141698E-3</v>
      </c>
      <c r="Y129" s="42">
        <f>DSUM($B$76:$Y$96,Y$76,$C$105:$D129)</f>
        <v>4.0220440961110464</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1:79">
      <c r="B130" s="7" t="s">
        <v>349</v>
      </c>
      <c r="C130" s="45" t="s">
        <v>350</v>
      </c>
      <c r="D130" s="45" t="s">
        <v>351</v>
      </c>
      <c r="E130" s="42">
        <f>DSUM($B$76:$Y$96,E$76,$C$105:$D130)</f>
        <v>0.65001987383602045</v>
      </c>
      <c r="F130" s="42">
        <f>DSUM($B$76:$Y$96,F$76,$C$105:$D130)</f>
        <v>0.51032623395536769</v>
      </c>
      <c r="G130" s="42">
        <f>DSUM($B$76:$Y$96,G$76,$C$105:$D130)</f>
        <v>0.40069043062203813</v>
      </c>
      <c r="H130" s="42">
        <f>DSUM($B$76:$Y$96,H$76,$C$105:$D130)</f>
        <v>0.31471872753348212</v>
      </c>
      <c r="I130" s="42">
        <f>DSUM($B$76:$Y$96,I$76,$C$105:$D130)</f>
        <v>0.24814504918810615</v>
      </c>
      <c r="J130" s="42">
        <f>DSUM($B$76:$Y$96,J$76,$C$105:$D130)</f>
        <v>0.19491998057533683</v>
      </c>
      <c r="K130" s="42">
        <f>DSUM($B$76:$Y$96,K$76,$C$105:$D130)</f>
        <v>0.15308738719750134</v>
      </c>
      <c r="L130" s="42">
        <f>DSUM($B$76:$Y$96,L$76,$C$105:$D130)</f>
        <v>0.1202727752084654</v>
      </c>
      <c r="M130" s="42">
        <f>DSUM($B$76:$Y$96,M$76,$C$105:$D130)</f>
        <v>9.4477190659774529E-2</v>
      </c>
      <c r="N130" s="42">
        <f>DSUM($B$76:$Y$96,N$76,$C$105:$D130)</f>
        <v>7.4540355751147855E-2</v>
      </c>
      <c r="O130" s="42">
        <f>DSUM($B$76:$Y$96,O$76,$C$105:$D130)</f>
        <v>5.8555851641832725E-2</v>
      </c>
      <c r="P130" s="42">
        <f>DSUM($B$76:$Y$96,P$76,$C$105:$D130)</f>
        <v>4.5992451439791027E-2</v>
      </c>
      <c r="Q130" s="42">
        <f>DSUM($B$76:$Y$96,Q$76,$C$105:$D130)</f>
        <v>3.6129278005989869E-2</v>
      </c>
      <c r="R130" s="42">
        <f>DSUM($B$76:$Y$96,R$76,$C$105:$D130)</f>
        <v>2.8378260552694774E-2</v>
      </c>
      <c r="S130" s="42">
        <f>DSUM($B$76:$Y$96,S$76,$C$105:$D130)</f>
        <v>2.2377144823921884E-2</v>
      </c>
      <c r="T130" s="42">
        <f>DSUM($B$76:$Y$96,T$76,$C$105:$D130)</f>
        <v>1.7584543788331856E-2</v>
      </c>
      <c r="U130" s="42">
        <f>DSUM($B$76:$Y$96,U$76,$C$105:$D130)</f>
        <v>1.3821187825122852E-2</v>
      </c>
      <c r="V130" s="42">
        <f>DSUM($B$76:$Y$96,V$76,$C$105:$D130)</f>
        <v>1.0862889292607666E-2</v>
      </c>
      <c r="W130" s="42">
        <f>DSUM($B$76:$Y$96,W$76,$C$105:$D130)</f>
        <v>8.5357712667737014E-3</v>
      </c>
      <c r="X130" s="42">
        <f>DSUM($B$76:$Y$96,X$76,$C$105:$D130)</f>
        <v>6.7357948415141698E-3</v>
      </c>
      <c r="Y130" s="42">
        <f>DSUM($B$76:$Y$96,Y$76,$C$105:$D130)</f>
        <v>4.0220440961110464</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1:79">
      <c r="B131" s="7" t="s">
        <v>352</v>
      </c>
      <c r="C131" s="45" t="s">
        <v>353</v>
      </c>
      <c r="D131" s="45" t="s">
        <v>354</v>
      </c>
      <c r="E131" s="42">
        <f>DSUM($B$76:$Y$96,E$76,$C$105:$D131)</f>
        <v>0.65001987383602045</v>
      </c>
      <c r="F131" s="42">
        <f>DSUM($B$76:$Y$96,F$76,$C$105:$D131)</f>
        <v>0.51032623395536769</v>
      </c>
      <c r="G131" s="42">
        <f>DSUM($B$76:$Y$96,G$76,$C$105:$D131)</f>
        <v>0.40069043062203813</v>
      </c>
      <c r="H131" s="42">
        <f>DSUM($B$76:$Y$96,H$76,$C$105:$D131)</f>
        <v>0.31471872753348212</v>
      </c>
      <c r="I131" s="42">
        <f>DSUM($B$76:$Y$96,I$76,$C$105:$D131)</f>
        <v>0.24814504918810615</v>
      </c>
      <c r="J131" s="42">
        <f>DSUM($B$76:$Y$96,J$76,$C$105:$D131)</f>
        <v>0.19491998057533683</v>
      </c>
      <c r="K131" s="42">
        <f>DSUM($B$76:$Y$96,K$76,$C$105:$D131)</f>
        <v>0.15308738719750134</v>
      </c>
      <c r="L131" s="42">
        <f>DSUM($B$76:$Y$96,L$76,$C$105:$D131)</f>
        <v>0.1202727752084654</v>
      </c>
      <c r="M131" s="42">
        <f>DSUM($B$76:$Y$96,M$76,$C$105:$D131)</f>
        <v>9.4477190659774529E-2</v>
      </c>
      <c r="N131" s="42">
        <f>DSUM($B$76:$Y$96,N$76,$C$105:$D131)</f>
        <v>7.4540355751147855E-2</v>
      </c>
      <c r="O131" s="42">
        <f>DSUM($B$76:$Y$96,O$76,$C$105:$D131)</f>
        <v>5.8555851641832725E-2</v>
      </c>
      <c r="P131" s="42">
        <f>DSUM($B$76:$Y$96,P$76,$C$105:$D131)</f>
        <v>4.5992451439791027E-2</v>
      </c>
      <c r="Q131" s="42">
        <f>DSUM($B$76:$Y$96,Q$76,$C$105:$D131)</f>
        <v>3.6129278005989869E-2</v>
      </c>
      <c r="R131" s="42">
        <f>DSUM($B$76:$Y$96,R$76,$C$105:$D131)</f>
        <v>2.8378260552694774E-2</v>
      </c>
      <c r="S131" s="42">
        <f>DSUM($B$76:$Y$96,S$76,$C$105:$D131)</f>
        <v>2.2377144823921884E-2</v>
      </c>
      <c r="T131" s="42">
        <f>DSUM($B$76:$Y$96,T$76,$C$105:$D131)</f>
        <v>1.7584543788331856E-2</v>
      </c>
      <c r="U131" s="42">
        <f>DSUM($B$76:$Y$96,U$76,$C$105:$D131)</f>
        <v>1.3821187825122852E-2</v>
      </c>
      <c r="V131" s="42">
        <f>DSUM($B$76:$Y$96,V$76,$C$105:$D131)</f>
        <v>1.0862889292607666E-2</v>
      </c>
      <c r="W131" s="42">
        <f>DSUM($B$76:$Y$96,W$76,$C$105:$D131)</f>
        <v>8.5357712667737014E-3</v>
      </c>
      <c r="X131" s="42">
        <f>DSUM($B$76:$Y$96,X$76,$C$105:$D131)</f>
        <v>6.7357948415141698E-3</v>
      </c>
      <c r="Y131" s="42">
        <f>DSUM($B$76:$Y$96,Y$76,$C$105:$D131)</f>
        <v>4.0220440961110464</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1:79">
      <c r="B132" s="7" t="s">
        <v>355</v>
      </c>
      <c r="C132" s="45" t="s">
        <v>356</v>
      </c>
      <c r="D132" s="45" t="s">
        <v>357</v>
      </c>
      <c r="E132" s="42">
        <f>DSUM($B$76:$Y$96,E$76,$C$105:$D132)</f>
        <v>0.65001987383602045</v>
      </c>
      <c r="F132" s="42">
        <f>DSUM($B$76:$Y$96,F$76,$C$105:$D132)</f>
        <v>0.51032623395536769</v>
      </c>
      <c r="G132" s="42">
        <f>DSUM($B$76:$Y$96,G$76,$C$105:$D132)</f>
        <v>0.40069043062203813</v>
      </c>
      <c r="H132" s="42">
        <f>DSUM($B$76:$Y$96,H$76,$C$105:$D132)</f>
        <v>0.31471872753348212</v>
      </c>
      <c r="I132" s="42">
        <f>DSUM($B$76:$Y$96,I$76,$C$105:$D132)</f>
        <v>0.24814504918810615</v>
      </c>
      <c r="J132" s="42">
        <f>DSUM($B$76:$Y$96,J$76,$C$105:$D132)</f>
        <v>0.19491998057533683</v>
      </c>
      <c r="K132" s="42">
        <f>DSUM($B$76:$Y$96,K$76,$C$105:$D132)</f>
        <v>0.15308738719750134</v>
      </c>
      <c r="L132" s="42">
        <f>DSUM($B$76:$Y$96,L$76,$C$105:$D132)</f>
        <v>0.1202727752084654</v>
      </c>
      <c r="M132" s="42">
        <f>DSUM($B$76:$Y$96,M$76,$C$105:$D132)</f>
        <v>9.4477190659774529E-2</v>
      </c>
      <c r="N132" s="42">
        <f>DSUM($B$76:$Y$96,N$76,$C$105:$D132)</f>
        <v>7.4540355751147855E-2</v>
      </c>
      <c r="O132" s="42">
        <f>DSUM($B$76:$Y$96,O$76,$C$105:$D132)</f>
        <v>5.8555851641832725E-2</v>
      </c>
      <c r="P132" s="42">
        <f>DSUM($B$76:$Y$96,P$76,$C$105:$D132)</f>
        <v>4.5992451439791027E-2</v>
      </c>
      <c r="Q132" s="42">
        <f>DSUM($B$76:$Y$96,Q$76,$C$105:$D132)</f>
        <v>3.6129278005989869E-2</v>
      </c>
      <c r="R132" s="42">
        <f>DSUM($B$76:$Y$96,R$76,$C$105:$D132)</f>
        <v>2.8378260552694774E-2</v>
      </c>
      <c r="S132" s="42">
        <f>DSUM($B$76:$Y$96,S$76,$C$105:$D132)</f>
        <v>2.2377144823921884E-2</v>
      </c>
      <c r="T132" s="42">
        <f>DSUM($B$76:$Y$96,T$76,$C$105:$D132)</f>
        <v>1.7584543788331856E-2</v>
      </c>
      <c r="U132" s="42">
        <f>DSUM($B$76:$Y$96,U$76,$C$105:$D132)</f>
        <v>1.3821187825122852E-2</v>
      </c>
      <c r="V132" s="42">
        <f>DSUM($B$76:$Y$96,V$76,$C$105:$D132)</f>
        <v>1.0862889292607666E-2</v>
      </c>
      <c r="W132" s="42">
        <f>DSUM($B$76:$Y$96,W$76,$C$105:$D132)</f>
        <v>8.5357712667737014E-3</v>
      </c>
      <c r="X132" s="42">
        <f>DSUM($B$76:$Y$96,X$76,$C$105:$D132)</f>
        <v>6.7357948415141698E-3</v>
      </c>
      <c r="Y132" s="42">
        <f>DSUM($B$76:$Y$96,Y$76,$C$105:$D132)</f>
        <v>4.0220440961110464</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1:79">
      <c r="B133" s="7" t="s">
        <v>358</v>
      </c>
      <c r="C133" s="45" t="s">
        <v>359</v>
      </c>
      <c r="D133" s="45" t="s">
        <v>360</v>
      </c>
      <c r="E133" s="42">
        <f>DSUM($B$76:$Y$96,E$76,$C$105:$D133)</f>
        <v>0.65001987383602045</v>
      </c>
      <c r="F133" s="42">
        <f>DSUM($B$76:$Y$96,F$76,$C$105:$D133)</f>
        <v>0.51032623395536769</v>
      </c>
      <c r="G133" s="42">
        <f>DSUM($B$76:$Y$96,G$76,$C$105:$D133)</f>
        <v>0.40069043062203813</v>
      </c>
      <c r="H133" s="42">
        <f>DSUM($B$76:$Y$96,H$76,$C$105:$D133)</f>
        <v>0.31471872753348212</v>
      </c>
      <c r="I133" s="42">
        <f>DSUM($B$76:$Y$96,I$76,$C$105:$D133)</f>
        <v>0.24814504918810615</v>
      </c>
      <c r="J133" s="42">
        <f>DSUM($B$76:$Y$96,J$76,$C$105:$D133)</f>
        <v>0.19491998057533683</v>
      </c>
      <c r="K133" s="42">
        <f>DSUM($B$76:$Y$96,K$76,$C$105:$D133)</f>
        <v>0.15308738719750134</v>
      </c>
      <c r="L133" s="42">
        <f>DSUM($B$76:$Y$96,L$76,$C$105:$D133)</f>
        <v>0.1202727752084654</v>
      </c>
      <c r="M133" s="42">
        <f>DSUM($B$76:$Y$96,M$76,$C$105:$D133)</f>
        <v>9.4477190659774529E-2</v>
      </c>
      <c r="N133" s="42">
        <f>DSUM($B$76:$Y$96,N$76,$C$105:$D133)</f>
        <v>7.4540355751147855E-2</v>
      </c>
      <c r="O133" s="42">
        <f>DSUM($B$76:$Y$96,O$76,$C$105:$D133)</f>
        <v>5.8555851641832725E-2</v>
      </c>
      <c r="P133" s="42">
        <f>DSUM($B$76:$Y$96,P$76,$C$105:$D133)</f>
        <v>4.5992451439791027E-2</v>
      </c>
      <c r="Q133" s="42">
        <f>DSUM($B$76:$Y$96,Q$76,$C$105:$D133)</f>
        <v>3.6129278005989869E-2</v>
      </c>
      <c r="R133" s="42">
        <f>DSUM($B$76:$Y$96,R$76,$C$105:$D133)</f>
        <v>2.8378260552694774E-2</v>
      </c>
      <c r="S133" s="42">
        <f>DSUM($B$76:$Y$96,S$76,$C$105:$D133)</f>
        <v>2.2377144823921884E-2</v>
      </c>
      <c r="T133" s="42">
        <f>DSUM($B$76:$Y$96,T$76,$C$105:$D133)</f>
        <v>1.7584543788331856E-2</v>
      </c>
      <c r="U133" s="42">
        <f>DSUM($B$76:$Y$96,U$76,$C$105:$D133)</f>
        <v>1.3821187825122852E-2</v>
      </c>
      <c r="V133" s="42">
        <f>DSUM($B$76:$Y$96,V$76,$C$105:$D133)</f>
        <v>1.0862889292607666E-2</v>
      </c>
      <c r="W133" s="42">
        <f>DSUM($B$76:$Y$96,W$76,$C$105:$D133)</f>
        <v>8.5357712667737014E-3</v>
      </c>
      <c r="X133" s="42">
        <f>DSUM($B$76:$Y$96,X$76,$C$105:$D133)</f>
        <v>6.7357948415141698E-3</v>
      </c>
      <c r="Y133" s="42">
        <f>DSUM($B$76:$Y$96,Y$76,$C$105:$D133)</f>
        <v>4.0220440961110464</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1:79">
      <c r="B134" s="7" t="s">
        <v>361</v>
      </c>
      <c r="C134" s="45" t="s">
        <v>362</v>
      </c>
      <c r="D134" s="45" t="s">
        <v>363</v>
      </c>
      <c r="E134" s="42">
        <f>DSUM($B$76:$Y$96,E$76,$C$105:$D134)</f>
        <v>0.65001987383602045</v>
      </c>
      <c r="F134" s="42">
        <f>DSUM($B$76:$Y$96,F$76,$C$105:$D134)</f>
        <v>0.51032623395536769</v>
      </c>
      <c r="G134" s="42">
        <f>DSUM($B$76:$Y$96,G$76,$C$105:$D134)</f>
        <v>0.40069043062203813</v>
      </c>
      <c r="H134" s="42">
        <f>DSUM($B$76:$Y$96,H$76,$C$105:$D134)</f>
        <v>0.31471872753348212</v>
      </c>
      <c r="I134" s="42">
        <f>DSUM($B$76:$Y$96,I$76,$C$105:$D134)</f>
        <v>0.24814504918810615</v>
      </c>
      <c r="J134" s="42">
        <f>DSUM($B$76:$Y$96,J$76,$C$105:$D134)</f>
        <v>0.19491998057533683</v>
      </c>
      <c r="K134" s="42">
        <f>DSUM($B$76:$Y$96,K$76,$C$105:$D134)</f>
        <v>0.15308738719750134</v>
      </c>
      <c r="L134" s="42">
        <f>DSUM($B$76:$Y$96,L$76,$C$105:$D134)</f>
        <v>0.1202727752084654</v>
      </c>
      <c r="M134" s="42">
        <f>DSUM($B$76:$Y$96,M$76,$C$105:$D134)</f>
        <v>9.4477190659774529E-2</v>
      </c>
      <c r="N134" s="42">
        <f>DSUM($B$76:$Y$96,N$76,$C$105:$D134)</f>
        <v>7.4540355751147855E-2</v>
      </c>
      <c r="O134" s="42">
        <f>DSUM($B$76:$Y$96,O$76,$C$105:$D134)</f>
        <v>5.8555851641832725E-2</v>
      </c>
      <c r="P134" s="42">
        <f>DSUM($B$76:$Y$96,P$76,$C$105:$D134)</f>
        <v>4.5992451439791027E-2</v>
      </c>
      <c r="Q134" s="42">
        <f>DSUM($B$76:$Y$96,Q$76,$C$105:$D134)</f>
        <v>3.6129278005989869E-2</v>
      </c>
      <c r="R134" s="42">
        <f>DSUM($B$76:$Y$96,R$76,$C$105:$D134)</f>
        <v>2.8378260552694774E-2</v>
      </c>
      <c r="S134" s="42">
        <f>DSUM($B$76:$Y$96,S$76,$C$105:$D134)</f>
        <v>2.2377144823921884E-2</v>
      </c>
      <c r="T134" s="42">
        <f>DSUM($B$76:$Y$96,T$76,$C$105:$D134)</f>
        <v>1.7584543788331856E-2</v>
      </c>
      <c r="U134" s="42">
        <f>DSUM($B$76:$Y$96,U$76,$C$105:$D134)</f>
        <v>1.3821187825122852E-2</v>
      </c>
      <c r="V134" s="42">
        <f>DSUM($B$76:$Y$96,V$76,$C$105:$D134)</f>
        <v>1.0862889292607666E-2</v>
      </c>
      <c r="W134" s="42">
        <f>DSUM($B$76:$Y$96,W$76,$C$105:$D134)</f>
        <v>8.5357712667737014E-3</v>
      </c>
      <c r="X134" s="42">
        <f>DSUM($B$76:$Y$96,X$76,$C$105:$D134)</f>
        <v>6.7357948415141698E-3</v>
      </c>
      <c r="Y134" s="42">
        <f>DSUM($B$76:$Y$96,Y$76,$C$105:$D134)</f>
        <v>4.0220440961110464</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1:79">
      <c r="B135" s="7" t="s">
        <v>364</v>
      </c>
      <c r="C135" s="45" t="s">
        <v>365</v>
      </c>
      <c r="D135" s="45" t="s">
        <v>366</v>
      </c>
      <c r="E135" s="42">
        <f>DSUM($B$76:$Y$96,E$76,$C$105:$D135)</f>
        <v>0.65001987383602045</v>
      </c>
      <c r="F135" s="42">
        <f>DSUM($B$76:$Y$96,F$76,$C$105:$D135)</f>
        <v>0.51032623395536769</v>
      </c>
      <c r="G135" s="42">
        <f>DSUM($B$76:$Y$96,G$76,$C$105:$D135)</f>
        <v>0.40069043062203813</v>
      </c>
      <c r="H135" s="42">
        <f>DSUM($B$76:$Y$96,H$76,$C$105:$D135)</f>
        <v>0.31471872753348212</v>
      </c>
      <c r="I135" s="42">
        <f>DSUM($B$76:$Y$96,I$76,$C$105:$D135)</f>
        <v>0.24814504918810615</v>
      </c>
      <c r="J135" s="42">
        <f>DSUM($B$76:$Y$96,J$76,$C$105:$D135)</f>
        <v>0.19491998057533683</v>
      </c>
      <c r="K135" s="42">
        <f>DSUM($B$76:$Y$96,K$76,$C$105:$D135)</f>
        <v>0.15308738719750134</v>
      </c>
      <c r="L135" s="42">
        <f>DSUM($B$76:$Y$96,L$76,$C$105:$D135)</f>
        <v>0.1202727752084654</v>
      </c>
      <c r="M135" s="42">
        <f>DSUM($B$76:$Y$96,M$76,$C$105:$D135)</f>
        <v>9.4477190659774529E-2</v>
      </c>
      <c r="N135" s="42">
        <f>DSUM($B$76:$Y$96,N$76,$C$105:$D135)</f>
        <v>7.4540355751147855E-2</v>
      </c>
      <c r="O135" s="42">
        <f>DSUM($B$76:$Y$96,O$76,$C$105:$D135)</f>
        <v>5.8555851641832725E-2</v>
      </c>
      <c r="P135" s="42">
        <f>DSUM($B$76:$Y$96,P$76,$C$105:$D135)</f>
        <v>4.5992451439791027E-2</v>
      </c>
      <c r="Q135" s="42">
        <f>DSUM($B$76:$Y$96,Q$76,$C$105:$D135)</f>
        <v>3.6129278005989869E-2</v>
      </c>
      <c r="R135" s="42">
        <f>DSUM($B$76:$Y$96,R$76,$C$105:$D135)</f>
        <v>2.8378260552694774E-2</v>
      </c>
      <c r="S135" s="42">
        <f>DSUM($B$76:$Y$96,S$76,$C$105:$D135)</f>
        <v>2.2377144823921884E-2</v>
      </c>
      <c r="T135" s="42">
        <f>DSUM($B$76:$Y$96,T$76,$C$105:$D135)</f>
        <v>1.7584543788331856E-2</v>
      </c>
      <c r="U135" s="42">
        <f>DSUM($B$76:$Y$96,U$76,$C$105:$D135)</f>
        <v>1.3821187825122852E-2</v>
      </c>
      <c r="V135" s="42">
        <f>DSUM($B$76:$Y$96,V$76,$C$105:$D135)</f>
        <v>1.0862889292607666E-2</v>
      </c>
      <c r="W135" s="42">
        <f>DSUM($B$76:$Y$96,W$76,$C$105:$D135)</f>
        <v>8.5357712667737014E-3</v>
      </c>
      <c r="X135" s="42">
        <f>DSUM($B$76:$Y$96,X$76,$C$105:$D135)</f>
        <v>6.7357948415141698E-3</v>
      </c>
      <c r="Y135" s="42">
        <f>DSUM($B$76:$Y$96,Y$76,$C$105:$D135)</f>
        <v>4.0220440961110464</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1:79">
      <c r="B136" s="7" t="s">
        <v>367</v>
      </c>
      <c r="C136" s="45" t="s">
        <v>368</v>
      </c>
      <c r="D136" s="45" t="s">
        <v>369</v>
      </c>
      <c r="E136" s="42">
        <f>DSUM($B$76:$Y$96,E$76,$C$105:$D136)</f>
        <v>0.65001987383602045</v>
      </c>
      <c r="F136" s="42">
        <f>DSUM($B$76:$Y$96,F$76,$C$105:$D136)</f>
        <v>0.51032623395536769</v>
      </c>
      <c r="G136" s="42">
        <f>DSUM($B$76:$Y$96,G$76,$C$105:$D136)</f>
        <v>0.40069043062203813</v>
      </c>
      <c r="H136" s="42">
        <f>DSUM($B$76:$Y$96,H$76,$C$105:$D136)</f>
        <v>0.31471872753348212</v>
      </c>
      <c r="I136" s="42">
        <f>DSUM($B$76:$Y$96,I$76,$C$105:$D136)</f>
        <v>0.24814504918810615</v>
      </c>
      <c r="J136" s="42">
        <f>DSUM($B$76:$Y$96,J$76,$C$105:$D136)</f>
        <v>0.19491998057533683</v>
      </c>
      <c r="K136" s="42">
        <f>DSUM($B$76:$Y$96,K$76,$C$105:$D136)</f>
        <v>0.15308738719750134</v>
      </c>
      <c r="L136" s="42">
        <f>DSUM($B$76:$Y$96,L$76,$C$105:$D136)</f>
        <v>0.1202727752084654</v>
      </c>
      <c r="M136" s="42">
        <f>DSUM($B$76:$Y$96,M$76,$C$105:$D136)</f>
        <v>9.4477190659774529E-2</v>
      </c>
      <c r="N136" s="42">
        <f>DSUM($B$76:$Y$96,N$76,$C$105:$D136)</f>
        <v>7.4540355751147855E-2</v>
      </c>
      <c r="O136" s="42">
        <f>DSUM($B$76:$Y$96,O$76,$C$105:$D136)</f>
        <v>5.8555851641832725E-2</v>
      </c>
      <c r="P136" s="42">
        <f>DSUM($B$76:$Y$96,P$76,$C$105:$D136)</f>
        <v>4.5992451439791027E-2</v>
      </c>
      <c r="Q136" s="42">
        <f>DSUM($B$76:$Y$96,Q$76,$C$105:$D136)</f>
        <v>3.6129278005989869E-2</v>
      </c>
      <c r="R136" s="42">
        <f>DSUM($B$76:$Y$96,R$76,$C$105:$D136)</f>
        <v>2.8378260552694774E-2</v>
      </c>
      <c r="S136" s="42">
        <f>DSUM($B$76:$Y$96,S$76,$C$105:$D136)</f>
        <v>2.2377144823921884E-2</v>
      </c>
      <c r="T136" s="42">
        <f>DSUM($B$76:$Y$96,T$76,$C$105:$D136)</f>
        <v>1.7584543788331856E-2</v>
      </c>
      <c r="U136" s="42">
        <f>DSUM($B$76:$Y$96,U$76,$C$105:$D136)</f>
        <v>1.3821187825122852E-2</v>
      </c>
      <c r="V136" s="42">
        <f>DSUM($B$76:$Y$96,V$76,$C$105:$D136)</f>
        <v>1.0862889292607666E-2</v>
      </c>
      <c r="W136" s="42">
        <f>DSUM($B$76:$Y$96,W$76,$C$105:$D136)</f>
        <v>8.5357712667737014E-3</v>
      </c>
      <c r="X136" s="42">
        <f>DSUM($B$76:$Y$96,X$76,$C$105:$D136)</f>
        <v>6.7357948415141698E-3</v>
      </c>
      <c r="Y136" s="42">
        <f>DSUM($B$76:$Y$96,Y$76,$C$105:$D136)</f>
        <v>4.0220440961110464</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1:79">
      <c r="B137" s="7" t="s">
        <v>370</v>
      </c>
      <c r="C137" s="45" t="s">
        <v>371</v>
      </c>
      <c r="D137" s="45" t="s">
        <v>104</v>
      </c>
      <c r="E137" s="42">
        <f>DSUM($B$76:$Y$96,E$76,$C$105:$D137)</f>
        <v>0.65001987383602045</v>
      </c>
      <c r="F137" s="42">
        <f>DSUM($B$76:$Y$96,F$76,$C$105:$D137)</f>
        <v>0.51032623395536769</v>
      </c>
      <c r="G137" s="42">
        <f>DSUM($B$76:$Y$96,G$76,$C$105:$D137)</f>
        <v>0.40069043062203813</v>
      </c>
      <c r="H137" s="42">
        <f>DSUM($B$76:$Y$96,H$76,$C$105:$D137)</f>
        <v>0.31471872753348212</v>
      </c>
      <c r="I137" s="42">
        <f>DSUM($B$76:$Y$96,I$76,$C$105:$D137)</f>
        <v>0.24814504918810615</v>
      </c>
      <c r="J137" s="42">
        <f>DSUM($B$76:$Y$96,J$76,$C$105:$D137)</f>
        <v>0.19491998057533683</v>
      </c>
      <c r="K137" s="42">
        <f>DSUM($B$76:$Y$96,K$76,$C$105:$D137)</f>
        <v>0.15308738719750134</v>
      </c>
      <c r="L137" s="42">
        <f>DSUM($B$76:$Y$96,L$76,$C$105:$D137)</f>
        <v>0.1202727752084654</v>
      </c>
      <c r="M137" s="42">
        <f>DSUM($B$76:$Y$96,M$76,$C$105:$D137)</f>
        <v>9.4477190659774529E-2</v>
      </c>
      <c r="N137" s="42">
        <f>DSUM($B$76:$Y$96,N$76,$C$105:$D137)</f>
        <v>7.4540355751147855E-2</v>
      </c>
      <c r="O137" s="42">
        <f>DSUM($B$76:$Y$96,O$76,$C$105:$D137)</f>
        <v>5.8555851641832725E-2</v>
      </c>
      <c r="P137" s="42">
        <f>DSUM($B$76:$Y$96,P$76,$C$105:$D137)</f>
        <v>4.5992451439791027E-2</v>
      </c>
      <c r="Q137" s="42">
        <f>DSUM($B$76:$Y$96,Q$76,$C$105:$D137)</f>
        <v>3.6129278005989869E-2</v>
      </c>
      <c r="R137" s="42">
        <f>DSUM($B$76:$Y$96,R$76,$C$105:$D137)</f>
        <v>2.8378260552694774E-2</v>
      </c>
      <c r="S137" s="42">
        <f>DSUM($B$76:$Y$96,S$76,$C$105:$D137)</f>
        <v>2.2377144823921884E-2</v>
      </c>
      <c r="T137" s="42">
        <f>DSUM($B$76:$Y$96,T$76,$C$105:$D137)</f>
        <v>1.7584543788331856E-2</v>
      </c>
      <c r="U137" s="42">
        <f>DSUM($B$76:$Y$96,U$76,$C$105:$D137)</f>
        <v>1.3821187825122852E-2</v>
      </c>
      <c r="V137" s="42">
        <f>DSUM($B$76:$Y$96,V$76,$C$105:$D137)</f>
        <v>1.0862889292607666E-2</v>
      </c>
      <c r="W137" s="42">
        <f>DSUM($B$76:$Y$96,W$76,$C$105:$D137)</f>
        <v>8.5357712667737014E-3</v>
      </c>
      <c r="X137" s="42">
        <f>DSUM($B$76:$Y$96,X$76,$C$105:$D137)</f>
        <v>6.7357948415141698E-3</v>
      </c>
      <c r="Y137" s="42">
        <f>DSUM($B$76:$Y$96,Y$76,$C$105:$D137)</f>
        <v>4.0220440961110464</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1:79">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1:79">
      <c r="E139" s="26">
        <f>E137</f>
        <v>0.65001987383602045</v>
      </c>
      <c r="F139" s="26">
        <f>F137+E139</f>
        <v>1.1603461077913881</v>
      </c>
      <c r="G139" s="26">
        <f t="shared" ref="G139:X139" si="59">G137+F139</f>
        <v>1.5610365384134264</v>
      </c>
      <c r="H139" s="26">
        <f t="shared" si="59"/>
        <v>1.8757552659469086</v>
      </c>
      <c r="I139" s="26">
        <f t="shared" si="59"/>
        <v>2.1239003151350149</v>
      </c>
      <c r="J139" s="26">
        <f t="shared" si="59"/>
        <v>2.3188202957103519</v>
      </c>
      <c r="K139" s="26">
        <f t="shared" si="59"/>
        <v>2.4719076829078532</v>
      </c>
      <c r="L139" s="26">
        <f t="shared" si="59"/>
        <v>2.5921804581163186</v>
      </c>
      <c r="M139" s="26">
        <f t="shared" si="59"/>
        <v>2.6866576487760931</v>
      </c>
      <c r="N139" s="26">
        <f t="shared" si="59"/>
        <v>2.7611980045272411</v>
      </c>
      <c r="O139" s="26">
        <f t="shared" si="59"/>
        <v>2.8197538561690738</v>
      </c>
      <c r="P139" s="26">
        <f t="shared" si="59"/>
        <v>2.8657463076088647</v>
      </c>
      <c r="Q139" s="26">
        <f t="shared" si="59"/>
        <v>2.9018755856148548</v>
      </c>
      <c r="R139" s="26">
        <f t="shared" si="59"/>
        <v>2.9302538461675498</v>
      </c>
      <c r="S139" s="26">
        <f t="shared" si="59"/>
        <v>2.9526309909914716</v>
      </c>
      <c r="T139" s="26">
        <f t="shared" si="59"/>
        <v>2.9702155347798036</v>
      </c>
      <c r="U139" s="26">
        <f t="shared" si="59"/>
        <v>2.9840367226049263</v>
      </c>
      <c r="V139" s="26">
        <f t="shared" si="59"/>
        <v>2.9948996118975337</v>
      </c>
      <c r="W139" s="26">
        <f t="shared" si="59"/>
        <v>3.0034353831643075</v>
      </c>
      <c r="X139" s="26">
        <f t="shared" si="59"/>
        <v>3.0101711780058218</v>
      </c>
      <c r="Y139" s="26"/>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1:79" ht="15">
      <c r="A140" s="50" t="s">
        <v>105</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1:79" ht="15">
      <c r="D141" s="58" t="str">
        <f>C22</f>
        <v>Lighting - Retro</v>
      </c>
      <c r="E141" s="52">
        <f t="shared" ref="E141:X141" si="60">E11</f>
        <v>2016</v>
      </c>
      <c r="F141" s="53">
        <f t="shared" si="60"/>
        <v>2017</v>
      </c>
      <c r="G141" s="53">
        <f t="shared" si="60"/>
        <v>2018</v>
      </c>
      <c r="H141" s="53">
        <f t="shared" si="60"/>
        <v>2019</v>
      </c>
      <c r="I141" s="53">
        <f t="shared" si="60"/>
        <v>2020</v>
      </c>
      <c r="J141" s="53">
        <f t="shared" si="60"/>
        <v>2021</v>
      </c>
      <c r="K141" s="53">
        <f t="shared" si="60"/>
        <v>2022</v>
      </c>
      <c r="L141" s="53">
        <f t="shared" si="60"/>
        <v>2023</v>
      </c>
      <c r="M141" s="53">
        <f t="shared" si="60"/>
        <v>2024</v>
      </c>
      <c r="N141" s="53">
        <f t="shared" si="60"/>
        <v>2025</v>
      </c>
      <c r="O141" s="53">
        <f t="shared" si="60"/>
        <v>2026</v>
      </c>
      <c r="P141" s="53">
        <f t="shared" si="60"/>
        <v>2027</v>
      </c>
      <c r="Q141" s="53">
        <f t="shared" si="60"/>
        <v>2028</v>
      </c>
      <c r="R141" s="53">
        <f t="shared" si="60"/>
        <v>2029</v>
      </c>
      <c r="S141" s="53">
        <f t="shared" si="60"/>
        <v>2030</v>
      </c>
      <c r="T141" s="53">
        <f t="shared" si="60"/>
        <v>2031</v>
      </c>
      <c r="U141" s="53">
        <f t="shared" si="60"/>
        <v>2032</v>
      </c>
      <c r="V141" s="53">
        <f t="shared" si="60"/>
        <v>2033</v>
      </c>
      <c r="W141" s="53">
        <f t="shared" si="60"/>
        <v>2034</v>
      </c>
      <c r="X141" s="53">
        <f t="shared" si="60"/>
        <v>2035</v>
      </c>
      <c r="Y141" s="54" t="s">
        <v>32</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1:79" ht="15">
      <c r="E142" s="55" t="str">
        <f t="shared" ref="E142:X142" si="61">CONCATENATE("Units_",E$11)</f>
        <v>Units_2016</v>
      </c>
      <c r="F142" s="56" t="str">
        <f t="shared" si="61"/>
        <v>Units_2017</v>
      </c>
      <c r="G142" s="56" t="str">
        <f t="shared" si="61"/>
        <v>Units_2018</v>
      </c>
      <c r="H142" s="56" t="str">
        <f t="shared" si="61"/>
        <v>Units_2019</v>
      </c>
      <c r="I142" s="56" t="str">
        <f t="shared" si="61"/>
        <v>Units_2020</v>
      </c>
      <c r="J142" s="56" t="str">
        <f t="shared" si="61"/>
        <v>Units_2021</v>
      </c>
      <c r="K142" s="56" t="str">
        <f t="shared" si="61"/>
        <v>Units_2022</v>
      </c>
      <c r="L142" s="56" t="str">
        <f t="shared" si="61"/>
        <v>Units_2023</v>
      </c>
      <c r="M142" s="56" t="str">
        <f t="shared" si="61"/>
        <v>Units_2024</v>
      </c>
      <c r="N142" s="56" t="str">
        <f t="shared" si="61"/>
        <v>Units_2025</v>
      </c>
      <c r="O142" s="56" t="str">
        <f t="shared" si="61"/>
        <v>Units_2026</v>
      </c>
      <c r="P142" s="56" t="str">
        <f t="shared" si="61"/>
        <v>Units_2027</v>
      </c>
      <c r="Q142" s="56" t="str">
        <f t="shared" si="61"/>
        <v>Units_2028</v>
      </c>
      <c r="R142" s="56" t="str">
        <f t="shared" si="61"/>
        <v>Units_2029</v>
      </c>
      <c r="S142" s="56" t="str">
        <f t="shared" si="61"/>
        <v>Units_2030</v>
      </c>
      <c r="T142" s="56" t="str">
        <f t="shared" si="61"/>
        <v>Units_2031</v>
      </c>
      <c r="U142" s="56" t="str">
        <f t="shared" si="61"/>
        <v>Units_2032</v>
      </c>
      <c r="V142" s="56" t="str">
        <f t="shared" si="61"/>
        <v>Units_2033</v>
      </c>
      <c r="W142" s="56" t="str">
        <f t="shared" si="61"/>
        <v>Units_2034</v>
      </c>
      <c r="X142" s="56" t="str">
        <f t="shared" si="61"/>
        <v>Units_2035</v>
      </c>
      <c r="Y142" s="57" t="s">
        <v>32</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1:79">
      <c r="D143" s="7" t="s">
        <v>39</v>
      </c>
      <c r="E143" s="46">
        <f>E106</f>
        <v>0.65001987383602045</v>
      </c>
      <c r="F143" s="46">
        <f t="shared" ref="F143:Y143" si="62">F106</f>
        <v>0.51032623395536769</v>
      </c>
      <c r="G143" s="46">
        <f t="shared" si="62"/>
        <v>0.40069043062203813</v>
      </c>
      <c r="H143" s="46">
        <f t="shared" si="62"/>
        <v>0.31471872753348212</v>
      </c>
      <c r="I143" s="46">
        <f t="shared" si="62"/>
        <v>0.24814504918810615</v>
      </c>
      <c r="J143" s="46">
        <f t="shared" si="62"/>
        <v>0.19491998057533683</v>
      </c>
      <c r="K143" s="46">
        <f t="shared" si="62"/>
        <v>0.15308738719750134</v>
      </c>
      <c r="L143" s="46">
        <f t="shared" si="62"/>
        <v>0.1202727752084654</v>
      </c>
      <c r="M143" s="46">
        <f t="shared" si="62"/>
        <v>9.4477190659774529E-2</v>
      </c>
      <c r="N143" s="46">
        <f t="shared" si="62"/>
        <v>7.4540355751147855E-2</v>
      </c>
      <c r="O143" s="46">
        <f t="shared" si="62"/>
        <v>5.8555851641832725E-2</v>
      </c>
      <c r="P143" s="46">
        <f t="shared" si="62"/>
        <v>4.5992451439791027E-2</v>
      </c>
      <c r="Q143" s="46">
        <f t="shared" si="62"/>
        <v>3.6129278005989869E-2</v>
      </c>
      <c r="R143" s="46">
        <f t="shared" si="62"/>
        <v>2.8378260552694774E-2</v>
      </c>
      <c r="S143" s="46">
        <f t="shared" si="62"/>
        <v>2.2377144823921884E-2</v>
      </c>
      <c r="T143" s="46">
        <f t="shared" si="62"/>
        <v>1.7584543788331856E-2</v>
      </c>
      <c r="U143" s="46">
        <f t="shared" si="62"/>
        <v>1.3821187825122852E-2</v>
      </c>
      <c r="V143" s="46">
        <f t="shared" si="62"/>
        <v>1.0862889292607666E-2</v>
      </c>
      <c r="W143" s="46">
        <f t="shared" si="62"/>
        <v>8.5357712667737014E-3</v>
      </c>
      <c r="X143" s="46">
        <f t="shared" si="62"/>
        <v>6.7357948415141698E-3</v>
      </c>
      <c r="Y143" s="46">
        <f t="shared" si="62"/>
        <v>4.0220440961110464</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1:79">
      <c r="D144" s="7" t="s">
        <v>42</v>
      </c>
      <c r="E144" s="46">
        <f>E107-E106</f>
        <v>0</v>
      </c>
      <c r="F144" s="46">
        <f>F107-F106</f>
        <v>0</v>
      </c>
      <c r="G144" s="46">
        <f t="shared" ref="G144:X157" si="63">G107-G106</f>
        <v>0</v>
      </c>
      <c r="H144" s="46">
        <f t="shared" si="63"/>
        <v>0</v>
      </c>
      <c r="I144" s="46">
        <f t="shared" si="63"/>
        <v>0</v>
      </c>
      <c r="J144" s="46">
        <f t="shared" si="63"/>
        <v>0</v>
      </c>
      <c r="K144" s="46">
        <f t="shared" si="63"/>
        <v>0</v>
      </c>
      <c r="L144" s="46">
        <f t="shared" si="63"/>
        <v>0</v>
      </c>
      <c r="M144" s="46">
        <f t="shared" si="63"/>
        <v>0</v>
      </c>
      <c r="N144" s="46">
        <f>N107-N106</f>
        <v>0</v>
      </c>
      <c r="O144" s="46">
        <f t="shared" si="63"/>
        <v>0</v>
      </c>
      <c r="P144" s="46">
        <f t="shared" si="63"/>
        <v>0</v>
      </c>
      <c r="Q144" s="46">
        <f t="shared" si="63"/>
        <v>0</v>
      </c>
      <c r="R144" s="46">
        <f t="shared" si="63"/>
        <v>0</v>
      </c>
      <c r="S144" s="46">
        <f t="shared" si="63"/>
        <v>0</v>
      </c>
      <c r="T144" s="46">
        <f t="shared" si="63"/>
        <v>0</v>
      </c>
      <c r="U144" s="46">
        <f t="shared" si="63"/>
        <v>0</v>
      </c>
      <c r="V144" s="46">
        <f t="shared" si="63"/>
        <v>0</v>
      </c>
      <c r="W144" s="46">
        <f t="shared" si="63"/>
        <v>0</v>
      </c>
      <c r="X144" s="46">
        <f t="shared" si="63"/>
        <v>0</v>
      </c>
      <c r="Y144" s="46">
        <f t="shared" ref="Y144" si="64">Y107-Y106</f>
        <v>0</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c r="D145" s="7" t="s">
        <v>45</v>
      </c>
      <c r="E145" s="46">
        <f t="shared" ref="E145:T160" si="65">E108-E107</f>
        <v>0</v>
      </c>
      <c r="F145" s="46">
        <f t="shared" si="65"/>
        <v>0</v>
      </c>
      <c r="G145" s="46">
        <f t="shared" si="63"/>
        <v>0</v>
      </c>
      <c r="H145" s="46">
        <f t="shared" si="63"/>
        <v>0</v>
      </c>
      <c r="I145" s="46">
        <f t="shared" si="63"/>
        <v>0</v>
      </c>
      <c r="J145" s="46">
        <f t="shared" si="63"/>
        <v>0</v>
      </c>
      <c r="K145" s="46">
        <f t="shared" si="63"/>
        <v>0</v>
      </c>
      <c r="L145" s="46">
        <f t="shared" si="63"/>
        <v>0</v>
      </c>
      <c r="M145" s="46">
        <f t="shared" si="63"/>
        <v>0</v>
      </c>
      <c r="N145" s="46">
        <f t="shared" si="63"/>
        <v>0</v>
      </c>
      <c r="O145" s="46">
        <f t="shared" si="63"/>
        <v>0</v>
      </c>
      <c r="P145" s="46">
        <f t="shared" si="63"/>
        <v>0</v>
      </c>
      <c r="Q145" s="46">
        <f t="shared" si="63"/>
        <v>0</v>
      </c>
      <c r="R145" s="46">
        <f t="shared" si="63"/>
        <v>0</v>
      </c>
      <c r="S145" s="46">
        <f t="shared" si="63"/>
        <v>0</v>
      </c>
      <c r="T145" s="46">
        <f t="shared" si="63"/>
        <v>0</v>
      </c>
      <c r="U145" s="46">
        <f t="shared" si="63"/>
        <v>0</v>
      </c>
      <c r="V145" s="46">
        <f t="shared" si="63"/>
        <v>0</v>
      </c>
      <c r="W145" s="46">
        <f t="shared" si="63"/>
        <v>0</v>
      </c>
      <c r="X145" s="46">
        <f t="shared" si="63"/>
        <v>0</v>
      </c>
      <c r="Y145" s="46">
        <f t="shared" ref="Y145" si="66">Y108-Y107</f>
        <v>0</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D146" s="7" t="s">
        <v>48</v>
      </c>
      <c r="E146" s="46">
        <f t="shared" si="65"/>
        <v>0</v>
      </c>
      <c r="F146" s="46">
        <f t="shared" si="65"/>
        <v>0</v>
      </c>
      <c r="G146" s="46">
        <f t="shared" si="63"/>
        <v>0</v>
      </c>
      <c r="H146" s="46">
        <f t="shared" si="63"/>
        <v>0</v>
      </c>
      <c r="I146" s="46">
        <f t="shared" si="63"/>
        <v>0</v>
      </c>
      <c r="J146" s="46">
        <f t="shared" si="63"/>
        <v>0</v>
      </c>
      <c r="K146" s="46">
        <f t="shared" si="63"/>
        <v>0</v>
      </c>
      <c r="L146" s="46">
        <f t="shared" si="63"/>
        <v>0</v>
      </c>
      <c r="M146" s="46">
        <f t="shared" si="63"/>
        <v>0</v>
      </c>
      <c r="N146" s="46">
        <f t="shared" si="63"/>
        <v>0</v>
      </c>
      <c r="O146" s="46">
        <f t="shared" si="63"/>
        <v>0</v>
      </c>
      <c r="P146" s="46">
        <f t="shared" si="63"/>
        <v>0</v>
      </c>
      <c r="Q146" s="46">
        <f t="shared" si="63"/>
        <v>0</v>
      </c>
      <c r="R146" s="46">
        <f t="shared" si="63"/>
        <v>0</v>
      </c>
      <c r="S146" s="46">
        <f t="shared" si="63"/>
        <v>0</v>
      </c>
      <c r="T146" s="46">
        <f t="shared" si="63"/>
        <v>0</v>
      </c>
      <c r="U146" s="46">
        <f t="shared" si="63"/>
        <v>0</v>
      </c>
      <c r="V146" s="46">
        <f t="shared" si="63"/>
        <v>0</v>
      </c>
      <c r="W146" s="46">
        <f t="shared" si="63"/>
        <v>0</v>
      </c>
      <c r="X146" s="46">
        <f t="shared" si="63"/>
        <v>0</v>
      </c>
      <c r="Y146" s="46">
        <f t="shared" ref="Y146" si="67">Y109-Y108</f>
        <v>0</v>
      </c>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D147" s="7" t="s">
        <v>51</v>
      </c>
      <c r="E147" s="46">
        <f t="shared" si="65"/>
        <v>0</v>
      </c>
      <c r="F147" s="46">
        <f t="shared" si="65"/>
        <v>0</v>
      </c>
      <c r="G147" s="46">
        <f t="shared" si="63"/>
        <v>0</v>
      </c>
      <c r="H147" s="46">
        <f t="shared" si="63"/>
        <v>0</v>
      </c>
      <c r="I147" s="46">
        <f t="shared" si="63"/>
        <v>0</v>
      </c>
      <c r="J147" s="46">
        <f t="shared" si="63"/>
        <v>0</v>
      </c>
      <c r="K147" s="46">
        <f t="shared" si="63"/>
        <v>0</v>
      </c>
      <c r="L147" s="46">
        <f t="shared" si="63"/>
        <v>0</v>
      </c>
      <c r="M147" s="46">
        <f t="shared" si="63"/>
        <v>0</v>
      </c>
      <c r="N147" s="46">
        <f t="shared" si="63"/>
        <v>0</v>
      </c>
      <c r="O147" s="46">
        <f t="shared" si="63"/>
        <v>0</v>
      </c>
      <c r="P147" s="46">
        <f t="shared" si="63"/>
        <v>0</v>
      </c>
      <c r="Q147" s="46">
        <f t="shared" si="63"/>
        <v>0</v>
      </c>
      <c r="R147" s="46">
        <f t="shared" si="63"/>
        <v>0</v>
      </c>
      <c r="S147" s="46">
        <f t="shared" si="63"/>
        <v>0</v>
      </c>
      <c r="T147" s="46">
        <f t="shared" si="63"/>
        <v>0</v>
      </c>
      <c r="U147" s="46">
        <f t="shared" si="63"/>
        <v>0</v>
      </c>
      <c r="V147" s="46">
        <f t="shared" si="63"/>
        <v>0</v>
      </c>
      <c r="W147" s="46">
        <f t="shared" si="63"/>
        <v>0</v>
      </c>
      <c r="X147" s="46">
        <f t="shared" si="63"/>
        <v>0</v>
      </c>
      <c r="Y147" s="46">
        <f t="shared" ref="Y147" si="68">Y110-Y109</f>
        <v>0</v>
      </c>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D148" s="7" t="s">
        <v>54</v>
      </c>
      <c r="E148" s="46">
        <f t="shared" si="65"/>
        <v>0</v>
      </c>
      <c r="F148" s="46">
        <f t="shared" si="65"/>
        <v>0</v>
      </c>
      <c r="G148" s="46">
        <f t="shared" si="63"/>
        <v>0</v>
      </c>
      <c r="H148" s="46">
        <f t="shared" si="63"/>
        <v>0</v>
      </c>
      <c r="I148" s="46">
        <f t="shared" si="63"/>
        <v>0</v>
      </c>
      <c r="J148" s="46">
        <f t="shared" si="63"/>
        <v>0</v>
      </c>
      <c r="K148" s="46">
        <f t="shared" si="63"/>
        <v>0</v>
      </c>
      <c r="L148" s="46">
        <f t="shared" si="63"/>
        <v>0</v>
      </c>
      <c r="M148" s="46">
        <f t="shared" si="63"/>
        <v>0</v>
      </c>
      <c r="N148" s="46">
        <f t="shared" si="63"/>
        <v>0</v>
      </c>
      <c r="O148" s="46">
        <f t="shared" si="63"/>
        <v>0</v>
      </c>
      <c r="P148" s="46">
        <f t="shared" si="63"/>
        <v>0</v>
      </c>
      <c r="Q148" s="46">
        <f t="shared" si="63"/>
        <v>0</v>
      </c>
      <c r="R148" s="46">
        <f t="shared" si="63"/>
        <v>0</v>
      </c>
      <c r="S148" s="46">
        <f t="shared" si="63"/>
        <v>0</v>
      </c>
      <c r="T148" s="46">
        <f t="shared" si="63"/>
        <v>0</v>
      </c>
      <c r="U148" s="46">
        <f t="shared" si="63"/>
        <v>0</v>
      </c>
      <c r="V148" s="46">
        <f t="shared" si="63"/>
        <v>0</v>
      </c>
      <c r="W148" s="46">
        <f t="shared" si="63"/>
        <v>0</v>
      </c>
      <c r="X148" s="46">
        <f t="shared" si="63"/>
        <v>0</v>
      </c>
      <c r="Y148" s="46">
        <f t="shared" ref="Y148" si="69">Y111-Y110</f>
        <v>0</v>
      </c>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 r="D149" s="7" t="s">
        <v>57</v>
      </c>
      <c r="E149" s="46">
        <f t="shared" si="65"/>
        <v>0</v>
      </c>
      <c r="F149" s="46">
        <f t="shared" si="65"/>
        <v>0</v>
      </c>
      <c r="G149" s="46">
        <f t="shared" si="63"/>
        <v>0</v>
      </c>
      <c r="H149" s="46">
        <f t="shared" si="63"/>
        <v>0</v>
      </c>
      <c r="I149" s="46">
        <f t="shared" si="63"/>
        <v>0</v>
      </c>
      <c r="J149" s="46">
        <f t="shared" si="63"/>
        <v>0</v>
      </c>
      <c r="K149" s="46">
        <f t="shared" si="63"/>
        <v>0</v>
      </c>
      <c r="L149" s="46">
        <f t="shared" si="63"/>
        <v>0</v>
      </c>
      <c r="M149" s="46">
        <f t="shared" si="63"/>
        <v>0</v>
      </c>
      <c r="N149" s="46">
        <f t="shared" si="63"/>
        <v>0</v>
      </c>
      <c r="O149" s="46">
        <f t="shared" si="63"/>
        <v>0</v>
      </c>
      <c r="P149" s="46">
        <f t="shared" si="63"/>
        <v>0</v>
      </c>
      <c r="Q149" s="46">
        <f t="shared" si="63"/>
        <v>0</v>
      </c>
      <c r="R149" s="46">
        <f t="shared" si="63"/>
        <v>0</v>
      </c>
      <c r="S149" s="46">
        <f t="shared" si="63"/>
        <v>0</v>
      </c>
      <c r="T149" s="46">
        <f t="shared" si="63"/>
        <v>0</v>
      </c>
      <c r="U149" s="46">
        <f t="shared" si="63"/>
        <v>0</v>
      </c>
      <c r="V149" s="46">
        <f t="shared" si="63"/>
        <v>0</v>
      </c>
      <c r="W149" s="46">
        <f t="shared" si="63"/>
        <v>0</v>
      </c>
      <c r="X149" s="46">
        <f t="shared" si="63"/>
        <v>0</v>
      </c>
      <c r="Y149" s="46">
        <f t="shared" ref="Y149" si="70">Y112-Y111</f>
        <v>0</v>
      </c>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4:79">
      <c r="D150" s="7" t="s">
        <v>60</v>
      </c>
      <c r="E150" s="46">
        <f t="shared" si="65"/>
        <v>0</v>
      </c>
      <c r="F150" s="46">
        <f t="shared" si="65"/>
        <v>0</v>
      </c>
      <c r="G150" s="46">
        <f t="shared" si="63"/>
        <v>0</v>
      </c>
      <c r="H150" s="46">
        <f t="shared" si="63"/>
        <v>0</v>
      </c>
      <c r="I150" s="46">
        <f t="shared" si="63"/>
        <v>0</v>
      </c>
      <c r="J150" s="46">
        <f t="shared" si="63"/>
        <v>0</v>
      </c>
      <c r="K150" s="46">
        <f t="shared" si="63"/>
        <v>0</v>
      </c>
      <c r="L150" s="46">
        <f t="shared" si="63"/>
        <v>0</v>
      </c>
      <c r="M150" s="46">
        <f t="shared" si="63"/>
        <v>0</v>
      </c>
      <c r="N150" s="46">
        <f t="shared" si="63"/>
        <v>0</v>
      </c>
      <c r="O150" s="46">
        <f t="shared" si="63"/>
        <v>0</v>
      </c>
      <c r="P150" s="46">
        <f t="shared" si="63"/>
        <v>0</v>
      </c>
      <c r="Q150" s="46">
        <f t="shared" si="63"/>
        <v>0</v>
      </c>
      <c r="R150" s="46">
        <f t="shared" si="63"/>
        <v>0</v>
      </c>
      <c r="S150" s="46">
        <f t="shared" si="63"/>
        <v>0</v>
      </c>
      <c r="T150" s="46">
        <f t="shared" si="63"/>
        <v>0</v>
      </c>
      <c r="U150" s="46">
        <f t="shared" si="63"/>
        <v>0</v>
      </c>
      <c r="V150" s="46">
        <f t="shared" si="63"/>
        <v>0</v>
      </c>
      <c r="W150" s="46">
        <f t="shared" si="63"/>
        <v>0</v>
      </c>
      <c r="X150" s="46">
        <f t="shared" si="63"/>
        <v>0</v>
      </c>
      <c r="Y150" s="46">
        <f t="shared" ref="Y150" si="71">Y113-Y112</f>
        <v>0</v>
      </c>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4:79">
      <c r="D151" s="7" t="s">
        <v>63</v>
      </c>
      <c r="E151" s="46">
        <f t="shared" si="65"/>
        <v>0</v>
      </c>
      <c r="F151" s="46">
        <f t="shared" si="65"/>
        <v>0</v>
      </c>
      <c r="G151" s="46">
        <f t="shared" si="63"/>
        <v>0</v>
      </c>
      <c r="H151" s="46">
        <f t="shared" si="63"/>
        <v>0</v>
      </c>
      <c r="I151" s="46">
        <f t="shared" si="63"/>
        <v>0</v>
      </c>
      <c r="J151" s="46">
        <f t="shared" si="63"/>
        <v>0</v>
      </c>
      <c r="K151" s="46">
        <f t="shared" si="63"/>
        <v>0</v>
      </c>
      <c r="L151" s="46">
        <f t="shared" si="63"/>
        <v>0</v>
      </c>
      <c r="M151" s="46">
        <f t="shared" si="63"/>
        <v>0</v>
      </c>
      <c r="N151" s="46">
        <f t="shared" si="63"/>
        <v>0</v>
      </c>
      <c r="O151" s="46">
        <f t="shared" si="63"/>
        <v>0</v>
      </c>
      <c r="P151" s="46">
        <f t="shared" si="63"/>
        <v>0</v>
      </c>
      <c r="Q151" s="46">
        <f t="shared" si="63"/>
        <v>0</v>
      </c>
      <c r="R151" s="46">
        <f t="shared" si="63"/>
        <v>0</v>
      </c>
      <c r="S151" s="46">
        <f t="shared" si="63"/>
        <v>0</v>
      </c>
      <c r="T151" s="46">
        <f t="shared" si="63"/>
        <v>0</v>
      </c>
      <c r="U151" s="46">
        <f t="shared" si="63"/>
        <v>0</v>
      </c>
      <c r="V151" s="46">
        <f t="shared" si="63"/>
        <v>0</v>
      </c>
      <c r="W151" s="46">
        <f t="shared" si="63"/>
        <v>0</v>
      </c>
      <c r="X151" s="46">
        <f t="shared" si="63"/>
        <v>0</v>
      </c>
      <c r="Y151" s="46">
        <f t="shared" ref="Y151" si="72">Y114-Y113</f>
        <v>0</v>
      </c>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4:79">
      <c r="D152" s="7" t="s">
        <v>66</v>
      </c>
      <c r="E152" s="46">
        <f t="shared" si="65"/>
        <v>0</v>
      </c>
      <c r="F152" s="46">
        <f t="shared" si="65"/>
        <v>0</v>
      </c>
      <c r="G152" s="46">
        <f t="shared" si="63"/>
        <v>0</v>
      </c>
      <c r="H152" s="46">
        <f t="shared" si="63"/>
        <v>0</v>
      </c>
      <c r="I152" s="46">
        <f t="shared" si="63"/>
        <v>0</v>
      </c>
      <c r="J152" s="46">
        <f t="shared" si="63"/>
        <v>0</v>
      </c>
      <c r="K152" s="46">
        <f t="shared" si="63"/>
        <v>0</v>
      </c>
      <c r="L152" s="46">
        <f t="shared" si="63"/>
        <v>0</v>
      </c>
      <c r="M152" s="46">
        <f t="shared" si="63"/>
        <v>0</v>
      </c>
      <c r="N152" s="46">
        <f t="shared" si="63"/>
        <v>0</v>
      </c>
      <c r="O152" s="46">
        <f t="shared" si="63"/>
        <v>0</v>
      </c>
      <c r="P152" s="46">
        <f t="shared" si="63"/>
        <v>0</v>
      </c>
      <c r="Q152" s="46">
        <f t="shared" si="63"/>
        <v>0</v>
      </c>
      <c r="R152" s="46">
        <f t="shared" si="63"/>
        <v>0</v>
      </c>
      <c r="S152" s="46">
        <f t="shared" si="63"/>
        <v>0</v>
      </c>
      <c r="T152" s="46">
        <f t="shared" si="63"/>
        <v>0</v>
      </c>
      <c r="U152" s="46">
        <f t="shared" si="63"/>
        <v>0</v>
      </c>
      <c r="V152" s="46">
        <f t="shared" si="63"/>
        <v>0</v>
      </c>
      <c r="W152" s="46">
        <f t="shared" si="63"/>
        <v>0</v>
      </c>
      <c r="X152" s="46">
        <f t="shared" si="63"/>
        <v>0</v>
      </c>
      <c r="Y152" s="46">
        <f t="shared" ref="Y152" si="73">Y115-Y114</f>
        <v>0</v>
      </c>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row>
    <row r="153" spans="4:79">
      <c r="D153" s="7" t="s">
        <v>69</v>
      </c>
      <c r="E153" s="46">
        <f t="shared" si="65"/>
        <v>0</v>
      </c>
      <c r="F153" s="46">
        <f t="shared" si="65"/>
        <v>0</v>
      </c>
      <c r="G153" s="46">
        <f t="shared" si="63"/>
        <v>0</v>
      </c>
      <c r="H153" s="46">
        <f t="shared" si="63"/>
        <v>0</v>
      </c>
      <c r="I153" s="46">
        <f t="shared" si="63"/>
        <v>0</v>
      </c>
      <c r="J153" s="46">
        <f t="shared" si="63"/>
        <v>0</v>
      </c>
      <c r="K153" s="46">
        <f t="shared" si="63"/>
        <v>0</v>
      </c>
      <c r="L153" s="46">
        <f t="shared" si="63"/>
        <v>0</v>
      </c>
      <c r="M153" s="46">
        <f t="shared" si="63"/>
        <v>0</v>
      </c>
      <c r="N153" s="46">
        <f t="shared" si="63"/>
        <v>0</v>
      </c>
      <c r="O153" s="46">
        <f t="shared" si="63"/>
        <v>0</v>
      </c>
      <c r="P153" s="46">
        <f t="shared" si="63"/>
        <v>0</v>
      </c>
      <c r="Q153" s="46">
        <f t="shared" si="63"/>
        <v>0</v>
      </c>
      <c r="R153" s="46">
        <f t="shared" si="63"/>
        <v>0</v>
      </c>
      <c r="S153" s="46">
        <f t="shared" si="63"/>
        <v>0</v>
      </c>
      <c r="T153" s="46">
        <f t="shared" si="63"/>
        <v>0</v>
      </c>
      <c r="U153" s="46">
        <f t="shared" si="63"/>
        <v>0</v>
      </c>
      <c r="V153" s="46">
        <f t="shared" si="63"/>
        <v>0</v>
      </c>
      <c r="W153" s="46">
        <f t="shared" si="63"/>
        <v>0</v>
      </c>
      <c r="X153" s="46">
        <f t="shared" si="63"/>
        <v>0</v>
      </c>
      <c r="Y153" s="46">
        <f t="shared" ref="Y153" si="74">Y116-Y115</f>
        <v>0</v>
      </c>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row>
    <row r="154" spans="4:79">
      <c r="D154" s="7" t="s">
        <v>72</v>
      </c>
      <c r="E154" s="46">
        <f t="shared" si="65"/>
        <v>0</v>
      </c>
      <c r="F154" s="46">
        <f t="shared" si="65"/>
        <v>0</v>
      </c>
      <c r="G154" s="46">
        <f t="shared" si="63"/>
        <v>0</v>
      </c>
      <c r="H154" s="46">
        <f t="shared" si="63"/>
        <v>0</v>
      </c>
      <c r="I154" s="46">
        <f t="shared" si="63"/>
        <v>0</v>
      </c>
      <c r="J154" s="46">
        <f t="shared" si="63"/>
        <v>0</v>
      </c>
      <c r="K154" s="46">
        <f t="shared" si="63"/>
        <v>0</v>
      </c>
      <c r="L154" s="46">
        <f t="shared" si="63"/>
        <v>0</v>
      </c>
      <c r="M154" s="46">
        <f t="shared" si="63"/>
        <v>0</v>
      </c>
      <c r="N154" s="46">
        <f t="shared" si="63"/>
        <v>0</v>
      </c>
      <c r="O154" s="46">
        <f t="shared" si="63"/>
        <v>0</v>
      </c>
      <c r="P154" s="46">
        <f t="shared" si="63"/>
        <v>0</v>
      </c>
      <c r="Q154" s="46">
        <f t="shared" si="63"/>
        <v>0</v>
      </c>
      <c r="R154" s="46">
        <f t="shared" si="63"/>
        <v>0</v>
      </c>
      <c r="S154" s="46">
        <f t="shared" si="63"/>
        <v>0</v>
      </c>
      <c r="T154" s="46">
        <f t="shared" si="63"/>
        <v>0</v>
      </c>
      <c r="U154" s="46">
        <f t="shared" si="63"/>
        <v>0</v>
      </c>
      <c r="V154" s="46">
        <f t="shared" si="63"/>
        <v>0</v>
      </c>
      <c r="W154" s="46">
        <f t="shared" si="63"/>
        <v>0</v>
      </c>
      <c r="X154" s="46">
        <f t="shared" si="63"/>
        <v>0</v>
      </c>
      <c r="Y154" s="46">
        <f t="shared" ref="Y154" si="75">Y117-Y116</f>
        <v>0</v>
      </c>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row>
    <row r="155" spans="4:79">
      <c r="D155" s="7" t="s">
        <v>75</v>
      </c>
      <c r="E155" s="46">
        <f t="shared" si="65"/>
        <v>0</v>
      </c>
      <c r="F155" s="46">
        <f t="shared" si="65"/>
        <v>0</v>
      </c>
      <c r="G155" s="46">
        <f t="shared" si="63"/>
        <v>0</v>
      </c>
      <c r="H155" s="46">
        <f t="shared" si="63"/>
        <v>0</v>
      </c>
      <c r="I155" s="46">
        <f t="shared" si="63"/>
        <v>0</v>
      </c>
      <c r="J155" s="46">
        <f t="shared" si="63"/>
        <v>0</v>
      </c>
      <c r="K155" s="46">
        <f t="shared" si="63"/>
        <v>0</v>
      </c>
      <c r="L155" s="46">
        <f t="shared" si="63"/>
        <v>0</v>
      </c>
      <c r="M155" s="46">
        <f t="shared" si="63"/>
        <v>0</v>
      </c>
      <c r="N155" s="46">
        <f t="shared" si="63"/>
        <v>0</v>
      </c>
      <c r="O155" s="46">
        <f t="shared" si="63"/>
        <v>0</v>
      </c>
      <c r="P155" s="46">
        <f t="shared" si="63"/>
        <v>0</v>
      </c>
      <c r="Q155" s="46">
        <f t="shared" si="63"/>
        <v>0</v>
      </c>
      <c r="R155" s="46">
        <f t="shared" si="63"/>
        <v>0</v>
      </c>
      <c r="S155" s="46">
        <f t="shared" si="63"/>
        <v>0</v>
      </c>
      <c r="T155" s="46">
        <f t="shared" si="63"/>
        <v>0</v>
      </c>
      <c r="U155" s="46">
        <f t="shared" si="63"/>
        <v>0</v>
      </c>
      <c r="V155" s="46">
        <f t="shared" si="63"/>
        <v>0</v>
      </c>
      <c r="W155" s="46">
        <f t="shared" si="63"/>
        <v>0</v>
      </c>
      <c r="X155" s="46">
        <f t="shared" si="63"/>
        <v>0</v>
      </c>
      <c r="Y155" s="46">
        <f t="shared" ref="Y155" si="76">Y118-Y117</f>
        <v>0</v>
      </c>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row>
    <row r="156" spans="4:79">
      <c r="D156" s="7" t="s">
        <v>78</v>
      </c>
      <c r="E156" s="46">
        <f t="shared" si="65"/>
        <v>0</v>
      </c>
      <c r="F156" s="46">
        <f t="shared" si="65"/>
        <v>0</v>
      </c>
      <c r="G156" s="46">
        <f t="shared" si="63"/>
        <v>0</v>
      </c>
      <c r="H156" s="46">
        <f t="shared" si="63"/>
        <v>0</v>
      </c>
      <c r="I156" s="46">
        <f t="shared" si="63"/>
        <v>0</v>
      </c>
      <c r="J156" s="46">
        <f t="shared" si="63"/>
        <v>0</v>
      </c>
      <c r="K156" s="46">
        <f t="shared" si="63"/>
        <v>0</v>
      </c>
      <c r="L156" s="46">
        <f t="shared" si="63"/>
        <v>0</v>
      </c>
      <c r="M156" s="46">
        <f t="shared" si="63"/>
        <v>0</v>
      </c>
      <c r="N156" s="46">
        <f t="shared" si="63"/>
        <v>0</v>
      </c>
      <c r="O156" s="46">
        <f t="shared" si="63"/>
        <v>0</v>
      </c>
      <c r="P156" s="46">
        <f t="shared" si="63"/>
        <v>0</v>
      </c>
      <c r="Q156" s="46">
        <f t="shared" si="63"/>
        <v>0</v>
      </c>
      <c r="R156" s="46">
        <f t="shared" si="63"/>
        <v>0</v>
      </c>
      <c r="S156" s="46">
        <f t="shared" si="63"/>
        <v>0</v>
      </c>
      <c r="T156" s="46">
        <f t="shared" si="63"/>
        <v>0</v>
      </c>
      <c r="U156" s="46">
        <f t="shared" si="63"/>
        <v>0</v>
      </c>
      <c r="V156" s="46">
        <f t="shared" si="63"/>
        <v>0</v>
      </c>
      <c r="W156" s="46">
        <f t="shared" si="63"/>
        <v>0</v>
      </c>
      <c r="X156" s="46">
        <f t="shared" si="63"/>
        <v>0</v>
      </c>
      <c r="Y156" s="46">
        <f t="shared" ref="Y156" si="77">Y119-Y118</f>
        <v>0</v>
      </c>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row>
    <row r="157" spans="4:79">
      <c r="D157" s="7" t="s">
        <v>81</v>
      </c>
      <c r="E157" s="46">
        <f t="shared" si="65"/>
        <v>0</v>
      </c>
      <c r="F157" s="46">
        <f t="shared" si="65"/>
        <v>0</v>
      </c>
      <c r="G157" s="46">
        <f t="shared" si="63"/>
        <v>0</v>
      </c>
      <c r="H157" s="46">
        <f t="shared" si="63"/>
        <v>0</v>
      </c>
      <c r="I157" s="46">
        <f t="shared" si="63"/>
        <v>0</v>
      </c>
      <c r="J157" s="46">
        <f t="shared" si="63"/>
        <v>0</v>
      </c>
      <c r="K157" s="46">
        <f t="shared" si="63"/>
        <v>0</v>
      </c>
      <c r="L157" s="46">
        <f t="shared" si="63"/>
        <v>0</v>
      </c>
      <c r="M157" s="46">
        <f t="shared" si="63"/>
        <v>0</v>
      </c>
      <c r="N157" s="46">
        <f t="shared" si="63"/>
        <v>0</v>
      </c>
      <c r="O157" s="46">
        <f t="shared" si="63"/>
        <v>0</v>
      </c>
      <c r="P157" s="46">
        <f t="shared" ref="P157:X160" si="78">P120-P119</f>
        <v>0</v>
      </c>
      <c r="Q157" s="46">
        <f t="shared" si="78"/>
        <v>0</v>
      </c>
      <c r="R157" s="46">
        <f t="shared" si="78"/>
        <v>0</v>
      </c>
      <c r="S157" s="46">
        <f t="shared" si="78"/>
        <v>0</v>
      </c>
      <c r="T157" s="46">
        <f t="shared" si="78"/>
        <v>0</v>
      </c>
      <c r="U157" s="46">
        <f t="shared" si="78"/>
        <v>0</v>
      </c>
      <c r="V157" s="46">
        <f t="shared" si="78"/>
        <v>0</v>
      </c>
      <c r="W157" s="46">
        <f t="shared" si="78"/>
        <v>0</v>
      </c>
      <c r="X157" s="46">
        <f t="shared" si="78"/>
        <v>0</v>
      </c>
      <c r="Y157" s="46">
        <f t="shared" ref="Y157" si="79">Y120-Y119</f>
        <v>0</v>
      </c>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row>
    <row r="158" spans="4:79">
      <c r="D158" s="7" t="s">
        <v>84</v>
      </c>
      <c r="E158" s="46">
        <f t="shared" si="65"/>
        <v>0</v>
      </c>
      <c r="F158" s="46">
        <f t="shared" si="65"/>
        <v>0</v>
      </c>
      <c r="G158" s="46">
        <f t="shared" si="65"/>
        <v>0</v>
      </c>
      <c r="H158" s="46">
        <f t="shared" si="65"/>
        <v>0</v>
      </c>
      <c r="I158" s="46">
        <f t="shared" si="65"/>
        <v>0</v>
      </c>
      <c r="J158" s="46">
        <f t="shared" si="65"/>
        <v>0</v>
      </c>
      <c r="K158" s="46">
        <f t="shared" si="65"/>
        <v>0</v>
      </c>
      <c r="L158" s="46">
        <f t="shared" si="65"/>
        <v>0</v>
      </c>
      <c r="M158" s="46">
        <f t="shared" si="65"/>
        <v>0</v>
      </c>
      <c r="N158" s="46">
        <f t="shared" si="65"/>
        <v>0</v>
      </c>
      <c r="O158" s="46">
        <f t="shared" si="65"/>
        <v>0</v>
      </c>
      <c r="P158" s="46">
        <f t="shared" si="65"/>
        <v>0</v>
      </c>
      <c r="Q158" s="46">
        <f t="shared" si="65"/>
        <v>0</v>
      </c>
      <c r="R158" s="46">
        <f t="shared" si="65"/>
        <v>0</v>
      </c>
      <c r="S158" s="46">
        <f t="shared" si="65"/>
        <v>0</v>
      </c>
      <c r="T158" s="46">
        <f t="shared" si="65"/>
        <v>0</v>
      </c>
      <c r="U158" s="46">
        <f t="shared" si="78"/>
        <v>0</v>
      </c>
      <c r="V158" s="46">
        <f t="shared" si="78"/>
        <v>0</v>
      </c>
      <c r="W158" s="46">
        <f t="shared" si="78"/>
        <v>0</v>
      </c>
      <c r="X158" s="46">
        <f t="shared" si="78"/>
        <v>0</v>
      </c>
      <c r="Y158" s="46">
        <f t="shared" ref="Y158" si="80">Y121-Y120</f>
        <v>0</v>
      </c>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row>
    <row r="159" spans="4:79">
      <c r="D159" s="7" t="s">
        <v>87</v>
      </c>
      <c r="E159" s="46">
        <f t="shared" si="65"/>
        <v>0</v>
      </c>
      <c r="F159" s="46">
        <f t="shared" si="65"/>
        <v>0</v>
      </c>
      <c r="G159" s="46">
        <f t="shared" si="65"/>
        <v>0</v>
      </c>
      <c r="H159" s="46">
        <f t="shared" si="65"/>
        <v>0</v>
      </c>
      <c r="I159" s="46">
        <f t="shared" si="65"/>
        <v>0</v>
      </c>
      <c r="J159" s="46">
        <f t="shared" si="65"/>
        <v>0</v>
      </c>
      <c r="K159" s="46">
        <f t="shared" si="65"/>
        <v>0</v>
      </c>
      <c r="L159" s="46">
        <f t="shared" si="65"/>
        <v>0</v>
      </c>
      <c r="M159" s="46">
        <f t="shared" si="65"/>
        <v>0</v>
      </c>
      <c r="N159" s="46">
        <f t="shared" si="65"/>
        <v>0</v>
      </c>
      <c r="O159" s="46">
        <f t="shared" si="65"/>
        <v>0</v>
      </c>
      <c r="P159" s="46">
        <f t="shared" si="65"/>
        <v>0</v>
      </c>
      <c r="Q159" s="46">
        <f t="shared" si="65"/>
        <v>0</v>
      </c>
      <c r="R159" s="46">
        <f t="shared" si="65"/>
        <v>0</v>
      </c>
      <c r="S159" s="46">
        <f t="shared" si="65"/>
        <v>0</v>
      </c>
      <c r="T159" s="46">
        <f t="shared" si="65"/>
        <v>0</v>
      </c>
      <c r="U159" s="46">
        <f t="shared" si="78"/>
        <v>0</v>
      </c>
      <c r="V159" s="46">
        <f t="shared" si="78"/>
        <v>0</v>
      </c>
      <c r="W159" s="46">
        <f t="shared" si="78"/>
        <v>0</v>
      </c>
      <c r="X159" s="46">
        <f t="shared" si="78"/>
        <v>0</v>
      </c>
      <c r="Y159" s="46">
        <f t="shared" ref="Y159" si="81">Y122-Y121</f>
        <v>0</v>
      </c>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row>
    <row r="160" spans="4:79">
      <c r="D160" s="7" t="s">
        <v>90</v>
      </c>
      <c r="E160" s="46">
        <f t="shared" si="65"/>
        <v>0</v>
      </c>
      <c r="F160" s="46">
        <f t="shared" si="65"/>
        <v>0</v>
      </c>
      <c r="G160" s="46">
        <f t="shared" si="65"/>
        <v>0</v>
      </c>
      <c r="H160" s="46">
        <f t="shared" si="65"/>
        <v>0</v>
      </c>
      <c r="I160" s="46">
        <f t="shared" si="65"/>
        <v>0</v>
      </c>
      <c r="J160" s="46">
        <f t="shared" si="65"/>
        <v>0</v>
      </c>
      <c r="K160" s="46">
        <f t="shared" si="65"/>
        <v>0</v>
      </c>
      <c r="L160" s="46">
        <f t="shared" si="65"/>
        <v>0</v>
      </c>
      <c r="M160" s="46">
        <f t="shared" si="65"/>
        <v>0</v>
      </c>
      <c r="N160" s="46">
        <f t="shared" si="65"/>
        <v>0</v>
      </c>
      <c r="O160" s="46">
        <f t="shared" si="65"/>
        <v>0</v>
      </c>
      <c r="P160" s="46">
        <f t="shared" si="65"/>
        <v>0</v>
      </c>
      <c r="Q160" s="46">
        <f t="shared" si="65"/>
        <v>0</v>
      </c>
      <c r="R160" s="46">
        <f t="shared" si="65"/>
        <v>0</v>
      </c>
      <c r="S160" s="46">
        <f t="shared" si="65"/>
        <v>0</v>
      </c>
      <c r="T160" s="46">
        <f t="shared" si="65"/>
        <v>0</v>
      </c>
      <c r="U160" s="46">
        <f t="shared" si="78"/>
        <v>0</v>
      </c>
      <c r="V160" s="46">
        <f t="shared" si="78"/>
        <v>0</v>
      </c>
      <c r="W160" s="46">
        <f t="shared" si="78"/>
        <v>0</v>
      </c>
      <c r="X160" s="46">
        <f t="shared" si="78"/>
        <v>0</v>
      </c>
      <c r="Y160" s="46">
        <f t="shared" ref="Y160" si="82">Y123-Y122</f>
        <v>0</v>
      </c>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row>
    <row r="161" spans="4:79">
      <c r="D161" s="7" t="s">
        <v>93</v>
      </c>
      <c r="E161" s="46">
        <f t="shared" ref="E161:Y161" si="83">E124-E123</f>
        <v>0</v>
      </c>
      <c r="F161" s="46">
        <f t="shared" si="83"/>
        <v>0</v>
      </c>
      <c r="G161" s="46">
        <f t="shared" si="83"/>
        <v>0</v>
      </c>
      <c r="H161" s="46">
        <f t="shared" si="83"/>
        <v>0</v>
      </c>
      <c r="I161" s="46">
        <f t="shared" si="83"/>
        <v>0</v>
      </c>
      <c r="J161" s="46">
        <f t="shared" si="83"/>
        <v>0</v>
      </c>
      <c r="K161" s="46">
        <f t="shared" si="83"/>
        <v>0</v>
      </c>
      <c r="L161" s="46">
        <f t="shared" si="83"/>
        <v>0</v>
      </c>
      <c r="M161" s="46">
        <f t="shared" si="83"/>
        <v>0</v>
      </c>
      <c r="N161" s="46">
        <f t="shared" si="83"/>
        <v>0</v>
      </c>
      <c r="O161" s="46">
        <f t="shared" si="83"/>
        <v>0</v>
      </c>
      <c r="P161" s="46">
        <f t="shared" si="83"/>
        <v>0</v>
      </c>
      <c r="Q161" s="46">
        <f t="shared" si="83"/>
        <v>0</v>
      </c>
      <c r="R161" s="46">
        <f t="shared" si="83"/>
        <v>0</v>
      </c>
      <c r="S161" s="46">
        <f t="shared" si="83"/>
        <v>0</v>
      </c>
      <c r="T161" s="46">
        <f t="shared" si="83"/>
        <v>0</v>
      </c>
      <c r="U161" s="46">
        <f t="shared" si="83"/>
        <v>0</v>
      </c>
      <c r="V161" s="46">
        <f t="shared" si="83"/>
        <v>0</v>
      </c>
      <c r="W161" s="46">
        <f t="shared" si="83"/>
        <v>0</v>
      </c>
      <c r="X161" s="46">
        <f t="shared" si="83"/>
        <v>0</v>
      </c>
      <c r="Y161" s="46">
        <f t="shared" si="83"/>
        <v>0</v>
      </c>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row>
    <row r="162" spans="4:79">
      <c r="D162" s="7" t="s">
        <v>96</v>
      </c>
      <c r="E162" s="46">
        <f t="shared" ref="E162:Y162" si="84">E125-E124</f>
        <v>0</v>
      </c>
      <c r="F162" s="46">
        <f t="shared" si="84"/>
        <v>0</v>
      </c>
      <c r="G162" s="46">
        <f t="shared" si="84"/>
        <v>0</v>
      </c>
      <c r="H162" s="46">
        <f t="shared" si="84"/>
        <v>0</v>
      </c>
      <c r="I162" s="46">
        <f t="shared" si="84"/>
        <v>0</v>
      </c>
      <c r="J162" s="46">
        <f t="shared" si="84"/>
        <v>0</v>
      </c>
      <c r="K162" s="46">
        <f t="shared" si="84"/>
        <v>0</v>
      </c>
      <c r="L162" s="46">
        <f t="shared" si="84"/>
        <v>0</v>
      </c>
      <c r="M162" s="46">
        <f t="shared" si="84"/>
        <v>0</v>
      </c>
      <c r="N162" s="46">
        <f t="shared" si="84"/>
        <v>0</v>
      </c>
      <c r="O162" s="46">
        <f t="shared" si="84"/>
        <v>0</v>
      </c>
      <c r="P162" s="46">
        <f t="shared" si="84"/>
        <v>0</v>
      </c>
      <c r="Q162" s="46">
        <f t="shared" si="84"/>
        <v>0</v>
      </c>
      <c r="R162" s="46">
        <f t="shared" si="84"/>
        <v>0</v>
      </c>
      <c r="S162" s="46">
        <f t="shared" si="84"/>
        <v>0</v>
      </c>
      <c r="T162" s="46">
        <f t="shared" si="84"/>
        <v>0</v>
      </c>
      <c r="U162" s="46">
        <f t="shared" si="84"/>
        <v>0</v>
      </c>
      <c r="V162" s="46">
        <f t="shared" si="84"/>
        <v>0</v>
      </c>
      <c r="W162" s="46">
        <f t="shared" si="84"/>
        <v>0</v>
      </c>
      <c r="X162" s="46">
        <f t="shared" si="84"/>
        <v>0</v>
      </c>
      <c r="Y162" s="46">
        <f t="shared" si="84"/>
        <v>0</v>
      </c>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row>
    <row r="163" spans="4:79">
      <c r="D163" s="7" t="s">
        <v>99</v>
      </c>
      <c r="E163" s="46">
        <f t="shared" ref="E163:Y163" si="85">E126-E125</f>
        <v>0</v>
      </c>
      <c r="F163" s="46">
        <f t="shared" si="85"/>
        <v>0</v>
      </c>
      <c r="G163" s="46">
        <f t="shared" si="85"/>
        <v>0</v>
      </c>
      <c r="H163" s="46">
        <f t="shared" si="85"/>
        <v>0</v>
      </c>
      <c r="I163" s="46">
        <f t="shared" si="85"/>
        <v>0</v>
      </c>
      <c r="J163" s="46">
        <f t="shared" si="85"/>
        <v>0</v>
      </c>
      <c r="K163" s="46">
        <f t="shared" si="85"/>
        <v>0</v>
      </c>
      <c r="L163" s="46">
        <f t="shared" si="85"/>
        <v>0</v>
      </c>
      <c r="M163" s="46">
        <f t="shared" si="85"/>
        <v>0</v>
      </c>
      <c r="N163" s="46">
        <f t="shared" si="85"/>
        <v>0</v>
      </c>
      <c r="O163" s="46">
        <f t="shared" si="85"/>
        <v>0</v>
      </c>
      <c r="P163" s="46">
        <f t="shared" si="85"/>
        <v>0</v>
      </c>
      <c r="Q163" s="46">
        <f t="shared" si="85"/>
        <v>0</v>
      </c>
      <c r="R163" s="46">
        <f t="shared" si="85"/>
        <v>0</v>
      </c>
      <c r="S163" s="46">
        <f t="shared" si="85"/>
        <v>0</v>
      </c>
      <c r="T163" s="46">
        <f t="shared" si="85"/>
        <v>0</v>
      </c>
      <c r="U163" s="46">
        <f t="shared" si="85"/>
        <v>0</v>
      </c>
      <c r="V163" s="46">
        <f t="shared" si="85"/>
        <v>0</v>
      </c>
      <c r="W163" s="46">
        <f t="shared" si="85"/>
        <v>0</v>
      </c>
      <c r="X163" s="46">
        <f t="shared" si="85"/>
        <v>0</v>
      </c>
      <c r="Y163" s="46">
        <f t="shared" si="85"/>
        <v>0</v>
      </c>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row>
    <row r="164" spans="4:79">
      <c r="D164" s="7" t="s">
        <v>341</v>
      </c>
      <c r="E164" s="46">
        <f t="shared" ref="E164:X164" si="86">E127-E126</f>
        <v>0</v>
      </c>
      <c r="F164" s="46">
        <f t="shared" si="86"/>
        <v>0</v>
      </c>
      <c r="G164" s="46">
        <f t="shared" si="86"/>
        <v>0</v>
      </c>
      <c r="H164" s="46">
        <f t="shared" si="86"/>
        <v>0</v>
      </c>
      <c r="I164" s="46">
        <f t="shared" si="86"/>
        <v>0</v>
      </c>
      <c r="J164" s="46">
        <f t="shared" si="86"/>
        <v>0</v>
      </c>
      <c r="K164" s="46">
        <f t="shared" si="86"/>
        <v>0</v>
      </c>
      <c r="L164" s="46">
        <f t="shared" si="86"/>
        <v>0</v>
      </c>
      <c r="M164" s="46">
        <f t="shared" si="86"/>
        <v>0</v>
      </c>
      <c r="N164" s="46">
        <f t="shared" si="86"/>
        <v>0</v>
      </c>
      <c r="O164" s="46">
        <f t="shared" si="86"/>
        <v>0</v>
      </c>
      <c r="P164" s="46">
        <f t="shared" si="86"/>
        <v>0</v>
      </c>
      <c r="Q164" s="46">
        <f t="shared" si="86"/>
        <v>0</v>
      </c>
      <c r="R164" s="46">
        <f t="shared" si="86"/>
        <v>0</v>
      </c>
      <c r="S164" s="46">
        <f t="shared" si="86"/>
        <v>0</v>
      </c>
      <c r="T164" s="46">
        <f t="shared" si="86"/>
        <v>0</v>
      </c>
      <c r="U164" s="46">
        <f t="shared" si="86"/>
        <v>0</v>
      </c>
      <c r="V164" s="46">
        <f t="shared" si="86"/>
        <v>0</v>
      </c>
      <c r="W164" s="46">
        <f t="shared" si="86"/>
        <v>0</v>
      </c>
      <c r="X164" s="46">
        <f t="shared" si="86"/>
        <v>0</v>
      </c>
      <c r="Y164" s="46">
        <f t="shared" ref="Y164" si="87">Y127-Y126</f>
        <v>0</v>
      </c>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row>
    <row r="165" spans="4:79">
      <c r="D165" s="7" t="s">
        <v>343</v>
      </c>
      <c r="E165" s="46">
        <f t="shared" ref="E165:X165" si="88">E128-E127</f>
        <v>0</v>
      </c>
      <c r="F165" s="46">
        <f t="shared" si="88"/>
        <v>0</v>
      </c>
      <c r="G165" s="46">
        <f t="shared" si="88"/>
        <v>0</v>
      </c>
      <c r="H165" s="46">
        <f t="shared" si="88"/>
        <v>0</v>
      </c>
      <c r="I165" s="46">
        <f t="shared" si="88"/>
        <v>0</v>
      </c>
      <c r="J165" s="46">
        <f t="shared" si="88"/>
        <v>0</v>
      </c>
      <c r="K165" s="46">
        <f t="shared" si="88"/>
        <v>0</v>
      </c>
      <c r="L165" s="46">
        <f t="shared" si="88"/>
        <v>0</v>
      </c>
      <c r="M165" s="46">
        <f t="shared" si="88"/>
        <v>0</v>
      </c>
      <c r="N165" s="46">
        <f t="shared" si="88"/>
        <v>0</v>
      </c>
      <c r="O165" s="46">
        <f t="shared" si="88"/>
        <v>0</v>
      </c>
      <c r="P165" s="46">
        <f t="shared" si="88"/>
        <v>0</v>
      </c>
      <c r="Q165" s="46">
        <f t="shared" si="88"/>
        <v>0</v>
      </c>
      <c r="R165" s="46">
        <f t="shared" si="88"/>
        <v>0</v>
      </c>
      <c r="S165" s="46">
        <f t="shared" si="88"/>
        <v>0</v>
      </c>
      <c r="T165" s="46">
        <f t="shared" si="88"/>
        <v>0</v>
      </c>
      <c r="U165" s="46">
        <f t="shared" si="88"/>
        <v>0</v>
      </c>
      <c r="V165" s="46">
        <f t="shared" si="88"/>
        <v>0</v>
      </c>
      <c r="W165" s="46">
        <f t="shared" si="88"/>
        <v>0</v>
      </c>
      <c r="X165" s="46">
        <f t="shared" si="88"/>
        <v>0</v>
      </c>
      <c r="Y165" s="46">
        <f t="shared" ref="Y165" si="89">Y128-Y127</f>
        <v>0</v>
      </c>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row>
    <row r="166" spans="4:79">
      <c r="D166" s="7" t="s">
        <v>346</v>
      </c>
      <c r="E166" s="46">
        <f t="shared" ref="E166:X166" si="90">E129-E128</f>
        <v>0</v>
      </c>
      <c r="F166" s="46">
        <f t="shared" si="90"/>
        <v>0</v>
      </c>
      <c r="G166" s="46">
        <f t="shared" si="90"/>
        <v>0</v>
      </c>
      <c r="H166" s="46">
        <f t="shared" si="90"/>
        <v>0</v>
      </c>
      <c r="I166" s="46">
        <f t="shared" si="90"/>
        <v>0</v>
      </c>
      <c r="J166" s="46">
        <f t="shared" si="90"/>
        <v>0</v>
      </c>
      <c r="K166" s="46">
        <f t="shared" si="90"/>
        <v>0</v>
      </c>
      <c r="L166" s="46">
        <f t="shared" si="90"/>
        <v>0</v>
      </c>
      <c r="M166" s="46">
        <f t="shared" si="90"/>
        <v>0</v>
      </c>
      <c r="N166" s="46">
        <f t="shared" si="90"/>
        <v>0</v>
      </c>
      <c r="O166" s="46">
        <f t="shared" si="90"/>
        <v>0</v>
      </c>
      <c r="P166" s="46">
        <f t="shared" si="90"/>
        <v>0</v>
      </c>
      <c r="Q166" s="46">
        <f t="shared" si="90"/>
        <v>0</v>
      </c>
      <c r="R166" s="46">
        <f t="shared" si="90"/>
        <v>0</v>
      </c>
      <c r="S166" s="46">
        <f t="shared" si="90"/>
        <v>0</v>
      </c>
      <c r="T166" s="46">
        <f t="shared" si="90"/>
        <v>0</v>
      </c>
      <c r="U166" s="46">
        <f t="shared" si="90"/>
        <v>0</v>
      </c>
      <c r="V166" s="46">
        <f t="shared" si="90"/>
        <v>0</v>
      </c>
      <c r="W166" s="46">
        <f t="shared" si="90"/>
        <v>0</v>
      </c>
      <c r="X166" s="46">
        <f t="shared" si="90"/>
        <v>0</v>
      </c>
      <c r="Y166" s="46">
        <f t="shared" ref="Y166" si="91">Y129-Y128</f>
        <v>0</v>
      </c>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row>
    <row r="167" spans="4:79">
      <c r="D167" s="7" t="s">
        <v>349</v>
      </c>
      <c r="E167" s="46">
        <f t="shared" ref="E167:X167" si="92">E130-E129</f>
        <v>0</v>
      </c>
      <c r="F167" s="46">
        <f t="shared" si="92"/>
        <v>0</v>
      </c>
      <c r="G167" s="46">
        <f t="shared" si="92"/>
        <v>0</v>
      </c>
      <c r="H167" s="46">
        <f t="shared" si="92"/>
        <v>0</v>
      </c>
      <c r="I167" s="46">
        <f t="shared" si="92"/>
        <v>0</v>
      </c>
      <c r="J167" s="46">
        <f t="shared" si="92"/>
        <v>0</v>
      </c>
      <c r="K167" s="46">
        <f t="shared" si="92"/>
        <v>0</v>
      </c>
      <c r="L167" s="46">
        <f t="shared" si="92"/>
        <v>0</v>
      </c>
      <c r="M167" s="46">
        <f t="shared" si="92"/>
        <v>0</v>
      </c>
      <c r="N167" s="46">
        <f t="shared" si="92"/>
        <v>0</v>
      </c>
      <c r="O167" s="46">
        <f t="shared" si="92"/>
        <v>0</v>
      </c>
      <c r="P167" s="46">
        <f t="shared" si="92"/>
        <v>0</v>
      </c>
      <c r="Q167" s="46">
        <f t="shared" si="92"/>
        <v>0</v>
      </c>
      <c r="R167" s="46">
        <f t="shared" si="92"/>
        <v>0</v>
      </c>
      <c r="S167" s="46">
        <f t="shared" si="92"/>
        <v>0</v>
      </c>
      <c r="T167" s="46">
        <f t="shared" si="92"/>
        <v>0</v>
      </c>
      <c r="U167" s="46">
        <f t="shared" si="92"/>
        <v>0</v>
      </c>
      <c r="V167" s="46">
        <f t="shared" si="92"/>
        <v>0</v>
      </c>
      <c r="W167" s="46">
        <f t="shared" si="92"/>
        <v>0</v>
      </c>
      <c r="X167" s="46">
        <f t="shared" si="92"/>
        <v>0</v>
      </c>
      <c r="Y167" s="46">
        <f t="shared" ref="Y167" si="93">Y130-Y129</f>
        <v>0</v>
      </c>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row>
    <row r="168" spans="4:79">
      <c r="D168" s="7" t="s">
        <v>352</v>
      </c>
      <c r="E168" s="46">
        <f t="shared" ref="E168:X168" si="94">E131-E130</f>
        <v>0</v>
      </c>
      <c r="F168" s="46">
        <f t="shared" si="94"/>
        <v>0</v>
      </c>
      <c r="G168" s="46">
        <f t="shared" si="94"/>
        <v>0</v>
      </c>
      <c r="H168" s="46">
        <f t="shared" si="94"/>
        <v>0</v>
      </c>
      <c r="I168" s="46">
        <f t="shared" si="94"/>
        <v>0</v>
      </c>
      <c r="J168" s="46">
        <f t="shared" si="94"/>
        <v>0</v>
      </c>
      <c r="K168" s="46">
        <f t="shared" si="94"/>
        <v>0</v>
      </c>
      <c r="L168" s="46">
        <f t="shared" si="94"/>
        <v>0</v>
      </c>
      <c r="M168" s="46">
        <f t="shared" si="94"/>
        <v>0</v>
      </c>
      <c r="N168" s="46">
        <f t="shared" si="94"/>
        <v>0</v>
      </c>
      <c r="O168" s="46">
        <f t="shared" si="94"/>
        <v>0</v>
      </c>
      <c r="P168" s="46">
        <f t="shared" si="94"/>
        <v>0</v>
      </c>
      <c r="Q168" s="46">
        <f t="shared" si="94"/>
        <v>0</v>
      </c>
      <c r="R168" s="46">
        <f t="shared" si="94"/>
        <v>0</v>
      </c>
      <c r="S168" s="46">
        <f t="shared" si="94"/>
        <v>0</v>
      </c>
      <c r="T168" s="46">
        <f t="shared" si="94"/>
        <v>0</v>
      </c>
      <c r="U168" s="46">
        <f t="shared" si="94"/>
        <v>0</v>
      </c>
      <c r="V168" s="46">
        <f t="shared" si="94"/>
        <v>0</v>
      </c>
      <c r="W168" s="46">
        <f t="shared" si="94"/>
        <v>0</v>
      </c>
      <c r="X168" s="46">
        <f t="shared" si="94"/>
        <v>0</v>
      </c>
      <c r="Y168" s="46">
        <f t="shared" ref="Y168" si="95">Y131-Y130</f>
        <v>0</v>
      </c>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row>
    <row r="169" spans="4:79">
      <c r="D169" s="7" t="s">
        <v>355</v>
      </c>
      <c r="E169" s="46">
        <f t="shared" ref="E169:X169" si="96">E132-E131</f>
        <v>0</v>
      </c>
      <c r="F169" s="46">
        <f t="shared" si="96"/>
        <v>0</v>
      </c>
      <c r="G169" s="46">
        <f t="shared" si="96"/>
        <v>0</v>
      </c>
      <c r="H169" s="46">
        <f t="shared" si="96"/>
        <v>0</v>
      </c>
      <c r="I169" s="46">
        <f t="shared" si="96"/>
        <v>0</v>
      </c>
      <c r="J169" s="46">
        <f t="shared" si="96"/>
        <v>0</v>
      </c>
      <c r="K169" s="46">
        <f t="shared" si="96"/>
        <v>0</v>
      </c>
      <c r="L169" s="46">
        <f t="shared" si="96"/>
        <v>0</v>
      </c>
      <c r="M169" s="46">
        <f t="shared" si="96"/>
        <v>0</v>
      </c>
      <c r="N169" s="46">
        <f t="shared" si="96"/>
        <v>0</v>
      </c>
      <c r="O169" s="46">
        <f t="shared" si="96"/>
        <v>0</v>
      </c>
      <c r="P169" s="46">
        <f t="shared" si="96"/>
        <v>0</v>
      </c>
      <c r="Q169" s="46">
        <f t="shared" si="96"/>
        <v>0</v>
      </c>
      <c r="R169" s="46">
        <f t="shared" si="96"/>
        <v>0</v>
      </c>
      <c r="S169" s="46">
        <f t="shared" si="96"/>
        <v>0</v>
      </c>
      <c r="T169" s="46">
        <f t="shared" si="96"/>
        <v>0</v>
      </c>
      <c r="U169" s="46">
        <f t="shared" si="96"/>
        <v>0</v>
      </c>
      <c r="V169" s="46">
        <f t="shared" si="96"/>
        <v>0</v>
      </c>
      <c r="W169" s="46">
        <f t="shared" si="96"/>
        <v>0</v>
      </c>
      <c r="X169" s="46">
        <f t="shared" si="96"/>
        <v>0</v>
      </c>
      <c r="Y169" s="46">
        <f t="shared" ref="Y169" si="97">Y132-Y131</f>
        <v>0</v>
      </c>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row>
    <row r="170" spans="4:79">
      <c r="D170" s="7" t="s">
        <v>358</v>
      </c>
      <c r="E170" s="46">
        <f t="shared" ref="E170:X170" si="98">E133-E132</f>
        <v>0</v>
      </c>
      <c r="F170" s="46">
        <f t="shared" si="98"/>
        <v>0</v>
      </c>
      <c r="G170" s="46">
        <f t="shared" si="98"/>
        <v>0</v>
      </c>
      <c r="H170" s="46">
        <f t="shared" si="98"/>
        <v>0</v>
      </c>
      <c r="I170" s="46">
        <f t="shared" si="98"/>
        <v>0</v>
      </c>
      <c r="J170" s="46">
        <f t="shared" si="98"/>
        <v>0</v>
      </c>
      <c r="K170" s="46">
        <f t="shared" si="98"/>
        <v>0</v>
      </c>
      <c r="L170" s="46">
        <f t="shared" si="98"/>
        <v>0</v>
      </c>
      <c r="M170" s="46">
        <f t="shared" si="98"/>
        <v>0</v>
      </c>
      <c r="N170" s="46">
        <f t="shared" si="98"/>
        <v>0</v>
      </c>
      <c r="O170" s="46">
        <f t="shared" si="98"/>
        <v>0</v>
      </c>
      <c r="P170" s="46">
        <f t="shared" si="98"/>
        <v>0</v>
      </c>
      <c r="Q170" s="46">
        <f t="shared" si="98"/>
        <v>0</v>
      </c>
      <c r="R170" s="46">
        <f t="shared" si="98"/>
        <v>0</v>
      </c>
      <c r="S170" s="46">
        <f t="shared" si="98"/>
        <v>0</v>
      </c>
      <c r="T170" s="46">
        <f t="shared" si="98"/>
        <v>0</v>
      </c>
      <c r="U170" s="46">
        <f t="shared" si="98"/>
        <v>0</v>
      </c>
      <c r="V170" s="46">
        <f t="shared" si="98"/>
        <v>0</v>
      </c>
      <c r="W170" s="46">
        <f t="shared" si="98"/>
        <v>0</v>
      </c>
      <c r="X170" s="46">
        <f t="shared" si="98"/>
        <v>0</v>
      </c>
      <c r="Y170" s="46">
        <f t="shared" ref="Y170" si="99">Y133-Y132</f>
        <v>0</v>
      </c>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row>
    <row r="171" spans="4:79">
      <c r="D171" s="7" t="s">
        <v>361</v>
      </c>
      <c r="E171" s="46">
        <f t="shared" ref="E171:X171" si="100">E134-E133</f>
        <v>0</v>
      </c>
      <c r="F171" s="46">
        <f t="shared" si="100"/>
        <v>0</v>
      </c>
      <c r="G171" s="46">
        <f t="shared" si="100"/>
        <v>0</v>
      </c>
      <c r="H171" s="46">
        <f t="shared" si="100"/>
        <v>0</v>
      </c>
      <c r="I171" s="46">
        <f t="shared" si="100"/>
        <v>0</v>
      </c>
      <c r="J171" s="46">
        <f t="shared" si="100"/>
        <v>0</v>
      </c>
      <c r="K171" s="46">
        <f t="shared" si="100"/>
        <v>0</v>
      </c>
      <c r="L171" s="46">
        <f t="shared" si="100"/>
        <v>0</v>
      </c>
      <c r="M171" s="46">
        <f t="shared" si="100"/>
        <v>0</v>
      </c>
      <c r="N171" s="46">
        <f t="shared" si="100"/>
        <v>0</v>
      </c>
      <c r="O171" s="46">
        <f t="shared" si="100"/>
        <v>0</v>
      </c>
      <c r="P171" s="46">
        <f t="shared" si="100"/>
        <v>0</v>
      </c>
      <c r="Q171" s="46">
        <f t="shared" si="100"/>
        <v>0</v>
      </c>
      <c r="R171" s="46">
        <f t="shared" si="100"/>
        <v>0</v>
      </c>
      <c r="S171" s="46">
        <f t="shared" si="100"/>
        <v>0</v>
      </c>
      <c r="T171" s="46">
        <f t="shared" si="100"/>
        <v>0</v>
      </c>
      <c r="U171" s="46">
        <f t="shared" si="100"/>
        <v>0</v>
      </c>
      <c r="V171" s="46">
        <f t="shared" si="100"/>
        <v>0</v>
      </c>
      <c r="W171" s="46">
        <f t="shared" si="100"/>
        <v>0</v>
      </c>
      <c r="X171" s="46">
        <f t="shared" si="100"/>
        <v>0</v>
      </c>
      <c r="Y171" s="46">
        <f t="shared" ref="Y171" si="101">Y134-Y133</f>
        <v>0</v>
      </c>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row>
    <row r="172" spans="4:79">
      <c r="D172" s="7" t="s">
        <v>364</v>
      </c>
      <c r="E172" s="46">
        <f t="shared" ref="E172:X172" si="102">E135-E134</f>
        <v>0</v>
      </c>
      <c r="F172" s="46">
        <f t="shared" si="102"/>
        <v>0</v>
      </c>
      <c r="G172" s="46">
        <f t="shared" si="102"/>
        <v>0</v>
      </c>
      <c r="H172" s="46">
        <f t="shared" si="102"/>
        <v>0</v>
      </c>
      <c r="I172" s="46">
        <f t="shared" si="102"/>
        <v>0</v>
      </c>
      <c r="J172" s="46">
        <f t="shared" si="102"/>
        <v>0</v>
      </c>
      <c r="K172" s="46">
        <f t="shared" si="102"/>
        <v>0</v>
      </c>
      <c r="L172" s="46">
        <f t="shared" si="102"/>
        <v>0</v>
      </c>
      <c r="M172" s="46">
        <f t="shared" si="102"/>
        <v>0</v>
      </c>
      <c r="N172" s="46">
        <f t="shared" si="102"/>
        <v>0</v>
      </c>
      <c r="O172" s="46">
        <f t="shared" si="102"/>
        <v>0</v>
      </c>
      <c r="P172" s="46">
        <f t="shared" si="102"/>
        <v>0</v>
      </c>
      <c r="Q172" s="46">
        <f t="shared" si="102"/>
        <v>0</v>
      </c>
      <c r="R172" s="46">
        <f t="shared" si="102"/>
        <v>0</v>
      </c>
      <c r="S172" s="46">
        <f t="shared" si="102"/>
        <v>0</v>
      </c>
      <c r="T172" s="46">
        <f t="shared" si="102"/>
        <v>0</v>
      </c>
      <c r="U172" s="46">
        <f t="shared" si="102"/>
        <v>0</v>
      </c>
      <c r="V172" s="46">
        <f t="shared" si="102"/>
        <v>0</v>
      </c>
      <c r="W172" s="46">
        <f t="shared" si="102"/>
        <v>0</v>
      </c>
      <c r="X172" s="46">
        <f t="shared" si="102"/>
        <v>0</v>
      </c>
      <c r="Y172" s="46">
        <f t="shared" ref="Y172" si="103">Y135-Y134</f>
        <v>0</v>
      </c>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row>
    <row r="173" spans="4:79">
      <c r="D173" s="7" t="s">
        <v>367</v>
      </c>
      <c r="E173" s="46">
        <f t="shared" ref="E173:X173" si="104">E136-E135</f>
        <v>0</v>
      </c>
      <c r="F173" s="46">
        <f t="shared" si="104"/>
        <v>0</v>
      </c>
      <c r="G173" s="46">
        <f t="shared" si="104"/>
        <v>0</v>
      </c>
      <c r="H173" s="46">
        <f t="shared" si="104"/>
        <v>0</v>
      </c>
      <c r="I173" s="46">
        <f t="shared" si="104"/>
        <v>0</v>
      </c>
      <c r="J173" s="46">
        <f t="shared" si="104"/>
        <v>0</v>
      </c>
      <c r="K173" s="46">
        <f t="shared" si="104"/>
        <v>0</v>
      </c>
      <c r="L173" s="46">
        <f t="shared" si="104"/>
        <v>0</v>
      </c>
      <c r="M173" s="46">
        <f t="shared" si="104"/>
        <v>0</v>
      </c>
      <c r="N173" s="46">
        <f t="shared" si="104"/>
        <v>0</v>
      </c>
      <c r="O173" s="46">
        <f t="shared" si="104"/>
        <v>0</v>
      </c>
      <c r="P173" s="46">
        <f t="shared" si="104"/>
        <v>0</v>
      </c>
      <c r="Q173" s="46">
        <f t="shared" si="104"/>
        <v>0</v>
      </c>
      <c r="R173" s="46">
        <f t="shared" si="104"/>
        <v>0</v>
      </c>
      <c r="S173" s="46">
        <f t="shared" si="104"/>
        <v>0</v>
      </c>
      <c r="T173" s="46">
        <f t="shared" si="104"/>
        <v>0</v>
      </c>
      <c r="U173" s="46">
        <f t="shared" si="104"/>
        <v>0</v>
      </c>
      <c r="V173" s="46">
        <f t="shared" si="104"/>
        <v>0</v>
      </c>
      <c r="W173" s="46">
        <f t="shared" si="104"/>
        <v>0</v>
      </c>
      <c r="X173" s="46">
        <f t="shared" si="104"/>
        <v>0</v>
      </c>
      <c r="Y173" s="46">
        <f t="shared" ref="Y173" si="105">Y136-Y135</f>
        <v>0</v>
      </c>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row>
    <row r="174" spans="4:79">
      <c r="D174" s="7" t="s">
        <v>370</v>
      </c>
      <c r="E174" s="46">
        <f t="shared" ref="E174:X174" si="106">E137-E136</f>
        <v>0</v>
      </c>
      <c r="F174" s="46">
        <f t="shared" si="106"/>
        <v>0</v>
      </c>
      <c r="G174" s="46">
        <f t="shared" si="106"/>
        <v>0</v>
      </c>
      <c r="H174" s="46">
        <f t="shared" si="106"/>
        <v>0</v>
      </c>
      <c r="I174" s="46">
        <f t="shared" si="106"/>
        <v>0</v>
      </c>
      <c r="J174" s="46">
        <f t="shared" si="106"/>
        <v>0</v>
      </c>
      <c r="K174" s="46">
        <f t="shared" si="106"/>
        <v>0</v>
      </c>
      <c r="L174" s="46">
        <f t="shared" si="106"/>
        <v>0</v>
      </c>
      <c r="M174" s="46">
        <f t="shared" si="106"/>
        <v>0</v>
      </c>
      <c r="N174" s="46">
        <f t="shared" si="106"/>
        <v>0</v>
      </c>
      <c r="O174" s="46">
        <f t="shared" si="106"/>
        <v>0</v>
      </c>
      <c r="P174" s="46">
        <f t="shared" si="106"/>
        <v>0</v>
      </c>
      <c r="Q174" s="46">
        <f t="shared" si="106"/>
        <v>0</v>
      </c>
      <c r="R174" s="46">
        <f t="shared" si="106"/>
        <v>0</v>
      </c>
      <c r="S174" s="46">
        <f t="shared" si="106"/>
        <v>0</v>
      </c>
      <c r="T174" s="46">
        <f t="shared" si="106"/>
        <v>0</v>
      </c>
      <c r="U174" s="46">
        <f t="shared" si="106"/>
        <v>0</v>
      </c>
      <c r="V174" s="46">
        <f t="shared" si="106"/>
        <v>0</v>
      </c>
      <c r="W174" s="46">
        <f t="shared" si="106"/>
        <v>0</v>
      </c>
      <c r="X174" s="46">
        <f t="shared" si="106"/>
        <v>0</v>
      </c>
      <c r="Y174" s="46">
        <f t="shared" ref="Y174" si="107">Y137-Y136</f>
        <v>0</v>
      </c>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row>
    <row r="175" spans="4:79">
      <c r="E175" s="46"/>
      <c r="F175" s="46"/>
      <c r="G175" s="46"/>
      <c r="H175" s="46"/>
      <c r="I175" s="46"/>
      <c r="J175" s="46"/>
      <c r="K175" s="46"/>
      <c r="L175" s="46"/>
      <c r="M175" s="46"/>
      <c r="N175" s="46"/>
      <c r="O175" s="46"/>
      <c r="P175" s="46"/>
      <c r="Q175" s="46"/>
      <c r="R175" s="46"/>
      <c r="S175" s="46"/>
      <c r="T175" s="46"/>
      <c r="U175" s="46"/>
      <c r="V175" s="46"/>
      <c r="W175" s="46"/>
      <c r="X175" s="46"/>
      <c r="Y175" s="46"/>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row>
    <row r="176" spans="4:79" ht="15">
      <c r="D176" s="59" t="s">
        <v>106</v>
      </c>
      <c r="E176" s="60">
        <f t="shared" ref="E176:Y176" si="108">SUM(E143:E174)</f>
        <v>0.65001987383602045</v>
      </c>
      <c r="F176" s="60">
        <f t="shared" si="108"/>
        <v>0.51032623395536769</v>
      </c>
      <c r="G176" s="60">
        <f t="shared" si="108"/>
        <v>0.40069043062203813</v>
      </c>
      <c r="H176" s="60">
        <f t="shared" si="108"/>
        <v>0.31471872753348212</v>
      </c>
      <c r="I176" s="60">
        <f t="shared" si="108"/>
        <v>0.24814504918810615</v>
      </c>
      <c r="J176" s="60">
        <f t="shared" si="108"/>
        <v>0.19491998057533683</v>
      </c>
      <c r="K176" s="60">
        <f t="shared" si="108"/>
        <v>0.15308738719750134</v>
      </c>
      <c r="L176" s="60">
        <f t="shared" si="108"/>
        <v>0.1202727752084654</v>
      </c>
      <c r="M176" s="60">
        <f t="shared" si="108"/>
        <v>9.4477190659774529E-2</v>
      </c>
      <c r="N176" s="60">
        <f t="shared" si="108"/>
        <v>7.4540355751147855E-2</v>
      </c>
      <c r="O176" s="60">
        <f t="shared" si="108"/>
        <v>5.8555851641832725E-2</v>
      </c>
      <c r="P176" s="60">
        <f t="shared" si="108"/>
        <v>4.5992451439791027E-2</v>
      </c>
      <c r="Q176" s="60">
        <f t="shared" si="108"/>
        <v>3.6129278005989869E-2</v>
      </c>
      <c r="R176" s="60">
        <f t="shared" si="108"/>
        <v>2.8378260552694774E-2</v>
      </c>
      <c r="S176" s="60">
        <f t="shared" si="108"/>
        <v>2.2377144823921884E-2</v>
      </c>
      <c r="T176" s="60">
        <f t="shared" si="108"/>
        <v>1.7584543788331856E-2</v>
      </c>
      <c r="U176" s="60">
        <f t="shared" si="108"/>
        <v>1.3821187825122852E-2</v>
      </c>
      <c r="V176" s="60">
        <f t="shared" si="108"/>
        <v>1.0862889292607666E-2</v>
      </c>
      <c r="W176" s="60">
        <f t="shared" si="108"/>
        <v>8.5357712667737014E-3</v>
      </c>
      <c r="X176" s="60">
        <f t="shared" si="108"/>
        <v>6.7357948415141698E-3</v>
      </c>
      <c r="Y176" s="60">
        <f t="shared" si="108"/>
        <v>4.0220440961110464</v>
      </c>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row>
    <row r="177" spans="4:79" ht="15">
      <c r="D177" s="59" t="s">
        <v>107</v>
      </c>
      <c r="E177" s="60">
        <f>E176</f>
        <v>0.65001987383602045</v>
      </c>
      <c r="F177" s="60">
        <f t="shared" ref="F177:X177" si="109">E177+F176</f>
        <v>1.1603461077913881</v>
      </c>
      <c r="G177" s="60">
        <f t="shared" si="109"/>
        <v>1.5610365384134264</v>
      </c>
      <c r="H177" s="60">
        <f t="shared" si="109"/>
        <v>1.8757552659469086</v>
      </c>
      <c r="I177" s="60">
        <f t="shared" si="109"/>
        <v>2.1239003151350149</v>
      </c>
      <c r="J177" s="60">
        <f t="shared" si="109"/>
        <v>2.3188202957103519</v>
      </c>
      <c r="K177" s="60">
        <f t="shared" si="109"/>
        <v>2.4719076829078532</v>
      </c>
      <c r="L177" s="60">
        <f t="shared" si="109"/>
        <v>2.5921804581163186</v>
      </c>
      <c r="M177" s="60">
        <f t="shared" si="109"/>
        <v>2.6866576487760931</v>
      </c>
      <c r="N177" s="60">
        <f t="shared" si="109"/>
        <v>2.7611980045272411</v>
      </c>
      <c r="O177" s="60">
        <f t="shared" si="109"/>
        <v>2.8197538561690738</v>
      </c>
      <c r="P177" s="60">
        <f t="shared" si="109"/>
        <v>2.8657463076088647</v>
      </c>
      <c r="Q177" s="60">
        <f t="shared" si="109"/>
        <v>2.9018755856148548</v>
      </c>
      <c r="R177" s="60">
        <f t="shared" si="109"/>
        <v>2.9302538461675498</v>
      </c>
      <c r="S177" s="60">
        <f t="shared" si="109"/>
        <v>2.9526309909914716</v>
      </c>
      <c r="T177" s="60">
        <f t="shared" si="109"/>
        <v>2.9702155347798036</v>
      </c>
      <c r="U177" s="60">
        <f t="shared" si="109"/>
        <v>2.9840367226049263</v>
      </c>
      <c r="V177" s="60">
        <f t="shared" si="109"/>
        <v>2.9948996118975337</v>
      </c>
      <c r="W177" s="60">
        <f t="shared" si="109"/>
        <v>3.0034353831643075</v>
      </c>
      <c r="X177" s="60">
        <f t="shared" si="109"/>
        <v>3.0101711780058218</v>
      </c>
      <c r="Y177" s="60"/>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row>
    <row r="178" spans="4:79">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row>
    <row r="179" spans="4: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row>
    <row r="180" spans="4:79" customFormat="1"/>
    <row r="181" spans="4:79" customFormat="1"/>
    <row r="182" spans="4:79" customFormat="1"/>
    <row r="183" spans="4:79" customFormat="1"/>
    <row r="184" spans="4:79" customFormat="1"/>
    <row r="185" spans="4:79" customFormat="1"/>
    <row r="186" spans="4:79" customFormat="1"/>
    <row r="187" spans="4:79" customFormat="1"/>
  </sheetData>
  <mergeCells count="1">
    <mergeCell ref="B1:S6"/>
  </mergeCells>
  <dataValidations disablePrompts="1" count="1">
    <dataValidation type="list" allowBlank="1" showInputMessage="1" showErrorMessage="1" sqref="D8">
      <formula1>"ID, MT, OR, WA, Region"</formula1>
    </dataValidation>
  </dataValidations>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sheetPr codeName="Sheet4"/>
  <dimension ref="A1:I65"/>
  <sheetViews>
    <sheetView workbookViewId="0">
      <selection activeCell="H7" sqref="H7"/>
    </sheetView>
  </sheetViews>
  <sheetFormatPr defaultRowHeight="12.75"/>
  <cols>
    <col min="1" max="1" width="11.42578125" bestFit="1" customWidth="1"/>
    <col min="2" max="2" width="10.140625" bestFit="1" customWidth="1"/>
    <col min="3" max="3" width="10.42578125" bestFit="1" customWidth="1"/>
    <col min="4" max="4" width="16.85546875" bestFit="1" customWidth="1"/>
    <col min="5" max="5" width="25.140625" bestFit="1" customWidth="1"/>
    <col min="6" max="6" width="17" customWidth="1"/>
    <col min="7" max="7" width="19.85546875" bestFit="1" customWidth="1"/>
  </cols>
  <sheetData>
    <row r="1" spans="1:9">
      <c r="A1" s="124" t="s">
        <v>372</v>
      </c>
      <c r="B1" s="125" t="s">
        <v>373</v>
      </c>
      <c r="C1" s="125" t="s">
        <v>374</v>
      </c>
      <c r="D1" s="125" t="s">
        <v>375</v>
      </c>
      <c r="E1" s="125" t="s">
        <v>376</v>
      </c>
      <c r="F1" s="125" t="s">
        <v>377</v>
      </c>
      <c r="G1" s="126" t="s">
        <v>378</v>
      </c>
    </row>
    <row r="2" spans="1:9">
      <c r="A2" s="127">
        <v>2010</v>
      </c>
      <c r="B2" s="128" t="s">
        <v>379</v>
      </c>
      <c r="C2" s="128" t="s">
        <v>604</v>
      </c>
      <c r="D2" s="128" t="s">
        <v>606</v>
      </c>
      <c r="E2" s="128" t="s">
        <v>606</v>
      </c>
      <c r="F2" s="129">
        <v>1089312.8900000001</v>
      </c>
      <c r="G2" s="130">
        <v>0.12435078589260229</v>
      </c>
    </row>
    <row r="3" spans="1:9">
      <c r="A3" s="139">
        <v>2011</v>
      </c>
      <c r="B3" s="140" t="s">
        <v>379</v>
      </c>
      <c r="C3" s="140" t="s">
        <v>604</v>
      </c>
      <c r="D3" s="140" t="s">
        <v>606</v>
      </c>
      <c r="E3" s="140" t="s">
        <v>606</v>
      </c>
      <c r="F3" s="141">
        <v>1805071.2399999995</v>
      </c>
      <c r="G3" s="142">
        <v>0.20605836165850633</v>
      </c>
    </row>
    <row r="4" spans="1:9">
      <c r="A4" s="127">
        <v>2012</v>
      </c>
      <c r="B4" s="128" t="s">
        <v>379</v>
      </c>
      <c r="C4" s="128" t="s">
        <v>604</v>
      </c>
      <c r="D4" s="128" t="s">
        <v>606</v>
      </c>
      <c r="E4" s="128" t="s">
        <v>606</v>
      </c>
      <c r="F4" s="129">
        <v>1250823.77</v>
      </c>
      <c r="G4" s="130">
        <v>0.14278810186078772</v>
      </c>
    </row>
    <row r="5" spans="1:9">
      <c r="A5" s="131"/>
      <c r="B5" s="132"/>
      <c r="C5" s="132"/>
      <c r="D5" s="132"/>
      <c r="E5" s="132"/>
      <c r="F5" s="133"/>
      <c r="G5" s="134"/>
    </row>
    <row r="6" spans="1:9">
      <c r="A6" s="135"/>
      <c r="B6" s="136"/>
      <c r="C6" s="136"/>
      <c r="D6" s="136"/>
      <c r="E6" s="136"/>
      <c r="F6" s="137"/>
      <c r="G6" s="138">
        <f>SUM(G2:G4)</f>
        <v>0.47319724941189634</v>
      </c>
      <c r="H6" s="390">
        <f>G6*8760*1000/300</f>
        <v>13817.359682827373</v>
      </c>
      <c r="I6" t="s">
        <v>607</v>
      </c>
    </row>
    <row r="7" spans="1:9">
      <c r="A7" s="131"/>
      <c r="B7" s="132"/>
      <c r="C7" s="132"/>
      <c r="D7" s="132"/>
      <c r="E7" s="132"/>
      <c r="F7" s="133"/>
      <c r="G7" s="134"/>
      <c r="H7">
        <f>H6/3</f>
        <v>4605.786560942458</v>
      </c>
    </row>
    <row r="8" spans="1:9">
      <c r="A8" s="135"/>
      <c r="B8" s="136"/>
      <c r="C8" s="136"/>
      <c r="D8" s="136"/>
      <c r="E8" s="136"/>
      <c r="F8" s="137"/>
      <c r="G8" s="138"/>
    </row>
    <row r="9" spans="1:9">
      <c r="A9" s="131"/>
      <c r="B9" s="132"/>
      <c r="C9" s="132"/>
      <c r="D9" s="132"/>
      <c r="E9" s="132"/>
      <c r="F9" s="133"/>
      <c r="G9" s="134"/>
    </row>
    <row r="10" spans="1:9">
      <c r="A10" s="135"/>
      <c r="B10" s="136"/>
      <c r="C10" s="136"/>
      <c r="D10" s="136"/>
      <c r="E10" s="136"/>
      <c r="F10" s="137"/>
      <c r="G10" s="138"/>
    </row>
    <row r="11" spans="1:9">
      <c r="A11" s="131"/>
      <c r="B11" s="132"/>
      <c r="C11" s="132"/>
      <c r="D11" s="132"/>
      <c r="E11" s="132"/>
      <c r="F11" s="133"/>
      <c r="G11" s="134"/>
    </row>
    <row r="12" spans="1:9">
      <c r="A12" s="135"/>
      <c r="B12" s="136"/>
      <c r="C12" s="136"/>
      <c r="D12" s="136"/>
      <c r="E12" s="136"/>
      <c r="F12" s="137"/>
      <c r="G12" s="138"/>
    </row>
    <row r="13" spans="1:9">
      <c r="A13" s="131"/>
      <c r="B13" s="132"/>
      <c r="C13" s="132"/>
      <c r="D13" s="132"/>
      <c r="E13" s="132"/>
      <c r="F13" s="133"/>
      <c r="G13" s="134"/>
    </row>
    <row r="14" spans="1:9">
      <c r="A14" s="135"/>
      <c r="B14" s="136"/>
      <c r="C14" s="136"/>
      <c r="D14" s="136"/>
      <c r="E14" s="136"/>
      <c r="F14" s="137"/>
      <c r="G14" s="138"/>
    </row>
    <row r="15" spans="1:9">
      <c r="A15" s="131"/>
      <c r="B15" s="132"/>
      <c r="C15" s="132"/>
      <c r="D15" s="132"/>
      <c r="E15" s="132"/>
      <c r="F15" s="133"/>
      <c r="G15" s="134"/>
    </row>
    <row r="16" spans="1:9">
      <c r="A16" s="135"/>
      <c r="B16" s="136"/>
      <c r="C16" s="136"/>
      <c r="D16" s="136"/>
      <c r="E16" s="136"/>
      <c r="F16" s="137"/>
      <c r="G16" s="138"/>
    </row>
    <row r="17" spans="1:7">
      <c r="A17" s="131"/>
      <c r="B17" s="132"/>
      <c r="C17" s="132"/>
      <c r="D17" s="132"/>
      <c r="E17" s="132"/>
      <c r="F17" s="133"/>
      <c r="G17" s="134"/>
    </row>
    <row r="18" spans="1:7">
      <c r="A18" s="135"/>
      <c r="B18" s="136"/>
      <c r="C18" s="136"/>
      <c r="D18" s="136"/>
      <c r="E18" s="136"/>
      <c r="F18" s="137"/>
      <c r="G18" s="138"/>
    </row>
    <row r="19" spans="1:7">
      <c r="A19" s="131"/>
      <c r="B19" s="132"/>
      <c r="C19" s="132"/>
      <c r="D19" s="132"/>
      <c r="E19" s="132"/>
      <c r="F19" s="133"/>
      <c r="G19" s="134"/>
    </row>
    <row r="20" spans="1:7">
      <c r="A20" s="135"/>
      <c r="B20" s="136"/>
      <c r="C20" s="136"/>
      <c r="D20" s="136"/>
      <c r="E20" s="136"/>
      <c r="F20" s="137"/>
      <c r="G20" s="138"/>
    </row>
    <row r="21" spans="1:7">
      <c r="A21" s="139"/>
      <c r="B21" s="140"/>
      <c r="C21" s="140"/>
      <c r="D21" s="140"/>
      <c r="E21" s="140"/>
      <c r="F21" s="141"/>
      <c r="G21" s="142"/>
    </row>
    <row r="22" spans="1:7">
      <c r="A22" s="135"/>
      <c r="B22" s="136"/>
      <c r="C22" s="136"/>
      <c r="D22" s="136"/>
      <c r="E22" s="136"/>
      <c r="F22" s="137"/>
      <c r="G22" s="138"/>
    </row>
    <row r="23" spans="1:7">
      <c r="A23" s="131"/>
      <c r="B23" s="132"/>
      <c r="C23" s="132"/>
      <c r="D23" s="132"/>
      <c r="E23" s="132"/>
      <c r="F23" s="133"/>
      <c r="G23" s="134"/>
    </row>
    <row r="24" spans="1:7">
      <c r="A24" s="135"/>
      <c r="B24" s="136"/>
      <c r="C24" s="136"/>
      <c r="D24" s="136"/>
      <c r="E24" s="136"/>
      <c r="F24" s="137"/>
      <c r="G24" s="138"/>
    </row>
    <row r="25" spans="1:7">
      <c r="A25" s="131"/>
      <c r="B25" s="132"/>
      <c r="C25" s="132"/>
      <c r="D25" s="132"/>
      <c r="E25" s="132"/>
      <c r="F25" s="133"/>
      <c r="G25" s="134"/>
    </row>
    <row r="26" spans="1:7">
      <c r="A26" s="135"/>
      <c r="B26" s="136"/>
      <c r="C26" s="136"/>
      <c r="D26" s="136"/>
      <c r="E26" s="136"/>
      <c r="F26" s="137"/>
      <c r="G26" s="138"/>
    </row>
    <row r="27" spans="1:7">
      <c r="A27" s="131"/>
      <c r="B27" s="132"/>
      <c r="C27" s="132"/>
      <c r="D27" s="132"/>
      <c r="E27" s="132"/>
      <c r="F27" s="133"/>
      <c r="G27" s="134"/>
    </row>
    <row r="28" spans="1:7">
      <c r="A28" s="135"/>
      <c r="B28" s="136"/>
      <c r="C28" s="136"/>
      <c r="D28" s="136"/>
      <c r="E28" s="136"/>
      <c r="F28" s="137"/>
      <c r="G28" s="138"/>
    </row>
    <row r="29" spans="1:7">
      <c r="A29" s="131"/>
      <c r="B29" s="132"/>
      <c r="C29" s="132"/>
      <c r="D29" s="132"/>
      <c r="E29" s="132"/>
      <c r="F29" s="133"/>
      <c r="G29" s="134"/>
    </row>
    <row r="30" spans="1:7">
      <c r="A30" s="135"/>
      <c r="B30" s="136"/>
      <c r="C30" s="136"/>
      <c r="D30" s="136"/>
      <c r="E30" s="136"/>
      <c r="F30" s="137"/>
      <c r="G30" s="138"/>
    </row>
    <row r="31" spans="1:7">
      <c r="A31" s="131"/>
      <c r="B31" s="132"/>
      <c r="C31" s="132"/>
      <c r="D31" s="132"/>
      <c r="E31" s="132"/>
      <c r="F31" s="133"/>
      <c r="G31" s="134"/>
    </row>
    <row r="32" spans="1:7">
      <c r="A32" s="135"/>
      <c r="B32" s="136"/>
      <c r="C32" s="136"/>
      <c r="D32" s="136"/>
      <c r="E32" s="136"/>
      <c r="F32" s="137"/>
      <c r="G32" s="138"/>
    </row>
    <row r="33" spans="1:7">
      <c r="A33" s="131"/>
      <c r="B33" s="132"/>
      <c r="C33" s="132"/>
      <c r="D33" s="132"/>
      <c r="E33" s="132"/>
      <c r="F33" s="133"/>
      <c r="G33" s="134"/>
    </row>
    <row r="34" spans="1:7">
      <c r="A34" s="135"/>
      <c r="B34" s="136"/>
      <c r="C34" s="136"/>
      <c r="D34" s="136"/>
      <c r="E34" s="136"/>
      <c r="F34" s="137"/>
      <c r="G34" s="138"/>
    </row>
    <row r="35" spans="1:7">
      <c r="A35" s="131"/>
      <c r="B35" s="132"/>
      <c r="C35" s="132"/>
      <c r="D35" s="132"/>
      <c r="E35" s="132"/>
      <c r="F35" s="133"/>
      <c r="G35" s="134"/>
    </row>
    <row r="36" spans="1:7">
      <c r="A36" s="135"/>
      <c r="B36" s="136"/>
      <c r="C36" s="136"/>
      <c r="D36" s="136"/>
      <c r="E36" s="136"/>
      <c r="F36" s="137"/>
      <c r="G36" s="138"/>
    </row>
    <row r="37" spans="1:7">
      <c r="A37" s="131"/>
      <c r="B37" s="132"/>
      <c r="C37" s="132"/>
      <c r="D37" s="132"/>
      <c r="E37" s="132"/>
      <c r="F37" s="133"/>
      <c r="G37" s="134"/>
    </row>
    <row r="38" spans="1:7">
      <c r="A38" s="135"/>
      <c r="B38" s="136"/>
      <c r="C38" s="136"/>
      <c r="D38" s="136"/>
      <c r="E38" s="136"/>
      <c r="F38" s="137"/>
      <c r="G38" s="138"/>
    </row>
    <row r="39" spans="1:7">
      <c r="A39" s="139"/>
      <c r="B39" s="140"/>
      <c r="C39" s="140"/>
      <c r="D39" s="140"/>
      <c r="E39" s="140"/>
      <c r="F39" s="141"/>
      <c r="G39" s="142"/>
    </row>
    <row r="40" spans="1:7">
      <c r="A40" s="135"/>
      <c r="B40" s="136"/>
      <c r="C40" s="136"/>
      <c r="D40" s="136"/>
      <c r="E40" s="136"/>
      <c r="F40" s="137"/>
      <c r="G40" s="138"/>
    </row>
    <row r="41" spans="1:7">
      <c r="A41" s="131"/>
      <c r="B41" s="132"/>
      <c r="C41" s="132"/>
      <c r="D41" s="132"/>
      <c r="E41" s="132"/>
      <c r="F41" s="133"/>
      <c r="G41" s="134"/>
    </row>
    <row r="42" spans="1:7">
      <c r="A42" s="135"/>
      <c r="B42" s="136"/>
      <c r="C42" s="136"/>
      <c r="D42" s="136"/>
      <c r="E42" s="136"/>
      <c r="F42" s="137"/>
      <c r="G42" s="138"/>
    </row>
    <row r="43" spans="1:7">
      <c r="A43" s="131"/>
      <c r="B43" s="132"/>
      <c r="C43" s="132"/>
      <c r="D43" s="132"/>
      <c r="E43" s="132"/>
      <c r="F43" s="133"/>
      <c r="G43" s="134"/>
    </row>
    <row r="44" spans="1:7">
      <c r="A44" s="135"/>
      <c r="B44" s="136"/>
      <c r="C44" s="136"/>
      <c r="D44" s="136"/>
      <c r="E44" s="136"/>
      <c r="F44" s="137"/>
      <c r="G44" s="138"/>
    </row>
    <row r="45" spans="1:7">
      <c r="A45" s="131"/>
      <c r="B45" s="132"/>
      <c r="C45" s="132"/>
      <c r="D45" s="132"/>
      <c r="E45" s="132"/>
      <c r="F45" s="133"/>
      <c r="G45" s="134"/>
    </row>
    <row r="46" spans="1:7">
      <c r="A46" s="135"/>
      <c r="B46" s="136"/>
      <c r="C46" s="136"/>
      <c r="D46" s="136"/>
      <c r="E46" s="136"/>
      <c r="F46" s="137"/>
      <c r="G46" s="138"/>
    </row>
    <row r="47" spans="1:7">
      <c r="A47" s="131"/>
      <c r="B47" s="132"/>
      <c r="C47" s="132"/>
      <c r="D47" s="132"/>
      <c r="E47" s="132"/>
      <c r="F47" s="133"/>
      <c r="G47" s="134"/>
    </row>
    <row r="48" spans="1:7">
      <c r="A48" s="135"/>
      <c r="B48" s="136"/>
      <c r="C48" s="136"/>
      <c r="D48" s="136"/>
      <c r="E48" s="136"/>
      <c r="F48" s="137"/>
      <c r="G48" s="138"/>
    </row>
    <row r="49" spans="1:8">
      <c r="A49" s="131"/>
      <c r="B49" s="132"/>
      <c r="C49" s="132"/>
      <c r="D49" s="132"/>
      <c r="E49" s="132"/>
      <c r="F49" s="133"/>
      <c r="G49" s="134"/>
    </row>
    <row r="50" spans="1:8">
      <c r="A50" s="135"/>
      <c r="B50" s="136"/>
      <c r="C50" s="136"/>
      <c r="D50" s="136"/>
      <c r="E50" s="136"/>
      <c r="F50" s="137"/>
      <c r="G50" s="138"/>
    </row>
    <row r="51" spans="1:8">
      <c r="A51" s="131"/>
      <c r="B51" s="132"/>
      <c r="C51" s="132"/>
      <c r="D51" s="132"/>
      <c r="E51" s="132"/>
      <c r="F51" s="133"/>
      <c r="G51" s="134"/>
    </row>
    <row r="52" spans="1:8">
      <c r="A52" s="135"/>
      <c r="B52" s="136"/>
      <c r="C52" s="136"/>
      <c r="D52" s="136"/>
      <c r="E52" s="136"/>
      <c r="F52" s="137"/>
      <c r="G52" s="138"/>
    </row>
    <row r="53" spans="1:8">
      <c r="A53" s="131"/>
      <c r="B53" s="132"/>
      <c r="C53" s="132"/>
      <c r="D53" s="132"/>
      <c r="E53" s="132"/>
      <c r="F53" s="133"/>
      <c r="G53" s="134"/>
    </row>
    <row r="54" spans="1:8">
      <c r="A54" s="135"/>
      <c r="B54" s="136"/>
      <c r="C54" s="136"/>
      <c r="D54" s="136"/>
      <c r="E54" s="136"/>
      <c r="F54" s="137"/>
      <c r="G54" s="138"/>
    </row>
    <row r="55" spans="1:8">
      <c r="A55" s="131"/>
      <c r="B55" s="132"/>
      <c r="C55" s="132"/>
      <c r="D55" s="132"/>
      <c r="E55" s="132"/>
      <c r="F55" s="133"/>
      <c r="G55" s="134"/>
    </row>
    <row r="56" spans="1:8">
      <c r="A56" s="135"/>
      <c r="B56" s="136"/>
      <c r="C56" s="136"/>
      <c r="D56" s="136"/>
      <c r="E56" s="136"/>
      <c r="F56" s="137"/>
      <c r="G56" s="138"/>
    </row>
    <row r="57" spans="1:8">
      <c r="A57" s="131"/>
      <c r="B57" s="132"/>
      <c r="C57" s="132"/>
      <c r="D57" s="132"/>
      <c r="E57" s="132"/>
      <c r="F57" s="133"/>
      <c r="G57" s="134"/>
    </row>
    <row r="59" spans="1:8">
      <c r="G59" s="143"/>
      <c r="H59" s="143"/>
    </row>
    <row r="60" spans="1:8">
      <c r="F60" s="136"/>
      <c r="G60" s="143"/>
      <c r="H60" s="143"/>
    </row>
    <row r="61" spans="1:8">
      <c r="F61" s="136"/>
      <c r="G61" s="143"/>
      <c r="H61" s="143"/>
    </row>
    <row r="62" spans="1:8">
      <c r="F62" s="132"/>
      <c r="G62" s="143"/>
      <c r="H62" s="143"/>
    </row>
    <row r="63" spans="1:8">
      <c r="F63" s="132"/>
      <c r="G63" s="143"/>
      <c r="H63" s="143"/>
    </row>
    <row r="64" spans="1:8">
      <c r="F64" s="140"/>
      <c r="G64" s="143"/>
      <c r="H64" s="143"/>
    </row>
    <row r="65" spans="6:8">
      <c r="F65" s="136"/>
      <c r="G65" s="143"/>
      <c r="H65" s="14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dimension ref="A1:EA9"/>
  <sheetViews>
    <sheetView workbookViewId="0">
      <selection sqref="A1:EA9"/>
    </sheetView>
  </sheetViews>
  <sheetFormatPr defaultRowHeight="12.75"/>
  <sheetData>
    <row r="1" spans="1:131" ht="13.5" thickBot="1">
      <c r="A1" s="24" t="s">
        <v>340</v>
      </c>
      <c r="B1" s="25"/>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420"/>
      <c r="CY1" s="420"/>
      <c r="CZ1" s="420"/>
      <c r="DA1" s="420"/>
      <c r="DB1" s="420"/>
      <c r="DC1" s="420"/>
      <c r="DD1" s="420"/>
      <c r="DE1" s="420"/>
      <c r="DF1" s="420"/>
      <c r="DG1" s="420"/>
      <c r="DH1" s="420"/>
      <c r="DI1" s="420"/>
      <c r="DJ1" s="420"/>
      <c r="DK1" s="420"/>
      <c r="DL1" s="420"/>
      <c r="DM1" s="420"/>
      <c r="DN1" s="420"/>
      <c r="DO1" s="420"/>
      <c r="DP1" s="420"/>
      <c r="DQ1" s="420"/>
      <c r="DR1" s="420"/>
      <c r="DS1" s="420"/>
      <c r="DT1" s="420"/>
      <c r="DU1" s="420"/>
      <c r="DV1" s="420"/>
      <c r="DW1" s="420"/>
      <c r="DX1" s="420"/>
      <c r="DY1" s="420"/>
      <c r="DZ1" s="420"/>
      <c r="EA1" s="420"/>
    </row>
    <row r="2" spans="1:131" ht="13.5" thickBot="1">
      <c r="A2" s="33"/>
      <c r="B2" s="34"/>
      <c r="C2" s="35"/>
      <c r="D2" s="35"/>
      <c r="E2" s="35"/>
      <c r="F2" s="35"/>
      <c r="G2" s="35"/>
      <c r="H2" s="35"/>
      <c r="I2" s="35"/>
      <c r="J2" s="35"/>
      <c r="K2" s="35"/>
      <c r="L2" s="35"/>
      <c r="M2" s="35"/>
      <c r="N2" s="35"/>
      <c r="O2" s="36" t="s">
        <v>383</v>
      </c>
      <c r="P2" s="37"/>
      <c r="Q2" s="37"/>
      <c r="R2" s="37"/>
      <c r="S2" s="37"/>
      <c r="T2" s="37"/>
      <c r="U2" s="37"/>
      <c r="V2" s="37"/>
      <c r="W2" s="37"/>
      <c r="X2" s="37"/>
      <c r="Y2" s="37"/>
      <c r="Z2" s="31"/>
      <c r="AA2" s="35"/>
      <c r="AB2" s="36" t="s">
        <v>384</v>
      </c>
      <c r="AC2" s="37"/>
      <c r="AD2" s="37"/>
      <c r="AE2" s="37"/>
      <c r="AF2" s="37"/>
      <c r="AG2" s="37"/>
      <c r="AH2" s="37"/>
      <c r="AI2" s="37"/>
      <c r="AJ2" s="37"/>
      <c r="AK2" s="37"/>
      <c r="AL2" s="37"/>
      <c r="AM2" s="31"/>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420"/>
      <c r="CY2" s="420"/>
      <c r="CZ2" s="420"/>
      <c r="DA2" s="420"/>
      <c r="DB2" s="420"/>
      <c r="DC2" s="420"/>
      <c r="DD2" s="420"/>
      <c r="DE2" s="420"/>
      <c r="DF2" s="420"/>
      <c r="DG2" s="420"/>
      <c r="DH2" s="420"/>
      <c r="DI2" s="420"/>
      <c r="DJ2" s="420"/>
      <c r="DK2" s="420"/>
      <c r="DL2" s="420"/>
      <c r="DM2" s="420"/>
      <c r="DN2" s="420"/>
      <c r="DO2" s="420"/>
      <c r="DP2" s="420"/>
      <c r="DQ2" s="420"/>
      <c r="DR2" s="420"/>
      <c r="DS2" s="420"/>
      <c r="DT2" s="420"/>
      <c r="DU2" s="420"/>
      <c r="DV2" s="420"/>
      <c r="DW2" s="420"/>
      <c r="DX2" s="420"/>
      <c r="DY2" s="420"/>
      <c r="DZ2" s="420"/>
      <c r="EA2" s="420"/>
    </row>
    <row r="3" spans="1:131" ht="191.25">
      <c r="A3" s="27" t="s">
        <v>231</v>
      </c>
      <c r="B3" s="28" t="s">
        <v>232</v>
      </c>
      <c r="C3" s="29" t="s">
        <v>22</v>
      </c>
      <c r="D3" s="29" t="s">
        <v>317</v>
      </c>
      <c r="E3" s="29" t="s">
        <v>318</v>
      </c>
      <c r="F3" s="29" t="s">
        <v>319</v>
      </c>
      <c r="G3" s="29" t="s">
        <v>320</v>
      </c>
      <c r="H3" s="29" t="s">
        <v>321</v>
      </c>
      <c r="I3" s="29" t="s">
        <v>322</v>
      </c>
      <c r="J3" s="29" t="s">
        <v>323</v>
      </c>
      <c r="K3" s="29" t="s">
        <v>21</v>
      </c>
      <c r="L3" s="29" t="s">
        <v>293</v>
      </c>
      <c r="M3" s="29" t="s">
        <v>324</v>
      </c>
      <c r="N3" s="29" t="s">
        <v>385</v>
      </c>
      <c r="O3" s="29" t="s">
        <v>325</v>
      </c>
      <c r="P3" s="29" t="s">
        <v>326</v>
      </c>
      <c r="Q3" s="29" t="s">
        <v>327</v>
      </c>
      <c r="R3" s="29" t="s">
        <v>328</v>
      </c>
      <c r="S3" s="29" t="s">
        <v>329</v>
      </c>
      <c r="T3" s="29" t="s">
        <v>330</v>
      </c>
      <c r="U3" s="29" t="s">
        <v>331</v>
      </c>
      <c r="V3" s="29" t="s">
        <v>332</v>
      </c>
      <c r="W3" s="29" t="s">
        <v>333</v>
      </c>
      <c r="X3" s="29" t="s">
        <v>334</v>
      </c>
      <c r="Y3" s="29" t="s">
        <v>335</v>
      </c>
      <c r="Z3" s="29" t="s">
        <v>336</v>
      </c>
      <c r="AA3" s="29"/>
      <c r="AB3" s="29" t="s">
        <v>325</v>
      </c>
      <c r="AC3" s="29" t="s">
        <v>326</v>
      </c>
      <c r="AD3" s="29" t="s">
        <v>327</v>
      </c>
      <c r="AE3" s="29" t="s">
        <v>328</v>
      </c>
      <c r="AF3" s="29" t="s">
        <v>329</v>
      </c>
      <c r="AG3" s="29" t="s">
        <v>330</v>
      </c>
      <c r="AH3" s="29" t="s">
        <v>331</v>
      </c>
      <c r="AI3" s="29" t="s">
        <v>332</v>
      </c>
      <c r="AJ3" s="29" t="s">
        <v>333</v>
      </c>
      <c r="AK3" s="29" t="s">
        <v>334</v>
      </c>
      <c r="AL3" s="29" t="s">
        <v>335</v>
      </c>
      <c r="AM3" s="29" t="s">
        <v>336</v>
      </c>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420"/>
      <c r="CY3" s="420"/>
      <c r="CZ3" s="420"/>
      <c r="DA3" s="420"/>
      <c r="DB3" s="420"/>
      <c r="DC3" s="420"/>
      <c r="DD3" s="420"/>
      <c r="DE3" s="420"/>
      <c r="DF3" s="420"/>
      <c r="DG3" s="420"/>
      <c r="DH3" s="420"/>
      <c r="DI3" s="420"/>
      <c r="DJ3" s="420"/>
      <c r="DK3" s="420"/>
      <c r="DL3" s="420"/>
      <c r="DM3" s="420"/>
      <c r="DN3" s="420"/>
      <c r="DO3" s="420"/>
      <c r="DP3" s="420"/>
      <c r="DQ3" s="420"/>
      <c r="DR3" s="420"/>
      <c r="DS3" s="420"/>
      <c r="DT3" s="420"/>
      <c r="DU3" s="420"/>
      <c r="DV3" s="420"/>
      <c r="DW3" s="420"/>
      <c r="DX3" s="420"/>
      <c r="DY3" s="420"/>
      <c r="DZ3" s="420"/>
      <c r="EA3" s="420"/>
    </row>
    <row r="4" spans="1:131">
      <c r="A4" s="420" t="s">
        <v>599</v>
      </c>
      <c r="B4" s="420"/>
      <c r="C4" s="32">
        <v>266.56232768182667</v>
      </c>
      <c r="D4" s="32">
        <v>-42.02</v>
      </c>
      <c r="E4" s="32">
        <v>-8.4040000000000017</v>
      </c>
      <c r="F4" s="32">
        <v>-50.424000000000007</v>
      </c>
      <c r="G4" s="32">
        <v>-52.182040333453884</v>
      </c>
      <c r="H4" s="32">
        <v>193.35265579770675</v>
      </c>
      <c r="I4" s="32">
        <v>-1657.076766403532</v>
      </c>
      <c r="J4" s="32">
        <v>-21.860161322878785</v>
      </c>
      <c r="K4" s="32">
        <v>-32.508813064490326</v>
      </c>
      <c r="L4" s="30">
        <v>210.48539444632513</v>
      </c>
      <c r="M4" s="32">
        <v>2.5323488222198556</v>
      </c>
      <c r="N4" s="32">
        <v>6.2219579338429934E-2</v>
      </c>
      <c r="O4" s="32">
        <v>10.917717502599407</v>
      </c>
      <c r="P4" s="32">
        <v>8.071058999425718</v>
      </c>
      <c r="Q4" s="32">
        <v>7.5185637170379751</v>
      </c>
      <c r="R4" s="32">
        <v>4.3162089348486896</v>
      </c>
      <c r="S4" s="32">
        <v>3.4671628268245334</v>
      </c>
      <c r="T4" s="32">
        <v>2.6895041876587884</v>
      </c>
      <c r="U4" s="32">
        <v>2.8064766226590034</v>
      </c>
      <c r="V4" s="32">
        <v>4.0849193860138167</v>
      </c>
      <c r="W4" s="32">
        <v>5.1609750022108205</v>
      </c>
      <c r="X4" s="32">
        <v>8.4195480439916572</v>
      </c>
      <c r="Y4" s="32">
        <v>9.7500629251272208</v>
      </c>
      <c r="Z4" s="32">
        <v>11.485377518400622</v>
      </c>
      <c r="AA4" s="32"/>
      <c r="AB4" s="32">
        <v>18.094400095459083</v>
      </c>
      <c r="AC4" s="32">
        <v>15.6953758914429</v>
      </c>
      <c r="AD4" s="32">
        <v>15.822637139610483</v>
      </c>
      <c r="AE4" s="32">
        <v>15.067105984661911</v>
      </c>
      <c r="AF4" s="32">
        <v>13.877571571992419</v>
      </c>
      <c r="AG4" s="32">
        <v>12.609062687647768</v>
      </c>
      <c r="AH4" s="32">
        <v>13.768771125954668</v>
      </c>
      <c r="AI4" s="32">
        <v>14.86756764875765</v>
      </c>
      <c r="AJ4" s="32">
        <v>16.025705134589259</v>
      </c>
      <c r="AK4" s="32">
        <v>16.539435575219997</v>
      </c>
      <c r="AL4" s="32">
        <v>17.337947476610633</v>
      </c>
      <c r="AM4" s="26">
        <v>18.169171683081689</v>
      </c>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420"/>
      <c r="CY4" s="420"/>
      <c r="CZ4" s="420"/>
      <c r="DA4" s="420"/>
      <c r="DB4" s="420"/>
      <c r="DC4" s="420"/>
      <c r="DD4" s="420"/>
      <c r="DE4" s="420"/>
      <c r="DF4" s="420"/>
      <c r="DG4" s="420"/>
      <c r="DH4" s="420"/>
      <c r="DI4" s="420"/>
      <c r="DJ4" s="420"/>
      <c r="DK4" s="420"/>
      <c r="DL4" s="420"/>
      <c r="DM4" s="420"/>
      <c r="DN4" s="420"/>
      <c r="DO4" s="420"/>
      <c r="DP4" s="420"/>
      <c r="DQ4" s="420"/>
      <c r="DR4" s="420"/>
      <c r="DS4" s="420"/>
      <c r="DT4" s="420"/>
      <c r="DU4" s="420"/>
      <c r="DV4" s="420"/>
      <c r="DW4" s="420"/>
      <c r="DX4" s="420"/>
      <c r="DY4" s="420"/>
      <c r="DZ4" s="420"/>
      <c r="EA4" s="420"/>
    </row>
    <row r="5" spans="1:131">
      <c r="A5" s="420" t="s">
        <v>600</v>
      </c>
      <c r="B5" s="420"/>
      <c r="C5" s="32">
        <v>264.86483952409634</v>
      </c>
      <c r="D5" s="32">
        <v>-43.603333333333332</v>
      </c>
      <c r="E5" s="32">
        <v>-8.7206666666666663</v>
      </c>
      <c r="F5" s="32">
        <v>-52.323999999999998</v>
      </c>
      <c r="G5" s="32">
        <v>-53.078968049038977</v>
      </c>
      <c r="H5" s="32">
        <v>192.12137211881375</v>
      </c>
      <c r="I5" s="32">
        <v>-1730.5363778128067</v>
      </c>
      <c r="J5" s="32">
        <v>-22.026652733149355</v>
      </c>
      <c r="K5" s="32">
        <v>-32.850302911189921</v>
      </c>
      <c r="L5" s="30">
        <v>108.28211717236189</v>
      </c>
      <c r="M5" s="32">
        <v>2.5162226419964759</v>
      </c>
      <c r="N5" s="32">
        <v>6.1823360562789545E-2</v>
      </c>
      <c r="O5" s="32">
        <v>10.848192688904698</v>
      </c>
      <c r="P5" s="32">
        <v>8.0196619127067699</v>
      </c>
      <c r="Q5" s="32">
        <v>7.4706849601866079</v>
      </c>
      <c r="R5" s="32">
        <v>4.288723004571473</v>
      </c>
      <c r="S5" s="32">
        <v>3.4450836834938139</v>
      </c>
      <c r="T5" s="32">
        <v>2.6723772307162226</v>
      </c>
      <c r="U5" s="32">
        <v>2.7886047768008861</v>
      </c>
      <c r="V5" s="32">
        <v>4.0589063242907137</v>
      </c>
      <c r="W5" s="32">
        <v>5.1281095405952097</v>
      </c>
      <c r="X5" s="32">
        <v>8.365931753863908</v>
      </c>
      <c r="Y5" s="32">
        <v>9.6879738201270449</v>
      </c>
      <c r="Z5" s="32">
        <v>11.412237804720533</v>
      </c>
      <c r="AA5" s="32"/>
      <c r="AB5" s="32">
        <v>17.979173648607457</v>
      </c>
      <c r="AC5" s="32">
        <v>15.595426604015268</v>
      </c>
      <c r="AD5" s="32">
        <v>15.721877443361841</v>
      </c>
      <c r="AE5" s="32">
        <v>14.971157565383553</v>
      </c>
      <c r="AF5" s="32">
        <v>13.789198193779615</v>
      </c>
      <c r="AG5" s="32">
        <v>12.528767265640841</v>
      </c>
      <c r="AH5" s="32">
        <v>13.681090596841402</v>
      </c>
      <c r="AI5" s="32">
        <v>14.772889904015925</v>
      </c>
      <c r="AJ5" s="32">
        <v>15.923652286680031</v>
      </c>
      <c r="AK5" s="32">
        <v>16.434111254755667</v>
      </c>
      <c r="AL5" s="32">
        <v>17.227538174677971</v>
      </c>
      <c r="AM5" s="26">
        <v>18.05346908535898</v>
      </c>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420"/>
      <c r="CY5" s="420"/>
      <c r="CZ5" s="420"/>
      <c r="DA5" s="420"/>
      <c r="DB5" s="420"/>
      <c r="DC5" s="420"/>
      <c r="DD5" s="420"/>
      <c r="DE5" s="420"/>
      <c r="DF5" s="420"/>
      <c r="DG5" s="420"/>
      <c r="DH5" s="420"/>
      <c r="DI5" s="420"/>
      <c r="DJ5" s="420"/>
      <c r="DK5" s="420"/>
      <c r="DL5" s="420"/>
      <c r="DM5" s="420"/>
      <c r="DN5" s="420"/>
      <c r="DO5" s="420"/>
      <c r="DP5" s="420"/>
      <c r="DQ5" s="420"/>
      <c r="DR5" s="420"/>
      <c r="DS5" s="420"/>
      <c r="DT5" s="420"/>
      <c r="DU5" s="420"/>
      <c r="DV5" s="420"/>
      <c r="DW5" s="420"/>
      <c r="DX5" s="420"/>
      <c r="DY5" s="420"/>
      <c r="DZ5" s="420"/>
      <c r="EA5" s="420"/>
    </row>
    <row r="6" spans="1:131">
      <c r="A6" s="420" t="s">
        <v>601</v>
      </c>
      <c r="B6" s="420"/>
      <c r="C6" s="32">
        <v>263.37666569558996</v>
      </c>
      <c r="D6" s="32">
        <v>-44.991428571428571</v>
      </c>
      <c r="E6" s="32">
        <v>-8.9982857142857142</v>
      </c>
      <c r="F6" s="32">
        <v>-53.989714285714285</v>
      </c>
      <c r="G6" s="32">
        <v>-54.598687510310107</v>
      </c>
      <c r="H6" s="32">
        <v>191.0419159010778</v>
      </c>
      <c r="I6" s="32">
        <v>-1795.7167765556396</v>
      </c>
      <c r="J6" s="32">
        <v>-22.174379848777985</v>
      </c>
      <c r="K6" s="32">
        <v>-33.358198810091075</v>
      </c>
      <c r="L6" s="30">
        <v>98.154322334229761</v>
      </c>
      <c r="M6" s="32">
        <v>2.502084953169061</v>
      </c>
      <c r="N6" s="32">
        <v>6.1475998839183005E-2</v>
      </c>
      <c r="O6" s="32">
        <v>10.787240859755801</v>
      </c>
      <c r="P6" s="32">
        <v>7.9746025118689534</v>
      </c>
      <c r="Q6" s="32">
        <v>7.4287100500447325</v>
      </c>
      <c r="R6" s="32">
        <v>4.2646263168246801</v>
      </c>
      <c r="S6" s="32">
        <v>3.4257270811452276</v>
      </c>
      <c r="T6" s="32">
        <v>2.6573621692161979</v>
      </c>
      <c r="U6" s="32">
        <v>2.7729366773493336</v>
      </c>
      <c r="V6" s="32">
        <v>4.0361008882236931</v>
      </c>
      <c r="W6" s="32">
        <v>5.0992966622164104</v>
      </c>
      <c r="X6" s="32">
        <v>8.3189267957519117</v>
      </c>
      <c r="Y6" s="32">
        <v>9.6335408152923012</v>
      </c>
      <c r="Z6" s="32">
        <v>11.348116822652125</v>
      </c>
      <c r="AA6" s="32"/>
      <c r="AB6" s="32">
        <v>17.878155575653324</v>
      </c>
      <c r="AC6" s="32">
        <v>15.507801890375703</v>
      </c>
      <c r="AD6" s="32">
        <v>15.633542251011525</v>
      </c>
      <c r="AE6" s="32">
        <v>14.88704037976057</v>
      </c>
      <c r="AF6" s="32">
        <v>13.711721984008088</v>
      </c>
      <c r="AG6" s="32">
        <v>12.458372933264844</v>
      </c>
      <c r="AH6" s="32">
        <v>13.604221802145107</v>
      </c>
      <c r="AI6" s="32">
        <v>14.689886708249871</v>
      </c>
      <c r="AJ6" s="32">
        <v>15.834183398964122</v>
      </c>
      <c r="AK6" s="32">
        <v>16.341774294107989</v>
      </c>
      <c r="AL6" s="32">
        <v>17.130743252833245</v>
      </c>
      <c r="AM6" s="26">
        <v>17.952033574874257</v>
      </c>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420"/>
      <c r="CY6" s="420"/>
      <c r="CZ6" s="420"/>
      <c r="DA6" s="420"/>
      <c r="DB6" s="420"/>
      <c r="DC6" s="420"/>
      <c r="DD6" s="420"/>
      <c r="DE6" s="420"/>
      <c r="DF6" s="420"/>
      <c r="DG6" s="420"/>
      <c r="DH6" s="420"/>
      <c r="DI6" s="420"/>
      <c r="DJ6" s="420"/>
      <c r="DK6" s="420"/>
      <c r="DL6" s="420"/>
      <c r="DM6" s="420"/>
      <c r="DN6" s="420"/>
      <c r="DO6" s="420"/>
      <c r="DP6" s="420"/>
      <c r="DQ6" s="420"/>
      <c r="DR6" s="420"/>
      <c r="DS6" s="420"/>
      <c r="DT6" s="420"/>
      <c r="DU6" s="420"/>
      <c r="DV6" s="420"/>
      <c r="DW6" s="420"/>
      <c r="DX6" s="420"/>
      <c r="DY6" s="420"/>
      <c r="DZ6" s="420"/>
      <c r="EA6" s="420"/>
    </row>
    <row r="7" spans="1:131">
      <c r="A7" s="420" t="s">
        <v>602</v>
      </c>
      <c r="B7" s="420"/>
      <c r="C7" s="32">
        <v>263.37666569558996</v>
      </c>
      <c r="D7" s="32">
        <v>-44.991428571428571</v>
      </c>
      <c r="E7" s="32">
        <v>-8.9982857142857142</v>
      </c>
      <c r="F7" s="32">
        <v>-53.989714285714285</v>
      </c>
      <c r="G7" s="32">
        <v>-54.598687510310107</v>
      </c>
      <c r="H7" s="32">
        <v>191.0419159010778</v>
      </c>
      <c r="I7" s="32">
        <v>-1795.7167765556396</v>
      </c>
      <c r="J7" s="32">
        <v>-22.174379848777985</v>
      </c>
      <c r="K7" s="32">
        <v>-33.358198810091075</v>
      </c>
      <c r="L7" s="30">
        <v>98.154322334229761</v>
      </c>
      <c r="M7" s="32">
        <v>2.502084953169061</v>
      </c>
      <c r="N7" s="32">
        <v>6.1475998839183005E-2</v>
      </c>
      <c r="O7" s="32">
        <v>10.787240859755801</v>
      </c>
      <c r="P7" s="32">
        <v>7.9746025118689534</v>
      </c>
      <c r="Q7" s="32">
        <v>7.4287100500447325</v>
      </c>
      <c r="R7" s="32">
        <v>4.2646263168246801</v>
      </c>
      <c r="S7" s="32">
        <v>3.4257270811452276</v>
      </c>
      <c r="T7" s="32">
        <v>2.6573621692161979</v>
      </c>
      <c r="U7" s="32">
        <v>2.7729366773493336</v>
      </c>
      <c r="V7" s="32">
        <v>4.0361008882236931</v>
      </c>
      <c r="W7" s="32">
        <v>5.0992966622164104</v>
      </c>
      <c r="X7" s="32">
        <v>8.3189267957519117</v>
      </c>
      <c r="Y7" s="32">
        <v>9.6335408152923012</v>
      </c>
      <c r="Z7" s="32">
        <v>11.348116822652125</v>
      </c>
      <c r="AA7" s="32"/>
      <c r="AB7" s="32">
        <v>17.878155575653324</v>
      </c>
      <c r="AC7" s="32">
        <v>15.507801890375703</v>
      </c>
      <c r="AD7" s="32">
        <v>15.633542251011525</v>
      </c>
      <c r="AE7" s="32">
        <v>14.88704037976057</v>
      </c>
      <c r="AF7" s="32">
        <v>13.711721984008088</v>
      </c>
      <c r="AG7" s="32">
        <v>12.458372933264844</v>
      </c>
      <c r="AH7" s="32">
        <v>13.604221802145107</v>
      </c>
      <c r="AI7" s="32">
        <v>14.689886708249871</v>
      </c>
      <c r="AJ7" s="32">
        <v>15.834183398964122</v>
      </c>
      <c r="AK7" s="32">
        <v>16.341774294107989</v>
      </c>
      <c r="AL7" s="32">
        <v>17.130743252833245</v>
      </c>
      <c r="AM7" s="26">
        <v>17.952033574874257</v>
      </c>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420"/>
      <c r="CY7" s="420"/>
      <c r="CZ7" s="420"/>
      <c r="DA7" s="420"/>
      <c r="DB7" s="420"/>
      <c r="DC7" s="420"/>
      <c r="DD7" s="420"/>
      <c r="DE7" s="420"/>
      <c r="DF7" s="420"/>
      <c r="DG7" s="420"/>
      <c r="DH7" s="420"/>
      <c r="DI7" s="420"/>
      <c r="DJ7" s="420"/>
      <c r="DK7" s="420"/>
      <c r="DL7" s="420"/>
      <c r="DM7" s="420"/>
      <c r="DN7" s="420"/>
      <c r="DO7" s="420"/>
      <c r="DP7" s="420"/>
      <c r="DQ7" s="420"/>
      <c r="DR7" s="420"/>
      <c r="DS7" s="420"/>
      <c r="DT7" s="420"/>
      <c r="DU7" s="420"/>
      <c r="DV7" s="420"/>
      <c r="DW7" s="420"/>
      <c r="DX7" s="420"/>
      <c r="DY7" s="420"/>
      <c r="DZ7" s="420"/>
      <c r="EA7" s="420"/>
    </row>
    <row r="8" spans="1:131">
      <c r="A8" s="420" t="s">
        <v>603</v>
      </c>
      <c r="B8" s="420"/>
      <c r="C8" s="32">
        <v>265.0185068731119</v>
      </c>
      <c r="D8" s="32">
        <v>-43.46</v>
      </c>
      <c r="E8" s="32">
        <v>-8.6920000000000002</v>
      </c>
      <c r="F8" s="32">
        <v>-52.152000000000001</v>
      </c>
      <c r="G8" s="32">
        <v>-52.369534908019077</v>
      </c>
      <c r="H8" s="32">
        <v>192.23283569395579</v>
      </c>
      <c r="I8" s="32">
        <v>-1723.8476112113021</v>
      </c>
      <c r="J8" s="32">
        <v>-22.011493080612524</v>
      </c>
      <c r="K8" s="32">
        <v>-32.644780358969037</v>
      </c>
      <c r="L8" s="30">
        <v>87.954146901043615</v>
      </c>
      <c r="M8" s="32">
        <v>2.5176824856798552</v>
      </c>
      <c r="N8" s="32">
        <v>6.1859228788794879E-2</v>
      </c>
      <c r="O8" s="32">
        <v>10.854486514144428</v>
      </c>
      <c r="P8" s="32">
        <v>8.0243147016097467</v>
      </c>
      <c r="Q8" s="32">
        <v>7.4750192476489419</v>
      </c>
      <c r="R8" s="32">
        <v>4.2912112045755162</v>
      </c>
      <c r="S8" s="32">
        <v>3.4470824269953315</v>
      </c>
      <c r="T8" s="32">
        <v>2.6739276710289177</v>
      </c>
      <c r="U8" s="32">
        <v>2.7902226491627786</v>
      </c>
      <c r="V8" s="32">
        <v>4.0612611909309102</v>
      </c>
      <c r="W8" s="32">
        <v>5.1310847297519908</v>
      </c>
      <c r="X8" s="32">
        <v>8.3707854390754726</v>
      </c>
      <c r="Y8" s="32">
        <v>9.6935945180533754</v>
      </c>
      <c r="Z8" s="32">
        <v>11.418858873537888</v>
      </c>
      <c r="AA8" s="32"/>
      <c r="AB8" s="32">
        <v>17.989604674322447</v>
      </c>
      <c r="AC8" s="32">
        <v>15.604474644771873</v>
      </c>
      <c r="AD8" s="32">
        <v>15.730998847443296</v>
      </c>
      <c r="AE8" s="32">
        <v>14.979843422286645</v>
      </c>
      <c r="AF8" s="32">
        <v>13.79719831012309</v>
      </c>
      <c r="AG8" s="32">
        <v>12.536036114369889</v>
      </c>
      <c r="AH8" s="32">
        <v>13.689027992108496</v>
      </c>
      <c r="AI8" s="32">
        <v>14.781460731434649</v>
      </c>
      <c r="AJ8" s="32">
        <v>15.932890755017077</v>
      </c>
      <c r="AK8" s="32">
        <v>16.443645877450333</v>
      </c>
      <c r="AL8" s="32">
        <v>17.237533122010824</v>
      </c>
      <c r="AM8" s="26">
        <v>18.063943215258089</v>
      </c>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420"/>
      <c r="CY8" s="420"/>
      <c r="CZ8" s="420"/>
      <c r="DA8" s="420"/>
      <c r="DB8" s="420"/>
      <c r="DC8" s="420"/>
      <c r="DD8" s="420"/>
      <c r="DE8" s="420"/>
      <c r="DF8" s="420"/>
      <c r="DG8" s="420"/>
      <c r="DH8" s="420"/>
      <c r="DI8" s="420"/>
      <c r="DJ8" s="420"/>
      <c r="DK8" s="420"/>
      <c r="DL8" s="420"/>
      <c r="DM8" s="420"/>
      <c r="DN8" s="420"/>
      <c r="DO8" s="420"/>
      <c r="DP8" s="420"/>
      <c r="DQ8" s="420"/>
      <c r="DR8" s="420"/>
      <c r="DS8" s="420"/>
      <c r="DT8" s="420"/>
      <c r="DU8" s="420"/>
      <c r="DV8" s="420"/>
      <c r="DW8" s="420"/>
      <c r="DX8" s="420"/>
      <c r="DY8" s="420"/>
      <c r="DZ8" s="420"/>
      <c r="EA8" s="420"/>
    </row>
    <row r="9" spans="1:131">
      <c r="A9" s="420"/>
      <c r="B9" s="420"/>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420"/>
      <c r="CY9" s="420"/>
      <c r="CZ9" s="420"/>
      <c r="DA9" s="420"/>
      <c r="DB9" s="420"/>
      <c r="DC9" s="420"/>
      <c r="DD9" s="420"/>
      <c r="DE9" s="420"/>
      <c r="DF9" s="420"/>
      <c r="DG9" s="420"/>
      <c r="DH9" s="420"/>
      <c r="DI9" s="420"/>
      <c r="DJ9" s="420"/>
      <c r="DK9" s="420"/>
      <c r="DL9" s="420"/>
      <c r="DM9" s="420"/>
      <c r="DN9" s="420"/>
      <c r="DO9" s="420"/>
      <c r="DP9" s="420"/>
      <c r="DQ9" s="420"/>
      <c r="DR9" s="420"/>
      <c r="DS9" s="420"/>
      <c r="DT9" s="420"/>
      <c r="DU9" s="420"/>
      <c r="DV9" s="420"/>
      <c r="DW9" s="420"/>
      <c r="DX9" s="420"/>
      <c r="DY9" s="420"/>
      <c r="DZ9" s="420"/>
      <c r="EA9" s="42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7"/>
  <dimension ref="A1:EA96"/>
  <sheetViews>
    <sheetView workbookViewId="0">
      <selection activeCell="A15" sqref="A15:EA96"/>
    </sheetView>
  </sheetViews>
  <sheetFormatPr defaultRowHeight="12.75"/>
  <cols>
    <col min="1" max="1" width="107.28515625" bestFit="1" customWidth="1"/>
    <col min="2" max="2" width="18.7109375" customWidth="1"/>
    <col min="3" max="3" width="18" customWidth="1"/>
    <col min="15" max="15" width="11.140625" customWidth="1"/>
    <col min="16" max="16" width="14.42578125" customWidth="1"/>
  </cols>
  <sheetData>
    <row r="1" spans="1:131">
      <c r="A1" s="1" t="s">
        <v>0</v>
      </c>
      <c r="B1" s="2"/>
      <c r="C1" s="2"/>
      <c r="D1" s="2"/>
      <c r="E1" s="2"/>
      <c r="F1" s="2"/>
      <c r="G1" s="2"/>
      <c r="H1" s="3"/>
      <c r="I1" s="4"/>
      <c r="J1" s="4"/>
      <c r="K1" s="4"/>
      <c r="L1" s="4"/>
      <c r="M1" s="4"/>
      <c r="N1" s="5"/>
      <c r="O1" s="6"/>
      <c r="P1" s="5"/>
    </row>
    <row r="2" spans="1:131">
      <c r="A2" s="8" t="s">
        <v>1</v>
      </c>
      <c r="B2" s="3"/>
      <c r="C2" s="3"/>
      <c r="D2" s="3"/>
      <c r="E2" s="3"/>
      <c r="F2" s="3"/>
      <c r="G2" s="3"/>
      <c r="H2" s="3"/>
      <c r="I2" s="4"/>
      <c r="J2" s="4"/>
      <c r="K2" s="4"/>
      <c r="L2" s="4"/>
      <c r="M2" s="4"/>
      <c r="N2" s="5"/>
      <c r="O2" s="5"/>
      <c r="P2" s="5"/>
    </row>
    <row r="3" spans="1:131">
      <c r="A3" s="8" t="s">
        <v>2</v>
      </c>
      <c r="B3" s="7">
        <v>2012</v>
      </c>
      <c r="C3" s="8"/>
      <c r="D3" s="7"/>
      <c r="E3" s="7"/>
      <c r="F3" s="7"/>
      <c r="G3" s="7"/>
      <c r="H3" s="7"/>
      <c r="I3" s="7"/>
      <c r="J3" s="9"/>
      <c r="K3" s="10"/>
      <c r="L3" s="7"/>
      <c r="M3" s="7"/>
      <c r="N3" s="7"/>
      <c r="O3" s="7"/>
      <c r="P3" s="7"/>
    </row>
    <row r="4" spans="1:131">
      <c r="A4" s="7"/>
      <c r="B4" s="7"/>
      <c r="C4" s="7"/>
      <c r="D4" s="7"/>
      <c r="E4" s="7"/>
      <c r="F4" s="7"/>
      <c r="G4" s="7"/>
      <c r="H4" s="7"/>
      <c r="I4" s="7"/>
      <c r="J4" s="7"/>
      <c r="K4" s="7"/>
      <c r="L4" s="7"/>
      <c r="M4" s="7"/>
      <c r="N4" s="7"/>
      <c r="O4" s="7"/>
      <c r="P4" s="7"/>
    </row>
    <row r="5" spans="1:131">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131">
      <c r="A6" s="12" t="s">
        <v>3</v>
      </c>
      <c r="B6" s="13"/>
      <c r="C6" s="13"/>
      <c r="D6" s="13"/>
      <c r="E6" s="13"/>
      <c r="F6" s="13"/>
      <c r="G6" s="14"/>
      <c r="H6" s="15"/>
      <c r="I6" s="422" t="s">
        <v>4</v>
      </c>
      <c r="J6" s="423"/>
      <c r="K6" s="423"/>
      <c r="L6" s="423"/>
      <c r="M6" s="423"/>
      <c r="N6" s="424"/>
      <c r="O6" s="425" t="s">
        <v>5</v>
      </c>
      <c r="P6" s="426"/>
      <c r="Q6" s="90" t="s">
        <v>122</v>
      </c>
      <c r="R6" s="427" t="s">
        <v>123</v>
      </c>
      <c r="S6" s="427"/>
      <c r="T6" s="427"/>
    </row>
    <row r="7" spans="1:131"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91" t="s">
        <v>124</v>
      </c>
      <c r="R7" s="92" t="s">
        <v>125</v>
      </c>
      <c r="S7" s="92" t="s">
        <v>126</v>
      </c>
      <c r="T7" s="92" t="s">
        <v>127</v>
      </c>
    </row>
    <row r="8" spans="1:131">
      <c r="A8" t="str">
        <f>Increment!B7</f>
        <v>35-44W LED fixture &amp; NEW Photocell_Replacing_100W HID fixture</v>
      </c>
      <c r="B8" t="str">
        <f>Increment!C7</f>
        <v>35-44W LED fixture &amp; NEW Photocell_Replacing_100W HID fixture</v>
      </c>
      <c r="C8">
        <f>Increment!D7</f>
        <v>245.66477952671087</v>
      </c>
      <c r="D8">
        <f>Increment!E7</f>
        <v>20</v>
      </c>
      <c r="E8">
        <f>Increment!F7</f>
        <v>-44.991428571428571</v>
      </c>
      <c r="F8">
        <f>Increment!G7</f>
        <v>0</v>
      </c>
      <c r="G8" s="208" t="s">
        <v>597</v>
      </c>
      <c r="H8">
        <f>Increment!I7</f>
        <v>0</v>
      </c>
      <c r="I8">
        <f>Increment!J7</f>
        <v>4.9249836921069798</v>
      </c>
      <c r="J8">
        <f>Increment!K7</f>
        <v>15.981735159817351</v>
      </c>
      <c r="K8">
        <f>Increment!L7</f>
        <v>0</v>
      </c>
      <c r="L8">
        <f>Increment!M7</f>
        <v>0</v>
      </c>
      <c r="M8">
        <f>Increment!N7</f>
        <v>0</v>
      </c>
      <c r="N8">
        <f>Increment!O7</f>
        <v>0</v>
      </c>
      <c r="O8">
        <f>Increment!P7</f>
        <v>0</v>
      </c>
      <c r="Q8" t="s">
        <v>128</v>
      </c>
    </row>
    <row r="9" spans="1:131">
      <c r="A9" t="str">
        <f>Increment!B8</f>
        <v>35-44W LED fixture &amp; NEW Photocell_Replacing_150W HID fixture</v>
      </c>
      <c r="B9" t="str">
        <f>Increment!C8</f>
        <v>35-44W LED fixture &amp; NEW Photocell_Replacing_150W HID fixture</v>
      </c>
      <c r="C9">
        <f>Increment!D8</f>
        <v>247.05287476480612</v>
      </c>
      <c r="D9">
        <f>Increment!E8</f>
        <v>20</v>
      </c>
      <c r="E9">
        <f>Increment!F8</f>
        <v>-43.603333333333332</v>
      </c>
      <c r="F9">
        <f>Increment!G8</f>
        <v>0</v>
      </c>
      <c r="G9" s="208" t="s">
        <v>597</v>
      </c>
      <c r="H9">
        <f>Increment!I8</f>
        <v>0</v>
      </c>
      <c r="I9">
        <f>Increment!J8</f>
        <v>4.4520547945205475</v>
      </c>
      <c r="J9">
        <f>Increment!K8</f>
        <v>15.981735159817351</v>
      </c>
      <c r="K9">
        <f>Increment!L8</f>
        <v>0</v>
      </c>
      <c r="L9">
        <f>Increment!M8</f>
        <v>0</v>
      </c>
      <c r="M9">
        <f>Increment!N8</f>
        <v>0</v>
      </c>
      <c r="N9">
        <f>Increment!O8</f>
        <v>0</v>
      </c>
      <c r="O9">
        <f>Increment!P8</f>
        <v>0</v>
      </c>
      <c r="Q9" t="s">
        <v>128</v>
      </c>
    </row>
    <row r="10" spans="1:131">
      <c r="A10" t="str">
        <f>Increment!B9</f>
        <v>35-44W LED fixture &amp; NEW Photocell_Replacing_175W MH fixture</v>
      </c>
      <c r="B10" t="str">
        <f>Increment!C9</f>
        <v>35-44W LED fixture &amp; NEW Photocell_Replacing_175W MH fixture</v>
      </c>
      <c r="C10">
        <f>Increment!D9</f>
        <v>248.63620809813943</v>
      </c>
      <c r="D10">
        <f>Increment!E9</f>
        <v>20</v>
      </c>
      <c r="E10">
        <f>Increment!F9</f>
        <v>-42.02</v>
      </c>
      <c r="F10">
        <f>Increment!G9</f>
        <v>0</v>
      </c>
      <c r="G10" s="208" t="s">
        <v>597</v>
      </c>
      <c r="H10">
        <f>Increment!I9</f>
        <v>0</v>
      </c>
      <c r="I10">
        <f>Increment!J9</f>
        <v>2.2831050228310503</v>
      </c>
      <c r="J10">
        <f>Increment!K9</f>
        <v>15.981735159817351</v>
      </c>
      <c r="K10">
        <f>Increment!L9</f>
        <v>0</v>
      </c>
      <c r="L10">
        <f>Increment!M9</f>
        <v>0</v>
      </c>
      <c r="M10">
        <f>Increment!N9</f>
        <v>0</v>
      </c>
      <c r="N10">
        <f>Increment!O9</f>
        <v>0</v>
      </c>
      <c r="O10">
        <f>Increment!P9</f>
        <v>0</v>
      </c>
      <c r="Q10" t="s">
        <v>128</v>
      </c>
    </row>
    <row r="11" spans="1:131">
      <c r="A11" t="str">
        <f>Increment!B10</f>
        <v>35-44W LED fixture &amp; NEW Photocell_Replacing_175W MV fixture</v>
      </c>
      <c r="B11" t="str">
        <f>Increment!C10</f>
        <v>35-44W LED fixture &amp; NEW Photocell_Replacing_175W MV fixture</v>
      </c>
      <c r="C11">
        <f>Increment!D10</f>
        <v>245.66477952671087</v>
      </c>
      <c r="D11">
        <f>Increment!E10</f>
        <v>20</v>
      </c>
      <c r="E11">
        <f>Increment!F10</f>
        <v>-44.991428571428571</v>
      </c>
      <c r="F11">
        <f>Increment!G10</f>
        <v>0</v>
      </c>
      <c r="G11" s="208" t="s">
        <v>597</v>
      </c>
      <c r="H11">
        <f>Increment!I10</f>
        <v>0</v>
      </c>
      <c r="I11">
        <f>Increment!J10</f>
        <v>4.9249836921069798</v>
      </c>
      <c r="J11">
        <f>Increment!K10</f>
        <v>15.981735159817351</v>
      </c>
      <c r="K11">
        <f>Increment!L10</f>
        <v>0</v>
      </c>
      <c r="L11">
        <f>Increment!M10</f>
        <v>0</v>
      </c>
      <c r="M11">
        <f>Increment!N10</f>
        <v>0</v>
      </c>
      <c r="N11">
        <f>Increment!O10</f>
        <v>0</v>
      </c>
      <c r="O11">
        <f>Increment!P10</f>
        <v>0</v>
      </c>
      <c r="Q11" t="s">
        <v>128</v>
      </c>
    </row>
    <row r="12" spans="1:131">
      <c r="A12" t="str">
        <f>Increment!B11</f>
        <v>35-44W LED fixture &amp; NEW Photocell_Replacing_200W HID fixture</v>
      </c>
      <c r="B12" t="str">
        <f>Increment!C11</f>
        <v>35-44W LED fixture &amp; NEW Photocell_Replacing_200W HID fixture</v>
      </c>
      <c r="C12">
        <f>Increment!D11</f>
        <v>247.19620809813944</v>
      </c>
      <c r="D12">
        <f>Increment!E11</f>
        <v>20</v>
      </c>
      <c r="E12">
        <f>Increment!F11</f>
        <v>-43.46</v>
      </c>
      <c r="F12">
        <f>Increment!G11</f>
        <v>0</v>
      </c>
      <c r="G12" s="208" t="s">
        <v>597</v>
      </c>
      <c r="H12">
        <f>Increment!I11</f>
        <v>0</v>
      </c>
      <c r="I12">
        <f>Increment!J11</f>
        <v>5.4794520547945202</v>
      </c>
      <c r="J12">
        <f>Increment!K11</f>
        <v>15.981735159817351</v>
      </c>
      <c r="K12">
        <f>Increment!L11</f>
        <v>0</v>
      </c>
      <c r="L12">
        <f>Increment!M11</f>
        <v>0</v>
      </c>
      <c r="M12">
        <f>Increment!N11</f>
        <v>0</v>
      </c>
      <c r="N12">
        <f>Increment!O11</f>
        <v>0</v>
      </c>
      <c r="O12">
        <f>Increment!P11</f>
        <v>0</v>
      </c>
      <c r="Q12" t="s">
        <v>128</v>
      </c>
    </row>
    <row r="15" spans="1:131">
      <c r="A15" s="420"/>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c r="AM15" s="420"/>
      <c r="AN15" s="420"/>
      <c r="AO15" s="420"/>
      <c r="AP15" s="420"/>
      <c r="AQ15" s="420"/>
      <c r="AR15" s="420"/>
      <c r="AS15" s="420"/>
      <c r="AT15" s="420"/>
      <c r="AU15" s="420"/>
      <c r="AV15" s="420"/>
      <c r="AW15" s="420"/>
      <c r="AX15" s="420"/>
      <c r="AY15" s="420"/>
      <c r="AZ15" s="420"/>
      <c r="BA15" s="420"/>
      <c r="BB15" s="420"/>
      <c r="BC15" s="420"/>
      <c r="BD15" s="420"/>
      <c r="BE15" s="420"/>
      <c r="BF15" s="420"/>
      <c r="BG15" s="420"/>
      <c r="BH15" s="420"/>
      <c r="BI15" s="420"/>
      <c r="BJ15" s="420"/>
      <c r="BK15" s="420"/>
      <c r="BL15" s="420"/>
      <c r="BM15" s="420"/>
      <c r="BN15" s="420"/>
      <c r="BO15" s="420"/>
      <c r="BP15" s="420"/>
      <c r="BQ15" s="420"/>
      <c r="BR15" s="420"/>
      <c r="BS15" s="420"/>
      <c r="BT15" s="420"/>
      <c r="BU15" s="420"/>
      <c r="BV15" s="420"/>
      <c r="BW15" s="420"/>
      <c r="BX15" s="420"/>
      <c r="BY15" s="420"/>
      <c r="BZ15" s="420"/>
      <c r="CA15" s="420"/>
      <c r="CB15" s="420"/>
      <c r="CC15" s="420"/>
      <c r="CD15" s="420"/>
      <c r="CE15" s="420"/>
      <c r="CF15" s="420"/>
      <c r="CG15" s="420"/>
      <c r="CH15" s="420"/>
      <c r="CI15" s="420"/>
      <c r="CJ15" s="420"/>
      <c r="CK15" s="420"/>
      <c r="CL15" s="420"/>
      <c r="CM15" s="420"/>
      <c r="CN15" s="420"/>
      <c r="CO15" s="420"/>
      <c r="CP15" s="420"/>
      <c r="CQ15" s="420"/>
      <c r="CR15" s="420"/>
      <c r="CS15" s="420"/>
      <c r="CT15" s="420"/>
      <c r="CU15" s="420"/>
      <c r="CV15" s="420"/>
      <c r="CW15" s="420"/>
      <c r="CX15" s="420"/>
      <c r="CY15" s="420"/>
      <c r="CZ15" s="420"/>
      <c r="DA15" s="420"/>
      <c r="DB15" s="420"/>
      <c r="DC15" s="420"/>
      <c r="DD15" s="420"/>
      <c r="DE15" s="420"/>
      <c r="DF15" s="420"/>
      <c r="DG15" s="420"/>
      <c r="DH15" s="420"/>
      <c r="DI15" s="420"/>
      <c r="DJ15" s="420"/>
      <c r="DK15" s="420"/>
      <c r="DL15" s="420"/>
      <c r="DM15" s="420"/>
      <c r="DN15" s="420"/>
      <c r="DO15" s="420"/>
      <c r="DP15" s="420"/>
      <c r="DQ15" s="420"/>
      <c r="DR15" s="420"/>
      <c r="DS15" s="420"/>
      <c r="DT15" s="420"/>
      <c r="DU15" s="420"/>
      <c r="DV15" s="420"/>
      <c r="DW15" s="420"/>
      <c r="DX15" s="420"/>
      <c r="DY15" s="420"/>
      <c r="DZ15" s="420"/>
      <c r="EA15" s="420"/>
    </row>
    <row r="16" spans="1:131">
      <c r="A16" s="95" t="s">
        <v>139</v>
      </c>
      <c r="B16" s="96"/>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c r="AN16" s="420"/>
      <c r="AO16" s="420"/>
      <c r="AP16" s="420"/>
      <c r="AQ16" s="420"/>
      <c r="AR16" s="420"/>
      <c r="AS16" s="420"/>
      <c r="AT16" s="420"/>
      <c r="AU16" s="420"/>
      <c r="AV16" s="420"/>
      <c r="AW16" s="420"/>
      <c r="AX16" s="420"/>
      <c r="AY16" s="420"/>
      <c r="AZ16" s="420"/>
      <c r="BA16" s="420"/>
      <c r="BB16" s="420"/>
      <c r="BC16" s="420"/>
      <c r="BD16" s="420"/>
      <c r="BE16" s="420"/>
      <c r="BF16" s="420"/>
      <c r="BG16" s="420"/>
      <c r="BH16" s="420"/>
      <c r="BI16" s="420"/>
      <c r="BJ16" s="420"/>
      <c r="BK16" s="420"/>
      <c r="BL16" s="420"/>
      <c r="BM16" s="420"/>
      <c r="BN16" s="420"/>
      <c r="BO16" s="420"/>
      <c r="BP16" s="420"/>
      <c r="BQ16" s="420"/>
      <c r="BR16" s="420"/>
      <c r="BS16" s="420"/>
      <c r="BT16" s="420"/>
      <c r="BU16" s="420"/>
      <c r="BV16" s="420"/>
      <c r="BW16" s="420"/>
      <c r="BX16" s="420"/>
      <c r="BY16" s="420"/>
      <c r="BZ16" s="420"/>
      <c r="CA16" s="420"/>
      <c r="CB16" s="420"/>
      <c r="CC16" s="420"/>
      <c r="CD16" s="420"/>
      <c r="CE16" s="420"/>
      <c r="CF16" s="420"/>
      <c r="CG16" s="420"/>
      <c r="CH16" s="420"/>
      <c r="CI16" s="420"/>
      <c r="CJ16" s="420"/>
      <c r="CK16" s="420"/>
      <c r="CL16" s="420"/>
      <c r="CM16" s="420"/>
      <c r="CN16" s="420"/>
      <c r="CO16" s="420"/>
      <c r="CP16" s="420"/>
      <c r="CQ16" s="420"/>
      <c r="CR16" s="420"/>
      <c r="CS16" s="420"/>
      <c r="CT16" s="420"/>
      <c r="CU16" s="420"/>
      <c r="CV16" s="420"/>
      <c r="CW16" s="420"/>
      <c r="CX16" s="420"/>
      <c r="CY16" s="420"/>
      <c r="CZ16" s="420"/>
      <c r="DA16" s="420"/>
      <c r="DB16" s="420"/>
      <c r="DC16" s="420"/>
      <c r="DD16" s="420"/>
      <c r="DE16" s="420"/>
      <c r="DF16" s="420"/>
      <c r="DG16" s="420"/>
      <c r="DH16" s="420"/>
      <c r="DI16" s="420"/>
      <c r="DJ16" s="420"/>
      <c r="DK16" s="420"/>
      <c r="DL16" s="420"/>
      <c r="DM16" s="420"/>
      <c r="DN16" s="420"/>
      <c r="DO16" s="420"/>
      <c r="DP16" s="420"/>
      <c r="DQ16" s="420"/>
      <c r="DR16" s="420"/>
      <c r="DS16" s="420"/>
      <c r="DT16" s="420"/>
      <c r="DU16" s="420"/>
      <c r="DV16" s="420"/>
      <c r="DW16" s="420"/>
      <c r="DX16" s="420"/>
      <c r="DY16" s="420"/>
      <c r="DZ16" s="420"/>
      <c r="EA16" s="420"/>
    </row>
    <row r="17" spans="1:131">
      <c r="A17" s="420" t="s">
        <v>140</v>
      </c>
      <c r="B17" s="420" t="s">
        <v>141</v>
      </c>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420"/>
      <c r="AP17" s="420"/>
      <c r="AQ17" s="420"/>
      <c r="AR17" s="420"/>
      <c r="AS17" s="420"/>
      <c r="AT17" s="420"/>
      <c r="AU17" s="420"/>
      <c r="AV17" s="420"/>
      <c r="AW17" s="420"/>
      <c r="AX17" s="420"/>
      <c r="AY17" s="420"/>
      <c r="AZ17" s="420"/>
      <c r="BA17" s="420"/>
      <c r="BB17" s="420"/>
      <c r="BC17" s="420"/>
      <c r="BD17" s="420"/>
      <c r="BE17" s="420"/>
      <c r="BF17" s="420"/>
      <c r="BG17" s="420"/>
      <c r="BH17" s="420"/>
      <c r="BI17" s="420"/>
      <c r="BJ17" s="420"/>
      <c r="BK17" s="420"/>
      <c r="BL17" s="420"/>
      <c r="BM17" s="420"/>
      <c r="BN17" s="420"/>
      <c r="BO17" s="420"/>
      <c r="BP17" s="420"/>
      <c r="BQ17" s="420"/>
      <c r="BR17" s="420"/>
      <c r="BS17" s="420"/>
      <c r="BT17" s="420"/>
      <c r="BU17" s="420"/>
      <c r="BV17" s="420"/>
      <c r="BW17" s="420"/>
      <c r="BX17" s="420"/>
      <c r="BY17" s="420"/>
      <c r="BZ17" s="420"/>
      <c r="CA17" s="420"/>
      <c r="CB17" s="420"/>
      <c r="CC17" s="420"/>
      <c r="CD17" s="420"/>
      <c r="CE17" s="420"/>
      <c r="CF17" s="420"/>
      <c r="CG17" s="420"/>
      <c r="CH17" s="420"/>
      <c r="CI17" s="420"/>
      <c r="CJ17" s="420"/>
      <c r="CK17" s="420"/>
      <c r="CL17" s="420"/>
      <c r="CM17" s="420"/>
      <c r="CN17" s="420"/>
      <c r="CO17" s="420"/>
      <c r="CP17" s="420"/>
      <c r="CQ17" s="420"/>
      <c r="CR17" s="420"/>
      <c r="CS17" s="420"/>
      <c r="CT17" s="420"/>
      <c r="CU17" s="420"/>
      <c r="CV17" s="420"/>
      <c r="CW17" s="420"/>
      <c r="CX17" s="420"/>
      <c r="CY17" s="420"/>
      <c r="CZ17" s="420"/>
      <c r="DA17" s="420"/>
      <c r="DB17" s="420"/>
      <c r="DC17" s="420"/>
      <c r="DD17" s="420"/>
      <c r="DE17" s="420"/>
      <c r="DF17" s="420"/>
      <c r="DG17" s="420"/>
      <c r="DH17" s="420"/>
      <c r="DI17" s="420"/>
      <c r="DJ17" s="420"/>
      <c r="DK17" s="420"/>
      <c r="DL17" s="420"/>
      <c r="DM17" s="420"/>
      <c r="DN17" s="420"/>
      <c r="DO17" s="420"/>
      <c r="DP17" s="420"/>
      <c r="DQ17" s="420"/>
      <c r="DR17" s="420"/>
      <c r="DS17" s="420"/>
      <c r="DT17" s="420"/>
      <c r="DU17" s="420"/>
      <c r="DV17" s="420"/>
      <c r="DW17" s="420"/>
      <c r="DX17" s="420"/>
      <c r="DY17" s="420"/>
      <c r="DZ17" s="420"/>
      <c r="EA17" s="420"/>
    </row>
    <row r="18" spans="1:131">
      <c r="A18" s="420" t="s">
        <v>142</v>
      </c>
      <c r="B18" s="420" t="s">
        <v>635</v>
      </c>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0"/>
      <c r="BE18" s="420"/>
      <c r="BF18" s="420"/>
      <c r="BG18" s="420"/>
      <c r="BH18" s="420"/>
      <c r="BI18" s="420"/>
      <c r="BJ18" s="420"/>
      <c r="BK18" s="420"/>
      <c r="BL18" s="420"/>
      <c r="BM18" s="420"/>
      <c r="BN18" s="420"/>
      <c r="BO18" s="420"/>
      <c r="BP18" s="420"/>
      <c r="BQ18" s="420"/>
      <c r="BR18" s="420"/>
      <c r="BS18" s="420"/>
      <c r="BT18" s="420"/>
      <c r="BU18" s="420"/>
      <c r="BV18" s="420"/>
      <c r="BW18" s="420"/>
      <c r="BX18" s="420"/>
      <c r="BY18" s="420"/>
      <c r="BZ18" s="420"/>
      <c r="CA18" s="420"/>
      <c r="CB18" s="420"/>
      <c r="CC18" s="420"/>
      <c r="CD18" s="420"/>
      <c r="CE18" s="420"/>
      <c r="CF18" s="420"/>
      <c r="CG18" s="420"/>
      <c r="CH18" s="420"/>
      <c r="CI18" s="420"/>
      <c r="CJ18" s="420"/>
      <c r="CK18" s="420"/>
      <c r="CL18" s="420"/>
      <c r="CM18" s="420"/>
      <c r="CN18" s="420"/>
      <c r="CO18" s="420"/>
      <c r="CP18" s="420"/>
      <c r="CQ18" s="420"/>
      <c r="CR18" s="420"/>
      <c r="CS18" s="420"/>
      <c r="CT18" s="420"/>
      <c r="CU18" s="420"/>
      <c r="CV18" s="420"/>
      <c r="CW18" s="420"/>
      <c r="CX18" s="420"/>
      <c r="CY18" s="420"/>
      <c r="CZ18" s="420"/>
      <c r="DA18" s="420"/>
      <c r="DB18" s="420"/>
      <c r="DC18" s="420"/>
      <c r="DD18" s="420"/>
      <c r="DE18" s="420"/>
      <c r="DF18" s="420"/>
      <c r="DG18" s="420"/>
      <c r="DH18" s="420"/>
      <c r="DI18" s="420"/>
      <c r="DJ18" s="420"/>
      <c r="DK18" s="420"/>
      <c r="DL18" s="420"/>
      <c r="DM18" s="420"/>
      <c r="DN18" s="420"/>
      <c r="DO18" s="420"/>
      <c r="DP18" s="420"/>
      <c r="DQ18" s="420"/>
      <c r="DR18" s="420"/>
      <c r="DS18" s="420"/>
      <c r="DT18" s="420"/>
      <c r="DU18" s="420"/>
      <c r="DV18" s="420"/>
      <c r="DW18" s="420"/>
      <c r="DX18" s="420"/>
      <c r="DY18" s="420"/>
      <c r="DZ18" s="420"/>
      <c r="EA18" s="420"/>
    </row>
    <row r="19" spans="1:131">
      <c r="A19" s="420"/>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20"/>
      <c r="AQ19" s="420"/>
      <c r="AR19" s="420"/>
      <c r="AS19" s="420"/>
      <c r="AT19" s="420"/>
      <c r="AU19" s="420"/>
      <c r="AV19" s="420"/>
      <c r="AW19" s="420"/>
      <c r="AX19" s="420"/>
      <c r="AY19" s="420"/>
      <c r="AZ19" s="420"/>
      <c r="BA19" s="420"/>
      <c r="BB19" s="420"/>
      <c r="BC19" s="420"/>
      <c r="BD19" s="420"/>
      <c r="BE19" s="420"/>
      <c r="BF19" s="420"/>
      <c r="BG19" s="420"/>
      <c r="BH19" s="420"/>
      <c r="BI19" s="420"/>
      <c r="BJ19" s="420"/>
      <c r="BK19" s="420"/>
      <c r="BL19" s="420"/>
      <c r="BM19" s="420"/>
      <c r="BN19" s="420"/>
      <c r="BO19" s="420"/>
      <c r="BP19" s="420"/>
      <c r="BQ19" s="420"/>
      <c r="BR19" s="420"/>
      <c r="BS19" s="420"/>
      <c r="BT19" s="420"/>
      <c r="BU19" s="420"/>
      <c r="BV19" s="420"/>
      <c r="BW19" s="420"/>
      <c r="BX19" s="420"/>
      <c r="BY19" s="420"/>
      <c r="BZ19" s="420"/>
      <c r="CA19" s="420"/>
      <c r="CB19" s="420"/>
      <c r="CC19" s="420"/>
      <c r="CD19" s="420"/>
      <c r="CE19" s="420"/>
      <c r="CF19" s="420"/>
      <c r="CG19" s="420"/>
      <c r="CH19" s="420"/>
      <c r="CI19" s="420"/>
      <c r="CJ19" s="420"/>
      <c r="CK19" s="420"/>
      <c r="CL19" s="420"/>
      <c r="CM19" s="420"/>
      <c r="CN19" s="420"/>
      <c r="CO19" s="420"/>
      <c r="CP19" s="420"/>
      <c r="CQ19" s="420"/>
      <c r="CR19" s="420"/>
      <c r="CS19" s="420"/>
      <c r="CT19" s="420"/>
      <c r="CU19" s="420"/>
      <c r="CV19" s="420"/>
      <c r="CW19" s="420"/>
      <c r="CX19" s="420"/>
      <c r="CY19" s="420"/>
      <c r="CZ19" s="420"/>
      <c r="DA19" s="420"/>
      <c r="DB19" s="420"/>
      <c r="DC19" s="420"/>
      <c r="DD19" s="420"/>
      <c r="DE19" s="420"/>
      <c r="DF19" s="420"/>
      <c r="DG19" s="420"/>
      <c r="DH19" s="420"/>
      <c r="DI19" s="420"/>
      <c r="DJ19" s="420"/>
      <c r="DK19" s="420"/>
      <c r="DL19" s="420"/>
      <c r="DM19" s="420"/>
      <c r="DN19" s="420"/>
      <c r="DO19" s="420"/>
      <c r="DP19" s="420"/>
      <c r="DQ19" s="420"/>
      <c r="DR19" s="420"/>
      <c r="DS19" s="420"/>
      <c r="DT19" s="420"/>
      <c r="DU19" s="420"/>
      <c r="DV19" s="420"/>
      <c r="DW19" s="420"/>
      <c r="DX19" s="420"/>
      <c r="DY19" s="420"/>
      <c r="DZ19" s="420"/>
      <c r="EA19" s="420"/>
    </row>
    <row r="20" spans="1:131" ht="13.5" thickBot="1">
      <c r="A20" s="24" t="s">
        <v>143</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25"/>
      <c r="AJ20" s="420"/>
      <c r="AK20" s="420"/>
      <c r="AL20" s="420"/>
      <c r="AM20" s="420"/>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c r="BN20" s="420"/>
      <c r="BO20" s="420"/>
      <c r="BP20" s="420"/>
      <c r="BQ20" s="420"/>
      <c r="BR20" s="420"/>
      <c r="BS20" s="420"/>
      <c r="BT20" s="420"/>
      <c r="BU20" s="420"/>
      <c r="BV20" s="420"/>
      <c r="BW20" s="420"/>
      <c r="BX20" s="420"/>
      <c r="BY20" s="420"/>
      <c r="BZ20" s="420"/>
      <c r="CA20" s="420"/>
      <c r="CB20" s="420"/>
      <c r="CC20" s="420"/>
      <c r="CD20" s="420"/>
      <c r="CE20" s="420"/>
      <c r="CF20" s="420"/>
      <c r="CG20" s="420"/>
      <c r="CH20" s="420"/>
      <c r="CI20" s="420"/>
      <c r="CJ20" s="420"/>
      <c r="CK20" s="420"/>
      <c r="CL20" s="420"/>
      <c r="CM20" s="420"/>
      <c r="CN20" s="420"/>
      <c r="CO20" s="420"/>
      <c r="CP20" s="420"/>
      <c r="CQ20" s="420"/>
      <c r="CR20" s="420"/>
      <c r="CS20" s="420"/>
      <c r="CT20" s="420"/>
      <c r="CU20" s="420"/>
      <c r="CV20" s="420"/>
      <c r="CW20" s="420"/>
      <c r="CX20" s="420"/>
      <c r="CY20" s="420"/>
      <c r="CZ20" s="420"/>
      <c r="DA20" s="420"/>
      <c r="DB20" s="420"/>
      <c r="DC20" s="420"/>
      <c r="DD20" s="420"/>
      <c r="DE20" s="420"/>
      <c r="DF20" s="420"/>
      <c r="DG20" s="420"/>
      <c r="DH20" s="420"/>
      <c r="DI20" s="420"/>
      <c r="DJ20" s="420"/>
      <c r="DK20" s="420"/>
      <c r="DL20" s="420"/>
      <c r="DM20" s="420"/>
      <c r="DN20" s="420"/>
      <c r="DO20" s="420"/>
      <c r="DP20" s="420"/>
      <c r="DQ20" s="420"/>
      <c r="DR20" s="420"/>
      <c r="DS20" s="420"/>
      <c r="DT20" s="420"/>
      <c r="DU20" s="420"/>
      <c r="DV20" s="420"/>
      <c r="DW20" s="420"/>
      <c r="DX20" s="420"/>
      <c r="DY20" s="420"/>
      <c r="DZ20" s="420"/>
      <c r="EA20" s="420"/>
    </row>
    <row r="21" spans="1:131">
      <c r="A21" s="420"/>
      <c r="B21" s="98" t="s">
        <v>144</v>
      </c>
      <c r="C21" s="99"/>
      <c r="D21" s="99" t="s">
        <v>144</v>
      </c>
      <c r="E21" s="100"/>
      <c r="F21" s="420"/>
      <c r="G21" s="98" t="s">
        <v>145</v>
      </c>
      <c r="H21" s="99"/>
      <c r="I21" s="99"/>
      <c r="J21" s="99"/>
      <c r="K21" s="99"/>
      <c r="L21" s="99"/>
      <c r="M21" s="99"/>
      <c r="N21" s="99"/>
      <c r="O21" s="100"/>
      <c r="P21" s="420"/>
      <c r="Q21" s="98" t="s">
        <v>146</v>
      </c>
      <c r="R21" s="99"/>
      <c r="S21" s="99"/>
      <c r="T21" s="99"/>
      <c r="U21" s="100"/>
      <c r="V21" s="420"/>
      <c r="W21" s="98" t="s">
        <v>147</v>
      </c>
      <c r="X21" s="100"/>
      <c r="Y21" s="420"/>
      <c r="Z21" s="98" t="s">
        <v>148</v>
      </c>
      <c r="AA21" s="99"/>
      <c r="AB21" s="10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420"/>
      <c r="BP21" s="420"/>
      <c r="BQ21" s="420"/>
      <c r="BR21" s="420"/>
      <c r="BS21" s="420"/>
      <c r="BT21" s="420"/>
      <c r="BU21" s="420"/>
      <c r="BV21" s="420"/>
      <c r="BW21" s="420"/>
      <c r="BX21" s="420"/>
      <c r="BY21" s="420"/>
      <c r="BZ21" s="420"/>
      <c r="CA21" s="420"/>
      <c r="CB21" s="420"/>
      <c r="CC21" s="420"/>
      <c r="CD21" s="420"/>
      <c r="CE21" s="420"/>
      <c r="CF21" s="420"/>
      <c r="CG21" s="420"/>
      <c r="CH21" s="420"/>
      <c r="CI21" s="420"/>
      <c r="CJ21" s="420"/>
      <c r="CK21" s="420"/>
      <c r="CL21" s="420"/>
      <c r="CM21" s="420"/>
      <c r="CN21" s="420"/>
      <c r="CO21" s="420"/>
      <c r="CP21" s="420"/>
      <c r="CQ21" s="420"/>
      <c r="CR21" s="420"/>
      <c r="CS21" s="420"/>
      <c r="CT21" s="420"/>
      <c r="CU21" s="420"/>
      <c r="CV21" s="420"/>
      <c r="CW21" s="420"/>
      <c r="CX21" s="420"/>
      <c r="CY21" s="420"/>
      <c r="CZ21" s="420"/>
      <c r="DA21" s="420"/>
      <c r="DB21" s="420"/>
      <c r="DC21" s="420"/>
      <c r="DD21" s="420"/>
      <c r="DE21" s="420"/>
      <c r="DF21" s="420"/>
      <c r="DG21" s="420"/>
      <c r="DH21" s="420"/>
      <c r="DI21" s="420"/>
      <c r="DJ21" s="420"/>
      <c r="DK21" s="420"/>
      <c r="DL21" s="420"/>
      <c r="DM21" s="420"/>
      <c r="DN21" s="420"/>
      <c r="DO21" s="420"/>
      <c r="DP21" s="420"/>
      <c r="DQ21" s="420"/>
      <c r="DR21" s="420"/>
      <c r="DS21" s="420"/>
      <c r="DT21" s="420"/>
      <c r="DU21" s="420"/>
      <c r="DV21" s="420"/>
      <c r="DW21" s="420"/>
      <c r="DX21" s="420"/>
      <c r="DY21" s="420"/>
      <c r="DZ21" s="420"/>
      <c r="EA21" s="420"/>
    </row>
    <row r="22" spans="1:131">
      <c r="A22" s="420"/>
      <c r="B22" s="101" t="s">
        <v>149</v>
      </c>
      <c r="C22" s="102" t="s">
        <v>150</v>
      </c>
      <c r="D22" s="102" t="s">
        <v>149</v>
      </c>
      <c r="E22" s="103" t="s">
        <v>150</v>
      </c>
      <c r="F22" s="420"/>
      <c r="G22" s="101" t="s">
        <v>151</v>
      </c>
      <c r="H22" s="102" t="s">
        <v>380</v>
      </c>
      <c r="I22" s="102"/>
      <c r="J22" s="102"/>
      <c r="K22" s="102" t="s">
        <v>152</v>
      </c>
      <c r="L22" s="102"/>
      <c r="M22" s="102"/>
      <c r="N22" s="102"/>
      <c r="O22" s="103"/>
      <c r="P22" s="420"/>
      <c r="Q22" s="101"/>
      <c r="R22" s="102" t="s">
        <v>153</v>
      </c>
      <c r="S22" s="102" t="s">
        <v>154</v>
      </c>
      <c r="T22" s="102" t="s">
        <v>155</v>
      </c>
      <c r="U22" s="103" t="s">
        <v>156</v>
      </c>
      <c r="V22" s="420"/>
      <c r="W22" s="101" t="s">
        <v>157</v>
      </c>
      <c r="X22" s="103">
        <v>20</v>
      </c>
      <c r="Y22" s="420"/>
      <c r="Z22" s="101"/>
      <c r="AA22" s="102" t="s">
        <v>150</v>
      </c>
      <c r="AB22" s="103" t="s">
        <v>158</v>
      </c>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420"/>
      <c r="CT22" s="420"/>
      <c r="CU22" s="420"/>
      <c r="CV22" s="420"/>
      <c r="CW22" s="420"/>
      <c r="CX22" s="420"/>
      <c r="CY22" s="420"/>
      <c r="CZ22" s="420"/>
      <c r="DA22" s="420"/>
      <c r="DB22" s="420"/>
      <c r="DC22" s="420"/>
      <c r="DD22" s="420"/>
      <c r="DE22" s="420"/>
      <c r="DF22" s="420"/>
      <c r="DG22" s="420"/>
      <c r="DH22" s="420"/>
      <c r="DI22" s="420"/>
      <c r="DJ22" s="420"/>
      <c r="DK22" s="420"/>
      <c r="DL22" s="420"/>
      <c r="DM22" s="420"/>
      <c r="DN22" s="420"/>
      <c r="DO22" s="420"/>
      <c r="DP22" s="420"/>
      <c r="DQ22" s="420"/>
      <c r="DR22" s="420"/>
      <c r="DS22" s="420"/>
      <c r="DT22" s="420"/>
      <c r="DU22" s="420"/>
      <c r="DV22" s="420"/>
      <c r="DW22" s="420"/>
      <c r="DX22" s="420"/>
      <c r="DY22" s="420"/>
      <c r="DZ22" s="420"/>
      <c r="EA22" s="420"/>
    </row>
    <row r="23" spans="1:131">
      <c r="A23" s="420"/>
      <c r="B23" s="101" t="s">
        <v>159</v>
      </c>
      <c r="C23" s="102" t="s">
        <v>160</v>
      </c>
      <c r="D23" s="102" t="s">
        <v>159</v>
      </c>
      <c r="E23" s="103" t="s">
        <v>160</v>
      </c>
      <c r="F23" s="420"/>
      <c r="G23" s="101" t="s">
        <v>161</v>
      </c>
      <c r="H23" s="102" t="s">
        <v>162</v>
      </c>
      <c r="I23" s="102"/>
      <c r="J23" s="102"/>
      <c r="K23" s="102" t="s">
        <v>163</v>
      </c>
      <c r="L23" s="102"/>
      <c r="M23" s="102"/>
      <c r="N23" s="102"/>
      <c r="O23" s="103"/>
      <c r="P23" s="420"/>
      <c r="Q23" s="101" t="s">
        <v>164</v>
      </c>
      <c r="R23" s="102">
        <v>6.7943795888335753E-2</v>
      </c>
      <c r="S23" s="102">
        <v>4.387844424080023E-2</v>
      </c>
      <c r="T23" s="102">
        <v>5.3289007766645871E-2</v>
      </c>
      <c r="U23" s="103">
        <v>5.447903102274565E-2</v>
      </c>
      <c r="V23" s="420"/>
      <c r="W23" s="101" t="s">
        <v>165</v>
      </c>
      <c r="X23" s="103">
        <v>2016</v>
      </c>
      <c r="Y23" s="420"/>
      <c r="Z23" s="101" t="s">
        <v>166</v>
      </c>
      <c r="AA23" s="102">
        <v>4.03890184699085E-3</v>
      </c>
      <c r="AB23" s="103">
        <v>0.01</v>
      </c>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420"/>
      <c r="CT23" s="420"/>
      <c r="CU23" s="420"/>
      <c r="CV23" s="420"/>
      <c r="CW23" s="420"/>
      <c r="CX23" s="420"/>
      <c r="CY23" s="420"/>
      <c r="CZ23" s="420"/>
      <c r="DA23" s="420"/>
      <c r="DB23" s="420"/>
      <c r="DC23" s="420"/>
      <c r="DD23" s="420"/>
      <c r="DE23" s="420"/>
      <c r="DF23" s="420"/>
      <c r="DG23" s="420"/>
      <c r="DH23" s="420"/>
      <c r="DI23" s="420"/>
      <c r="DJ23" s="420"/>
      <c r="DK23" s="420"/>
      <c r="DL23" s="420"/>
      <c r="DM23" s="420"/>
      <c r="DN23" s="420"/>
      <c r="DO23" s="420"/>
      <c r="DP23" s="420"/>
      <c r="DQ23" s="420"/>
      <c r="DR23" s="420"/>
      <c r="DS23" s="420"/>
      <c r="DT23" s="420"/>
      <c r="DU23" s="420"/>
      <c r="DV23" s="420"/>
      <c r="DW23" s="420"/>
      <c r="DX23" s="420"/>
      <c r="DY23" s="420"/>
      <c r="DZ23" s="420"/>
      <c r="EA23" s="420"/>
    </row>
    <row r="24" spans="1:131">
      <c r="A24" s="420"/>
      <c r="B24" s="101" t="s">
        <v>167</v>
      </c>
      <c r="C24" s="102" t="s">
        <v>168</v>
      </c>
      <c r="D24" s="102" t="s">
        <v>167</v>
      </c>
      <c r="E24" s="103" t="s">
        <v>168</v>
      </c>
      <c r="F24" s="420"/>
      <c r="G24" s="101" t="s">
        <v>169</v>
      </c>
      <c r="H24" s="102" t="s">
        <v>170</v>
      </c>
      <c r="I24" s="102"/>
      <c r="J24" s="102"/>
      <c r="K24" s="102" t="s">
        <v>171</v>
      </c>
      <c r="L24" s="102"/>
      <c r="M24" s="102"/>
      <c r="N24" s="102"/>
      <c r="O24" s="103"/>
      <c r="P24" s="420"/>
      <c r="Q24" s="101" t="s">
        <v>172</v>
      </c>
      <c r="R24" s="102">
        <v>12</v>
      </c>
      <c r="S24" s="102">
        <v>12</v>
      </c>
      <c r="T24" s="102">
        <v>1</v>
      </c>
      <c r="U24" s="103">
        <v>1</v>
      </c>
      <c r="V24" s="420"/>
      <c r="W24" s="101" t="s">
        <v>173</v>
      </c>
      <c r="X24" s="103">
        <v>2016</v>
      </c>
      <c r="Y24" s="420"/>
      <c r="Z24" s="101" t="s">
        <v>174</v>
      </c>
      <c r="AA24" s="102">
        <v>26</v>
      </c>
      <c r="AB24" s="103">
        <v>0</v>
      </c>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0"/>
      <c r="BQ24" s="420"/>
      <c r="BR24" s="420"/>
      <c r="BS24" s="420"/>
      <c r="BT24" s="420"/>
      <c r="BU24" s="420"/>
      <c r="BV24" s="420"/>
      <c r="BW24" s="420"/>
      <c r="BX24" s="420"/>
      <c r="BY24" s="420"/>
      <c r="BZ24" s="420"/>
      <c r="CA24" s="420"/>
      <c r="CB24" s="420"/>
      <c r="CC24" s="420"/>
      <c r="CD24" s="420"/>
      <c r="CE24" s="420"/>
      <c r="CF24" s="420"/>
      <c r="CG24" s="420"/>
      <c r="CH24" s="420"/>
      <c r="CI24" s="420"/>
      <c r="CJ24" s="420"/>
      <c r="CK24" s="420"/>
      <c r="CL24" s="420"/>
      <c r="CM24" s="420"/>
      <c r="CN24" s="420"/>
      <c r="CO24" s="420"/>
      <c r="CP24" s="420"/>
      <c r="CQ24" s="420"/>
      <c r="CR24" s="420"/>
      <c r="CS24" s="420"/>
      <c r="CT24" s="420"/>
      <c r="CU24" s="420"/>
      <c r="CV24" s="420"/>
      <c r="CW24" s="420"/>
      <c r="CX24" s="420"/>
      <c r="CY24" s="420"/>
      <c r="CZ24" s="420"/>
      <c r="DA24" s="420"/>
      <c r="DB24" s="420"/>
      <c r="DC24" s="420"/>
      <c r="DD24" s="420"/>
      <c r="DE24" s="420"/>
      <c r="DF24" s="420"/>
      <c r="DG24" s="420"/>
      <c r="DH24" s="420"/>
      <c r="DI24" s="420"/>
      <c r="DJ24" s="420"/>
      <c r="DK24" s="420"/>
      <c r="DL24" s="420"/>
      <c r="DM24" s="420"/>
      <c r="DN24" s="420"/>
      <c r="DO24" s="420"/>
      <c r="DP24" s="420"/>
      <c r="DQ24" s="420"/>
      <c r="DR24" s="420"/>
      <c r="DS24" s="420"/>
      <c r="DT24" s="420"/>
      <c r="DU24" s="420"/>
      <c r="DV24" s="420"/>
      <c r="DW24" s="420"/>
      <c r="DX24" s="420"/>
      <c r="DY24" s="420"/>
      <c r="DZ24" s="420"/>
      <c r="EA24" s="420"/>
    </row>
    <row r="25" spans="1:131" ht="13.5" thickBot="1">
      <c r="A25" s="420"/>
      <c r="B25" s="104" t="s">
        <v>175</v>
      </c>
      <c r="C25" s="105" t="s">
        <v>168</v>
      </c>
      <c r="D25" s="105" t="s">
        <v>175</v>
      </c>
      <c r="E25" s="106" t="s">
        <v>168</v>
      </c>
      <c r="F25" s="420"/>
      <c r="G25" s="101" t="s">
        <v>176</v>
      </c>
      <c r="H25" s="102" t="s">
        <v>177</v>
      </c>
      <c r="I25" s="102"/>
      <c r="J25" s="102"/>
      <c r="K25" s="102" t="s">
        <v>163</v>
      </c>
      <c r="L25" s="102"/>
      <c r="M25" s="102"/>
      <c r="N25" s="102"/>
      <c r="O25" s="103"/>
      <c r="P25" s="420"/>
      <c r="Q25" s="101"/>
      <c r="R25" s="102" t="s">
        <v>153</v>
      </c>
      <c r="S25" s="102" t="s">
        <v>154</v>
      </c>
      <c r="T25" s="102" t="s">
        <v>155</v>
      </c>
      <c r="U25" s="103" t="s">
        <v>156</v>
      </c>
      <c r="V25" s="420"/>
      <c r="W25" s="101" t="s">
        <v>178</v>
      </c>
      <c r="X25" s="103">
        <v>2012</v>
      </c>
      <c r="Y25" s="420"/>
      <c r="Z25" s="101" t="s">
        <v>179</v>
      </c>
      <c r="AA25" s="102">
        <v>0.9</v>
      </c>
      <c r="AB25" s="103" t="s">
        <v>180</v>
      </c>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420"/>
      <c r="BC25" s="420"/>
      <c r="BD25" s="420"/>
      <c r="BE25" s="420"/>
      <c r="BF25" s="420"/>
      <c r="BG25" s="420"/>
      <c r="BH25" s="420"/>
      <c r="BI25" s="420"/>
      <c r="BJ25" s="420"/>
      <c r="BK25" s="420"/>
      <c r="BL25" s="420"/>
      <c r="BM25" s="420"/>
      <c r="BN25" s="420"/>
      <c r="BO25" s="420"/>
      <c r="BP25" s="420"/>
      <c r="BQ25" s="420"/>
      <c r="BR25" s="420"/>
      <c r="BS25" s="420"/>
      <c r="BT25" s="420"/>
      <c r="BU25" s="420"/>
      <c r="BV25" s="420"/>
      <c r="BW25" s="420"/>
      <c r="BX25" s="420"/>
      <c r="BY25" s="420"/>
      <c r="BZ25" s="420"/>
      <c r="CA25" s="420"/>
      <c r="CB25" s="420"/>
      <c r="CC25" s="420"/>
      <c r="CD25" s="420"/>
      <c r="CE25" s="420"/>
      <c r="CF25" s="420"/>
      <c r="CG25" s="420"/>
      <c r="CH25" s="420"/>
      <c r="CI25" s="420"/>
      <c r="CJ25" s="420"/>
      <c r="CK25" s="420"/>
      <c r="CL25" s="420"/>
      <c r="CM25" s="420"/>
      <c r="CN25" s="420"/>
      <c r="CO25" s="420"/>
      <c r="CP25" s="420"/>
      <c r="CQ25" s="420"/>
      <c r="CR25" s="420"/>
      <c r="CS25" s="420"/>
      <c r="CT25" s="420"/>
      <c r="CU25" s="420"/>
      <c r="CV25" s="420"/>
      <c r="CW25" s="420"/>
      <c r="CX25" s="420"/>
      <c r="CY25" s="420"/>
      <c r="CZ25" s="420"/>
      <c r="DA25" s="420"/>
      <c r="DB25" s="420"/>
      <c r="DC25" s="420"/>
      <c r="DD25" s="420"/>
      <c r="DE25" s="420"/>
      <c r="DF25" s="420"/>
      <c r="DG25" s="420"/>
      <c r="DH25" s="420"/>
      <c r="DI25" s="420"/>
      <c r="DJ25" s="420"/>
      <c r="DK25" s="420"/>
      <c r="DL25" s="420"/>
      <c r="DM25" s="420"/>
      <c r="DN25" s="420"/>
      <c r="DO25" s="420"/>
      <c r="DP25" s="420"/>
      <c r="DQ25" s="420"/>
      <c r="DR25" s="420"/>
      <c r="DS25" s="420"/>
      <c r="DT25" s="420"/>
      <c r="DU25" s="420"/>
      <c r="DV25" s="420"/>
      <c r="DW25" s="420"/>
      <c r="DX25" s="420"/>
      <c r="DY25" s="420"/>
      <c r="DZ25" s="420"/>
      <c r="EA25" s="420"/>
    </row>
    <row r="26" spans="1:131">
      <c r="A26" s="420"/>
      <c r="B26" s="420"/>
      <c r="C26" s="420"/>
      <c r="D26" s="420"/>
      <c r="E26" s="420"/>
      <c r="F26" s="420"/>
      <c r="G26" s="101" t="s">
        <v>181</v>
      </c>
      <c r="H26" s="102" t="s">
        <v>170</v>
      </c>
      <c r="I26" s="102"/>
      <c r="J26" s="102"/>
      <c r="K26" s="102"/>
      <c r="L26" s="102"/>
      <c r="M26" s="102"/>
      <c r="N26" s="102"/>
      <c r="O26" s="103"/>
      <c r="P26" s="420"/>
      <c r="Q26" s="101" t="s">
        <v>182</v>
      </c>
      <c r="R26" s="102">
        <v>0.35</v>
      </c>
      <c r="S26" s="102">
        <v>0.19500000000000001</v>
      </c>
      <c r="T26" s="102">
        <v>4.8749999999999988E-2</v>
      </c>
      <c r="U26" s="103">
        <v>0.40625</v>
      </c>
      <c r="V26" s="420"/>
      <c r="W26" s="101" t="s">
        <v>183</v>
      </c>
      <c r="X26" s="103">
        <v>0.04</v>
      </c>
      <c r="Y26" s="420"/>
      <c r="Z26" s="101" t="s">
        <v>184</v>
      </c>
      <c r="AA26" s="102">
        <v>4.7399348199455904E-2</v>
      </c>
      <c r="AB26" s="103">
        <v>0</v>
      </c>
      <c r="AC26" s="420"/>
      <c r="AD26" s="420"/>
      <c r="AE26" s="420"/>
      <c r="AF26" s="420"/>
      <c r="AG26" s="420"/>
      <c r="AH26" s="420"/>
      <c r="AI26" s="420"/>
      <c r="AJ26" s="420"/>
      <c r="AK26" s="420"/>
      <c r="AL26" s="420"/>
      <c r="AM26" s="420"/>
      <c r="AN26" s="420"/>
      <c r="AO26" s="420"/>
      <c r="AP26" s="420"/>
      <c r="AQ26" s="420"/>
      <c r="AR26" s="420"/>
      <c r="AS26" s="420"/>
      <c r="AT26" s="420"/>
      <c r="AU26" s="420"/>
      <c r="AV26" s="420"/>
      <c r="AW26" s="420"/>
      <c r="AX26" s="420"/>
      <c r="AY26" s="420"/>
      <c r="AZ26" s="420"/>
      <c r="BA26" s="420"/>
      <c r="BB26" s="420"/>
      <c r="BC26" s="420"/>
      <c r="BD26" s="420"/>
      <c r="BE26" s="420"/>
      <c r="BF26" s="420"/>
      <c r="BG26" s="420"/>
      <c r="BH26" s="420"/>
      <c r="BI26" s="420"/>
      <c r="BJ26" s="420"/>
      <c r="BK26" s="420"/>
      <c r="BL26" s="420"/>
      <c r="BM26" s="420"/>
      <c r="BN26" s="420"/>
      <c r="BO26" s="420"/>
      <c r="BP26" s="420"/>
      <c r="BQ26" s="420"/>
      <c r="BR26" s="420"/>
      <c r="BS26" s="420"/>
      <c r="BT26" s="420"/>
      <c r="BU26" s="420"/>
      <c r="BV26" s="420"/>
      <c r="BW26" s="420"/>
      <c r="BX26" s="420"/>
      <c r="BY26" s="420"/>
      <c r="BZ26" s="420"/>
      <c r="CA26" s="420"/>
      <c r="CB26" s="420"/>
      <c r="CC26" s="420"/>
      <c r="CD26" s="420"/>
      <c r="CE26" s="420"/>
      <c r="CF26" s="420"/>
      <c r="CG26" s="420"/>
      <c r="CH26" s="420"/>
      <c r="CI26" s="420"/>
      <c r="CJ26" s="420"/>
      <c r="CK26" s="420"/>
      <c r="CL26" s="420"/>
      <c r="CM26" s="420"/>
      <c r="CN26" s="420"/>
      <c r="CO26" s="420"/>
      <c r="CP26" s="420"/>
      <c r="CQ26" s="420"/>
      <c r="CR26" s="420"/>
      <c r="CS26" s="420"/>
      <c r="CT26" s="420"/>
      <c r="CU26" s="420"/>
      <c r="CV26" s="420"/>
      <c r="CW26" s="420"/>
      <c r="CX26" s="420"/>
      <c r="CY26" s="420"/>
      <c r="CZ26" s="420"/>
      <c r="DA26" s="420"/>
      <c r="DB26" s="420"/>
      <c r="DC26" s="420"/>
      <c r="DD26" s="420"/>
      <c r="DE26" s="420"/>
      <c r="DF26" s="420"/>
      <c r="DG26" s="420"/>
      <c r="DH26" s="420"/>
      <c r="DI26" s="420"/>
      <c r="DJ26" s="420"/>
      <c r="DK26" s="420"/>
      <c r="DL26" s="420"/>
      <c r="DM26" s="420"/>
      <c r="DN26" s="420"/>
      <c r="DO26" s="420"/>
      <c r="DP26" s="420"/>
      <c r="DQ26" s="420"/>
      <c r="DR26" s="420"/>
      <c r="DS26" s="420"/>
      <c r="DT26" s="420"/>
      <c r="DU26" s="420"/>
      <c r="DV26" s="420"/>
      <c r="DW26" s="420"/>
      <c r="DX26" s="420"/>
      <c r="DY26" s="420"/>
      <c r="DZ26" s="420"/>
      <c r="EA26" s="420"/>
    </row>
    <row r="27" spans="1:131">
      <c r="A27" s="420"/>
      <c r="B27" s="420" t="s">
        <v>185</v>
      </c>
      <c r="C27" s="420" t="s">
        <v>150</v>
      </c>
      <c r="D27" s="420"/>
      <c r="E27" s="420"/>
      <c r="F27" s="420"/>
      <c r="G27" s="101" t="s">
        <v>186</v>
      </c>
      <c r="H27" s="102" t="s">
        <v>187</v>
      </c>
      <c r="I27" s="102"/>
      <c r="J27" s="102"/>
      <c r="K27" s="102" t="s">
        <v>188</v>
      </c>
      <c r="L27" s="102"/>
      <c r="M27" s="102"/>
      <c r="N27" s="102"/>
      <c r="O27" s="103"/>
      <c r="P27" s="420"/>
      <c r="Q27" s="101" t="s">
        <v>189</v>
      </c>
      <c r="R27" s="102">
        <v>1</v>
      </c>
      <c r="S27" s="102">
        <v>0</v>
      </c>
      <c r="T27" s="102">
        <v>0</v>
      </c>
      <c r="U27" s="103">
        <v>0</v>
      </c>
      <c r="V27" s="420"/>
      <c r="W27" s="101" t="s">
        <v>190</v>
      </c>
      <c r="X27" s="103">
        <v>0</v>
      </c>
      <c r="Y27" s="420"/>
      <c r="Z27" s="101" t="s">
        <v>191</v>
      </c>
      <c r="AA27" s="102">
        <v>31</v>
      </c>
      <c r="AB27" s="103">
        <v>0</v>
      </c>
      <c r="AC27" s="420"/>
      <c r="AD27" s="420"/>
      <c r="AE27" s="420"/>
      <c r="AF27" s="420"/>
      <c r="AG27" s="420"/>
      <c r="AH27" s="420"/>
      <c r="AI27" s="420"/>
      <c r="AJ27" s="420"/>
      <c r="AK27" s="420"/>
      <c r="AL27" s="420"/>
      <c r="AM27" s="420"/>
      <c r="AN27" s="420"/>
      <c r="AO27" s="420"/>
      <c r="AP27" s="420"/>
      <c r="AQ27" s="420"/>
      <c r="AR27" s="420"/>
      <c r="AS27" s="420"/>
      <c r="AT27" s="420"/>
      <c r="AU27" s="420"/>
      <c r="AV27" s="420"/>
      <c r="AW27" s="420"/>
      <c r="AX27" s="420"/>
      <c r="AY27" s="420"/>
      <c r="AZ27" s="420"/>
      <c r="BA27" s="420"/>
      <c r="BB27" s="420"/>
      <c r="BC27" s="420"/>
      <c r="BD27" s="420"/>
      <c r="BE27" s="420"/>
      <c r="BF27" s="420"/>
      <c r="BG27" s="420"/>
      <c r="BH27" s="420"/>
      <c r="BI27" s="420"/>
      <c r="BJ27" s="420"/>
      <c r="BK27" s="420"/>
      <c r="BL27" s="420"/>
      <c r="BM27" s="420"/>
      <c r="BN27" s="420"/>
      <c r="BO27" s="420"/>
      <c r="BP27" s="420"/>
      <c r="BQ27" s="420"/>
      <c r="BR27" s="420"/>
      <c r="BS27" s="420"/>
      <c r="BT27" s="420"/>
      <c r="BU27" s="420"/>
      <c r="BV27" s="420"/>
      <c r="BW27" s="420"/>
      <c r="BX27" s="420"/>
      <c r="BY27" s="420"/>
      <c r="BZ27" s="420"/>
      <c r="CA27" s="420"/>
      <c r="CB27" s="420"/>
      <c r="CC27" s="420"/>
      <c r="CD27" s="420"/>
      <c r="CE27" s="420"/>
      <c r="CF27" s="420"/>
      <c r="CG27" s="420"/>
      <c r="CH27" s="420"/>
      <c r="CI27" s="420"/>
      <c r="CJ27" s="420"/>
      <c r="CK27" s="420"/>
      <c r="CL27" s="420"/>
      <c r="CM27" s="420"/>
      <c r="CN27" s="420"/>
      <c r="CO27" s="420"/>
      <c r="CP27" s="420"/>
      <c r="CQ27" s="420"/>
      <c r="CR27" s="420"/>
      <c r="CS27" s="420"/>
      <c r="CT27" s="420"/>
      <c r="CU27" s="420"/>
      <c r="CV27" s="420"/>
      <c r="CW27" s="420"/>
      <c r="CX27" s="420"/>
      <c r="CY27" s="420"/>
      <c r="CZ27" s="420"/>
      <c r="DA27" s="420"/>
      <c r="DB27" s="420"/>
      <c r="DC27" s="420"/>
      <c r="DD27" s="420"/>
      <c r="DE27" s="420"/>
      <c r="DF27" s="420"/>
      <c r="DG27" s="420"/>
      <c r="DH27" s="420"/>
      <c r="DI27" s="420"/>
      <c r="DJ27" s="420"/>
      <c r="DK27" s="420"/>
      <c r="DL27" s="420"/>
      <c r="DM27" s="420"/>
      <c r="DN27" s="420"/>
      <c r="DO27" s="420"/>
      <c r="DP27" s="420"/>
      <c r="DQ27" s="420"/>
      <c r="DR27" s="420"/>
      <c r="DS27" s="420"/>
      <c r="DT27" s="420"/>
      <c r="DU27" s="420"/>
      <c r="DV27" s="420"/>
      <c r="DW27" s="420"/>
      <c r="DX27" s="420"/>
      <c r="DY27" s="420"/>
      <c r="DZ27" s="420"/>
      <c r="EA27" s="420"/>
    </row>
    <row r="28" spans="1:131">
      <c r="A28" s="420"/>
      <c r="B28" s="420" t="s">
        <v>192</v>
      </c>
      <c r="C28" s="420" t="s">
        <v>193</v>
      </c>
      <c r="D28" s="420"/>
      <c r="E28" s="420"/>
      <c r="F28" s="420"/>
      <c r="G28" s="101" t="s">
        <v>194</v>
      </c>
      <c r="H28" s="102" t="s">
        <v>188</v>
      </c>
      <c r="I28" s="102"/>
      <c r="J28" s="102"/>
      <c r="K28" s="102" t="s">
        <v>195</v>
      </c>
      <c r="L28" s="102"/>
      <c r="M28" s="102"/>
      <c r="N28" s="102"/>
      <c r="O28" s="103"/>
      <c r="P28" s="420"/>
      <c r="Q28" s="101" t="s">
        <v>196</v>
      </c>
      <c r="R28" s="102">
        <v>1</v>
      </c>
      <c r="S28" s="102">
        <v>0</v>
      </c>
      <c r="T28" s="102">
        <v>0</v>
      </c>
      <c r="U28" s="103">
        <v>0</v>
      </c>
      <c r="V28" s="420"/>
      <c r="W28" s="101" t="s">
        <v>197</v>
      </c>
      <c r="X28" s="103">
        <v>0.2</v>
      </c>
      <c r="Y28" s="420"/>
      <c r="Z28" s="101" t="s">
        <v>198</v>
      </c>
      <c r="AA28" s="102">
        <v>0.7</v>
      </c>
      <c r="AB28" s="103" t="s">
        <v>180</v>
      </c>
      <c r="AC28" s="420"/>
      <c r="AD28" s="420"/>
      <c r="AE28" s="420"/>
      <c r="AF28" s="420"/>
      <c r="AG28" s="420"/>
      <c r="AH28" s="420"/>
      <c r="AI28" s="420"/>
      <c r="AJ28" s="420"/>
      <c r="AK28" s="420"/>
      <c r="AL28" s="420"/>
      <c r="AM28" s="420"/>
      <c r="AN28" s="420"/>
      <c r="AO28" s="420"/>
      <c r="AP28" s="420"/>
      <c r="AQ28" s="420"/>
      <c r="AR28" s="420"/>
      <c r="AS28" s="420"/>
      <c r="AT28" s="420"/>
      <c r="AU28" s="420"/>
      <c r="AV28" s="420"/>
      <c r="AW28" s="420"/>
      <c r="AX28" s="420"/>
      <c r="AY28" s="420"/>
      <c r="AZ28" s="420"/>
      <c r="BA28" s="420"/>
      <c r="BB28" s="420"/>
      <c r="BC28" s="420"/>
      <c r="BD28" s="420"/>
      <c r="BE28" s="420"/>
      <c r="BF28" s="420"/>
      <c r="BG28" s="420"/>
      <c r="BH28" s="420"/>
      <c r="BI28" s="420"/>
      <c r="BJ28" s="420"/>
      <c r="BK28" s="420"/>
      <c r="BL28" s="420"/>
      <c r="BM28" s="420"/>
      <c r="BN28" s="420"/>
      <c r="BO28" s="420"/>
      <c r="BP28" s="420"/>
      <c r="BQ28" s="420"/>
      <c r="BR28" s="420"/>
      <c r="BS28" s="420"/>
      <c r="BT28" s="420"/>
      <c r="BU28" s="420"/>
      <c r="BV28" s="420"/>
      <c r="BW28" s="420"/>
      <c r="BX28" s="420"/>
      <c r="BY28" s="420"/>
      <c r="BZ28" s="420"/>
      <c r="CA28" s="420"/>
      <c r="CB28" s="420"/>
      <c r="CC28" s="420"/>
      <c r="CD28" s="420"/>
      <c r="CE28" s="420"/>
      <c r="CF28" s="420"/>
      <c r="CG28" s="420"/>
      <c r="CH28" s="420"/>
      <c r="CI28" s="420"/>
      <c r="CJ28" s="420"/>
      <c r="CK28" s="420"/>
      <c r="CL28" s="420"/>
      <c r="CM28" s="420"/>
      <c r="CN28" s="420"/>
      <c r="CO28" s="420"/>
      <c r="CP28" s="420"/>
      <c r="CQ28" s="420"/>
      <c r="CR28" s="420"/>
      <c r="CS28" s="420"/>
      <c r="CT28" s="420"/>
      <c r="CU28" s="420"/>
      <c r="CV28" s="420"/>
      <c r="CW28" s="420"/>
      <c r="CX28" s="420"/>
      <c r="CY28" s="420"/>
      <c r="CZ28" s="420"/>
      <c r="DA28" s="420"/>
      <c r="DB28" s="420"/>
      <c r="DC28" s="420"/>
      <c r="DD28" s="420"/>
      <c r="DE28" s="420"/>
      <c r="DF28" s="420"/>
      <c r="DG28" s="420"/>
      <c r="DH28" s="420"/>
      <c r="DI28" s="420"/>
      <c r="DJ28" s="420"/>
      <c r="DK28" s="420"/>
      <c r="DL28" s="420"/>
      <c r="DM28" s="420"/>
      <c r="DN28" s="420"/>
      <c r="DO28" s="420"/>
      <c r="DP28" s="420"/>
      <c r="DQ28" s="420"/>
      <c r="DR28" s="420"/>
      <c r="DS28" s="420"/>
      <c r="DT28" s="420"/>
      <c r="DU28" s="420"/>
      <c r="DV28" s="420"/>
      <c r="DW28" s="420"/>
      <c r="DX28" s="420"/>
      <c r="DY28" s="420"/>
      <c r="DZ28" s="420"/>
      <c r="EA28" s="420"/>
    </row>
    <row r="29" spans="1:131">
      <c r="A29" s="420"/>
      <c r="B29" s="420" t="s">
        <v>199</v>
      </c>
      <c r="C29" s="420" t="s">
        <v>200</v>
      </c>
      <c r="D29" s="420"/>
      <c r="E29" s="420"/>
      <c r="F29" s="420"/>
      <c r="G29" s="101" t="s">
        <v>201</v>
      </c>
      <c r="H29" s="102" t="s">
        <v>195</v>
      </c>
      <c r="I29" s="102"/>
      <c r="J29" s="102"/>
      <c r="K29" s="102" t="s">
        <v>202</v>
      </c>
      <c r="L29" s="102"/>
      <c r="M29" s="102"/>
      <c r="N29" s="102"/>
      <c r="O29" s="103"/>
      <c r="P29" s="420"/>
      <c r="Q29" s="101" t="s">
        <v>203</v>
      </c>
      <c r="R29" s="102"/>
      <c r="S29" s="102">
        <v>0.3</v>
      </c>
      <c r="T29" s="102">
        <v>7.4999999999999983E-2</v>
      </c>
      <c r="U29" s="103">
        <v>0.625</v>
      </c>
      <c r="V29" s="420"/>
      <c r="W29" s="101" t="s">
        <v>204</v>
      </c>
      <c r="X29" s="103">
        <v>0.1</v>
      </c>
      <c r="Y29" s="420"/>
      <c r="Z29" s="101" t="s">
        <v>205</v>
      </c>
      <c r="AA29" s="102">
        <v>0</v>
      </c>
      <c r="AB29" s="103">
        <v>0</v>
      </c>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420"/>
      <c r="BA29" s="420"/>
      <c r="BB29" s="420"/>
      <c r="BC29" s="420"/>
      <c r="BD29" s="420"/>
      <c r="BE29" s="420"/>
      <c r="BF29" s="420"/>
      <c r="BG29" s="420"/>
      <c r="BH29" s="420"/>
      <c r="BI29" s="420"/>
      <c r="BJ29" s="420"/>
      <c r="BK29" s="420"/>
      <c r="BL29" s="420"/>
      <c r="BM29" s="420"/>
      <c r="BN29" s="420"/>
      <c r="BO29" s="420"/>
      <c r="BP29" s="420"/>
      <c r="BQ29" s="420"/>
      <c r="BR29" s="420"/>
      <c r="BS29" s="420"/>
      <c r="BT29" s="420"/>
      <c r="BU29" s="420"/>
      <c r="BV29" s="420"/>
      <c r="BW29" s="420"/>
      <c r="BX29" s="420"/>
      <c r="BY29" s="420"/>
      <c r="BZ29" s="420"/>
      <c r="CA29" s="420"/>
      <c r="CB29" s="420"/>
      <c r="CC29" s="420"/>
      <c r="CD29" s="420"/>
      <c r="CE29" s="420"/>
      <c r="CF29" s="420"/>
      <c r="CG29" s="420"/>
      <c r="CH29" s="420"/>
      <c r="CI29" s="420"/>
      <c r="CJ29" s="420"/>
      <c r="CK29" s="420"/>
      <c r="CL29" s="420"/>
      <c r="CM29" s="420"/>
      <c r="CN29" s="420"/>
      <c r="CO29" s="420"/>
      <c r="CP29" s="420"/>
      <c r="CQ29" s="420"/>
      <c r="CR29" s="420"/>
      <c r="CS29" s="420"/>
      <c r="CT29" s="420"/>
      <c r="CU29" s="420"/>
      <c r="CV29" s="420"/>
      <c r="CW29" s="420"/>
      <c r="CX29" s="420"/>
      <c r="CY29" s="420"/>
      <c r="CZ29" s="420"/>
      <c r="DA29" s="420"/>
      <c r="DB29" s="420"/>
      <c r="DC29" s="420"/>
      <c r="DD29" s="420"/>
      <c r="DE29" s="420"/>
      <c r="DF29" s="420"/>
      <c r="DG29" s="420"/>
      <c r="DH29" s="420"/>
      <c r="DI29" s="420"/>
      <c r="DJ29" s="420"/>
      <c r="DK29" s="420"/>
      <c r="DL29" s="420"/>
      <c r="DM29" s="420"/>
      <c r="DN29" s="420"/>
      <c r="DO29" s="420"/>
      <c r="DP29" s="420"/>
      <c r="DQ29" s="420"/>
      <c r="DR29" s="420"/>
      <c r="DS29" s="420"/>
      <c r="DT29" s="420"/>
      <c r="DU29" s="420"/>
      <c r="DV29" s="420"/>
      <c r="DW29" s="420"/>
      <c r="DX29" s="420"/>
      <c r="DY29" s="420"/>
      <c r="DZ29" s="420"/>
      <c r="EA29" s="420"/>
    </row>
    <row r="30" spans="1:131" ht="13.5" thickBot="1">
      <c r="A30" s="420"/>
      <c r="B30" s="420" t="s">
        <v>206</v>
      </c>
      <c r="C30" s="420" t="s">
        <v>207</v>
      </c>
      <c r="D30" s="420"/>
      <c r="E30" s="420"/>
      <c r="F30" s="420"/>
      <c r="G30" s="104" t="s">
        <v>208</v>
      </c>
      <c r="H30" s="105" t="s">
        <v>202</v>
      </c>
      <c r="I30" s="105"/>
      <c r="J30" s="105"/>
      <c r="K30" s="105"/>
      <c r="L30" s="105"/>
      <c r="M30" s="105"/>
      <c r="N30" s="105"/>
      <c r="O30" s="106"/>
      <c r="P30" s="420"/>
      <c r="Q30" s="104" t="s">
        <v>209</v>
      </c>
      <c r="R30" s="105"/>
      <c r="S30" s="105">
        <v>20</v>
      </c>
      <c r="T30" s="105"/>
      <c r="U30" s="106"/>
      <c r="V30" s="420"/>
      <c r="W30" s="104" t="s">
        <v>210</v>
      </c>
      <c r="X30" s="106">
        <v>2018</v>
      </c>
      <c r="Y30" s="420"/>
      <c r="Z30" s="104" t="s">
        <v>211</v>
      </c>
      <c r="AA30" s="105">
        <v>0</v>
      </c>
      <c r="AB30" s="106">
        <v>0</v>
      </c>
      <c r="AC30" s="420"/>
      <c r="AD30" s="420"/>
      <c r="AE30" s="420"/>
      <c r="AF30" s="420"/>
      <c r="AG30" s="420"/>
      <c r="AH30" s="420"/>
      <c r="AI30" s="420"/>
      <c r="AJ30" s="420"/>
      <c r="AK30" s="420"/>
      <c r="AL30" s="420"/>
      <c r="AM30" s="420"/>
      <c r="AN30" s="420"/>
      <c r="AO30" s="420"/>
      <c r="AP30" s="420"/>
      <c r="AQ30" s="420"/>
      <c r="AR30" s="420"/>
      <c r="AS30" s="420"/>
      <c r="AT30" s="420"/>
      <c r="AU30" s="420"/>
      <c r="AV30" s="420"/>
      <c r="AW30" s="420"/>
      <c r="AX30" s="420"/>
      <c r="AY30" s="420"/>
      <c r="AZ30" s="420"/>
      <c r="BA30" s="420"/>
      <c r="BB30" s="420"/>
      <c r="BC30" s="420"/>
      <c r="BD30" s="420"/>
      <c r="BE30" s="420"/>
      <c r="BF30" s="420"/>
      <c r="BG30" s="420"/>
      <c r="BH30" s="420"/>
      <c r="BI30" s="420"/>
      <c r="BJ30" s="420"/>
      <c r="BK30" s="420"/>
      <c r="BL30" s="420"/>
      <c r="BM30" s="420"/>
      <c r="BN30" s="420"/>
      <c r="BO30" s="420"/>
      <c r="BP30" s="420"/>
      <c r="BQ30" s="420"/>
      <c r="BR30" s="420"/>
      <c r="BS30" s="420"/>
      <c r="BT30" s="420"/>
      <c r="BU30" s="420"/>
      <c r="BV30" s="420"/>
      <c r="BW30" s="420"/>
      <c r="BX30" s="420"/>
      <c r="BY30" s="420"/>
      <c r="BZ30" s="420"/>
      <c r="CA30" s="420"/>
      <c r="CB30" s="420"/>
      <c r="CC30" s="420"/>
      <c r="CD30" s="420"/>
      <c r="CE30" s="420"/>
      <c r="CF30" s="420"/>
      <c r="CG30" s="420"/>
      <c r="CH30" s="420"/>
      <c r="CI30" s="420"/>
      <c r="CJ30" s="420"/>
      <c r="CK30" s="420"/>
      <c r="CL30" s="420"/>
      <c r="CM30" s="420"/>
      <c r="CN30" s="420"/>
      <c r="CO30" s="420"/>
      <c r="CP30" s="420"/>
      <c r="CQ30" s="420"/>
      <c r="CR30" s="420"/>
      <c r="CS30" s="420"/>
      <c r="CT30" s="420"/>
      <c r="CU30" s="420"/>
      <c r="CV30" s="420"/>
      <c r="CW30" s="420"/>
      <c r="CX30" s="420"/>
      <c r="CY30" s="420"/>
      <c r="CZ30" s="420"/>
      <c r="DA30" s="420"/>
      <c r="DB30" s="420"/>
      <c r="DC30" s="420"/>
      <c r="DD30" s="420"/>
      <c r="DE30" s="420"/>
      <c r="DF30" s="420"/>
      <c r="DG30" s="420"/>
      <c r="DH30" s="420"/>
      <c r="DI30" s="420"/>
      <c r="DJ30" s="420"/>
      <c r="DK30" s="420"/>
      <c r="DL30" s="420"/>
      <c r="DM30" s="420"/>
      <c r="DN30" s="420"/>
      <c r="DO30" s="420"/>
      <c r="DP30" s="420"/>
      <c r="DQ30" s="420"/>
      <c r="DR30" s="420"/>
      <c r="DS30" s="420"/>
      <c r="DT30" s="420"/>
      <c r="DU30" s="420"/>
      <c r="DV30" s="420"/>
      <c r="DW30" s="420"/>
      <c r="DX30" s="420"/>
      <c r="DY30" s="420"/>
      <c r="DZ30" s="420"/>
      <c r="EA30" s="420"/>
    </row>
    <row r="31" spans="1:131">
      <c r="A31" s="420"/>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0"/>
      <c r="BQ31" s="420"/>
      <c r="BR31" s="420"/>
      <c r="BS31" s="420"/>
      <c r="BT31" s="420"/>
      <c r="BU31" s="420"/>
      <c r="BV31" s="420"/>
      <c r="BW31" s="420"/>
      <c r="BX31" s="420"/>
      <c r="BY31" s="420"/>
      <c r="BZ31" s="420"/>
      <c r="CA31" s="420"/>
      <c r="CB31" s="420"/>
      <c r="CC31" s="420"/>
      <c r="CD31" s="420"/>
      <c r="CE31" s="420"/>
      <c r="CF31" s="420"/>
      <c r="CG31" s="420"/>
      <c r="CH31" s="420"/>
      <c r="CI31" s="420"/>
      <c r="CJ31" s="420"/>
      <c r="CK31" s="420"/>
      <c r="CL31" s="420"/>
      <c r="CM31" s="420"/>
      <c r="CN31" s="420"/>
      <c r="CO31" s="420"/>
      <c r="CP31" s="420"/>
      <c r="CQ31" s="420"/>
      <c r="CR31" s="420"/>
      <c r="CS31" s="420"/>
      <c r="CT31" s="420"/>
      <c r="CU31" s="420"/>
      <c r="CV31" s="420"/>
      <c r="CW31" s="420"/>
      <c r="CX31" s="420"/>
      <c r="CY31" s="420"/>
      <c r="CZ31" s="420"/>
      <c r="DA31" s="420"/>
      <c r="DB31" s="420"/>
      <c r="DC31" s="420"/>
      <c r="DD31" s="420"/>
      <c r="DE31" s="420"/>
      <c r="DF31" s="420"/>
      <c r="DG31" s="420"/>
      <c r="DH31" s="420"/>
      <c r="DI31" s="420"/>
      <c r="DJ31" s="420"/>
      <c r="DK31" s="420"/>
      <c r="DL31" s="420"/>
      <c r="DM31" s="420"/>
      <c r="DN31" s="420"/>
      <c r="DO31" s="420"/>
      <c r="DP31" s="420"/>
      <c r="DQ31" s="420"/>
      <c r="DR31" s="420"/>
      <c r="DS31" s="420"/>
      <c r="DT31" s="420"/>
      <c r="DU31" s="420"/>
      <c r="DV31" s="420"/>
      <c r="DW31" s="420"/>
      <c r="DX31" s="420"/>
      <c r="DY31" s="420"/>
      <c r="DZ31" s="420"/>
      <c r="EA31" s="420"/>
    </row>
    <row r="32" spans="1:131">
      <c r="A32" s="420"/>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0"/>
      <c r="BQ32" s="420"/>
      <c r="BR32" s="420"/>
      <c r="BS32" s="420"/>
      <c r="BT32" s="420"/>
      <c r="BU32" s="420"/>
      <c r="BV32" s="420"/>
      <c r="BW32" s="420"/>
      <c r="BX32" s="420"/>
      <c r="BY32" s="420"/>
      <c r="BZ32" s="420"/>
      <c r="CA32" s="420"/>
      <c r="CB32" s="420"/>
      <c r="CC32" s="420"/>
      <c r="CD32" s="420"/>
      <c r="CE32" s="420"/>
      <c r="CF32" s="420"/>
      <c r="CG32" s="420"/>
      <c r="CH32" s="420"/>
      <c r="CI32" s="420"/>
      <c r="CJ32" s="420"/>
      <c r="CK32" s="420"/>
      <c r="CL32" s="420"/>
      <c r="CM32" s="420"/>
      <c r="CN32" s="420"/>
      <c r="CO32" s="420"/>
      <c r="CP32" s="420"/>
      <c r="CQ32" s="420"/>
      <c r="CR32" s="420"/>
      <c r="CS32" s="420"/>
      <c r="CT32" s="420"/>
      <c r="CU32" s="420"/>
      <c r="CV32" s="420"/>
      <c r="CW32" s="420"/>
      <c r="CX32" s="420"/>
      <c r="CY32" s="420"/>
      <c r="CZ32" s="420"/>
      <c r="DA32" s="420"/>
      <c r="DB32" s="420"/>
      <c r="DC32" s="420"/>
      <c r="DD32" s="420"/>
      <c r="DE32" s="420"/>
      <c r="DF32" s="420"/>
      <c r="DG32" s="420"/>
      <c r="DH32" s="420"/>
      <c r="DI32" s="420"/>
      <c r="DJ32" s="420"/>
      <c r="DK32" s="420"/>
      <c r="DL32" s="420"/>
      <c r="DM32" s="420"/>
      <c r="DN32" s="420"/>
      <c r="DO32" s="420"/>
      <c r="DP32" s="420"/>
      <c r="DQ32" s="420"/>
      <c r="DR32" s="420"/>
      <c r="DS32" s="420"/>
      <c r="DT32" s="420"/>
      <c r="DU32" s="420"/>
      <c r="DV32" s="420"/>
      <c r="DW32" s="420"/>
      <c r="DX32" s="420"/>
      <c r="DY32" s="420"/>
      <c r="DZ32" s="420"/>
      <c r="EA32" s="420"/>
    </row>
    <row r="33" spans="1:131">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420"/>
      <c r="CT33" s="420"/>
      <c r="CU33" s="420"/>
      <c r="CV33" s="420"/>
      <c r="CW33" s="420"/>
      <c r="CX33" s="420"/>
      <c r="CY33" s="420"/>
      <c r="CZ33" s="420"/>
      <c r="DA33" s="420"/>
      <c r="DB33" s="420"/>
      <c r="DC33" s="420"/>
      <c r="DD33" s="420"/>
      <c r="DE33" s="420"/>
      <c r="DF33" s="420"/>
      <c r="DG33" s="420"/>
      <c r="DH33" s="420"/>
      <c r="DI33" s="420"/>
      <c r="DJ33" s="420"/>
      <c r="DK33" s="420"/>
      <c r="DL33" s="420"/>
      <c r="DM33" s="420"/>
      <c r="DN33" s="420"/>
      <c r="DO33" s="420"/>
      <c r="DP33" s="420"/>
      <c r="DQ33" s="420"/>
      <c r="DR33" s="420"/>
      <c r="DS33" s="420"/>
      <c r="DT33" s="420"/>
      <c r="DU33" s="420"/>
      <c r="DV33" s="420"/>
      <c r="DW33" s="420"/>
      <c r="DX33" s="420"/>
      <c r="DY33" s="420"/>
      <c r="DZ33" s="420"/>
      <c r="EA33" s="420"/>
    </row>
    <row r="34" spans="1:131">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0"/>
      <c r="BM34" s="420"/>
      <c r="BN34" s="420"/>
      <c r="BO34" s="420"/>
      <c r="BP34" s="420"/>
      <c r="BQ34" s="420"/>
      <c r="BR34" s="420"/>
      <c r="BS34" s="420"/>
      <c r="BT34" s="420"/>
      <c r="BU34" s="420"/>
      <c r="BV34" s="420"/>
      <c r="BW34" s="420"/>
      <c r="BX34" s="420"/>
      <c r="BY34" s="420"/>
      <c r="BZ34" s="420"/>
      <c r="CA34" s="420"/>
      <c r="CB34" s="420"/>
      <c r="CC34" s="420"/>
      <c r="CD34" s="420"/>
      <c r="CE34" s="420"/>
      <c r="CF34" s="420"/>
      <c r="CG34" s="420"/>
      <c r="CH34" s="420"/>
      <c r="CI34" s="420"/>
      <c r="CJ34" s="420"/>
      <c r="CK34" s="420"/>
      <c r="CL34" s="420"/>
      <c r="CM34" s="420"/>
      <c r="CN34" s="420"/>
      <c r="CO34" s="420"/>
      <c r="CP34" s="420"/>
      <c r="CQ34" s="420"/>
      <c r="CR34" s="420"/>
      <c r="CS34" s="420"/>
      <c r="CT34" s="420"/>
      <c r="CU34" s="420"/>
      <c r="CV34" s="420"/>
      <c r="CW34" s="420"/>
      <c r="CX34" s="420"/>
      <c r="CY34" s="420"/>
      <c r="CZ34" s="420"/>
      <c r="DA34" s="420"/>
      <c r="DB34" s="420"/>
      <c r="DC34" s="420"/>
      <c r="DD34" s="420"/>
      <c r="DE34" s="420"/>
      <c r="DF34" s="420"/>
      <c r="DG34" s="420"/>
      <c r="DH34" s="420"/>
      <c r="DI34" s="420"/>
      <c r="DJ34" s="420"/>
      <c r="DK34" s="420"/>
      <c r="DL34" s="420"/>
      <c r="DM34" s="420"/>
      <c r="DN34" s="420"/>
      <c r="DO34" s="420"/>
      <c r="DP34" s="420"/>
      <c r="DQ34" s="420"/>
      <c r="DR34" s="420"/>
      <c r="DS34" s="420"/>
      <c r="DT34" s="420"/>
      <c r="DU34" s="420"/>
      <c r="DV34" s="420"/>
      <c r="DW34" s="420"/>
      <c r="DX34" s="420"/>
      <c r="DY34" s="420"/>
      <c r="DZ34" s="420"/>
      <c r="EA34" s="420"/>
    </row>
    <row r="35" spans="1:131">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c r="BH35" s="420"/>
      <c r="BI35" s="420"/>
      <c r="BJ35" s="420"/>
      <c r="BK35" s="420"/>
      <c r="BL35" s="420"/>
      <c r="BM35" s="420"/>
      <c r="BN35" s="420"/>
      <c r="BO35" s="420"/>
      <c r="BP35" s="420"/>
      <c r="BQ35" s="420"/>
      <c r="BR35" s="420"/>
      <c r="BS35" s="420"/>
      <c r="BT35" s="420"/>
      <c r="BU35" s="420"/>
      <c r="BV35" s="420"/>
      <c r="BW35" s="420"/>
      <c r="BX35" s="420"/>
      <c r="BY35" s="420"/>
      <c r="BZ35" s="420"/>
      <c r="CA35" s="420"/>
      <c r="CB35" s="420"/>
      <c r="CC35" s="420"/>
      <c r="CD35" s="420"/>
      <c r="CE35" s="420"/>
      <c r="CF35" s="420"/>
      <c r="CG35" s="420"/>
      <c r="CH35" s="420"/>
      <c r="CI35" s="420"/>
      <c r="CJ35" s="420"/>
      <c r="CK35" s="420"/>
      <c r="CL35" s="420"/>
      <c r="CM35" s="420"/>
      <c r="CN35" s="420"/>
      <c r="CO35" s="420"/>
      <c r="CP35" s="420"/>
      <c r="CQ35" s="420"/>
      <c r="CR35" s="420"/>
      <c r="CS35" s="420"/>
      <c r="CT35" s="420"/>
      <c r="CU35" s="420"/>
      <c r="CV35" s="420"/>
      <c r="CW35" s="420"/>
      <c r="CX35" s="420"/>
      <c r="CY35" s="420"/>
      <c r="CZ35" s="420"/>
      <c r="DA35" s="420"/>
      <c r="DB35" s="420"/>
      <c r="DC35" s="420"/>
      <c r="DD35" s="420"/>
      <c r="DE35" s="420"/>
      <c r="DF35" s="420"/>
      <c r="DG35" s="420"/>
      <c r="DH35" s="420"/>
      <c r="DI35" s="420"/>
      <c r="DJ35" s="420"/>
      <c r="DK35" s="420"/>
      <c r="DL35" s="420"/>
      <c r="DM35" s="420"/>
      <c r="DN35" s="420"/>
      <c r="DO35" s="420"/>
      <c r="DP35" s="420"/>
      <c r="DQ35" s="420"/>
      <c r="DR35" s="420"/>
      <c r="DS35" s="420"/>
      <c r="DT35" s="420"/>
      <c r="DU35" s="420"/>
      <c r="DV35" s="420"/>
      <c r="DW35" s="420"/>
      <c r="DX35" s="420"/>
      <c r="DY35" s="420"/>
      <c r="DZ35" s="420"/>
      <c r="EA35" s="420"/>
    </row>
    <row r="36" spans="1:131">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420"/>
      <c r="CT36" s="420"/>
      <c r="CU36" s="420"/>
      <c r="CV36" s="420"/>
      <c r="CW36" s="420"/>
      <c r="CX36" s="420"/>
      <c r="CY36" s="420"/>
      <c r="CZ36" s="420"/>
      <c r="DA36" s="420"/>
      <c r="DB36" s="420"/>
      <c r="DC36" s="420"/>
      <c r="DD36" s="420"/>
      <c r="DE36" s="420"/>
      <c r="DF36" s="420"/>
      <c r="DG36" s="420"/>
      <c r="DH36" s="420"/>
      <c r="DI36" s="420"/>
      <c r="DJ36" s="420"/>
      <c r="DK36" s="420"/>
      <c r="DL36" s="420"/>
      <c r="DM36" s="420"/>
      <c r="DN36" s="420"/>
      <c r="DO36" s="420"/>
      <c r="DP36" s="420"/>
      <c r="DQ36" s="420"/>
      <c r="DR36" s="420"/>
      <c r="DS36" s="420"/>
      <c r="DT36" s="420"/>
      <c r="DU36" s="420"/>
      <c r="DV36" s="420"/>
      <c r="DW36" s="420"/>
      <c r="DX36" s="420"/>
      <c r="DY36" s="420"/>
      <c r="DZ36" s="420"/>
      <c r="EA36" s="420"/>
    </row>
    <row r="37" spans="1:131">
      <c r="A37" s="420"/>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420"/>
      <c r="CT37" s="420"/>
      <c r="CU37" s="420"/>
      <c r="CV37" s="420"/>
      <c r="CW37" s="420"/>
      <c r="CX37" s="420"/>
      <c r="CY37" s="420"/>
      <c r="CZ37" s="420"/>
      <c r="DA37" s="420"/>
      <c r="DB37" s="420"/>
      <c r="DC37" s="420"/>
      <c r="DD37" s="420"/>
      <c r="DE37" s="420"/>
      <c r="DF37" s="420"/>
      <c r="DG37" s="420"/>
      <c r="DH37" s="420"/>
      <c r="DI37" s="420"/>
      <c r="DJ37" s="420"/>
      <c r="DK37" s="420"/>
      <c r="DL37" s="420"/>
      <c r="DM37" s="420"/>
      <c r="DN37" s="420"/>
      <c r="DO37" s="420"/>
      <c r="DP37" s="420"/>
      <c r="DQ37" s="420"/>
      <c r="DR37" s="420"/>
      <c r="DS37" s="420"/>
      <c r="DT37" s="420"/>
      <c r="DU37" s="420"/>
      <c r="DV37" s="420"/>
      <c r="DW37" s="420"/>
      <c r="DX37" s="420"/>
      <c r="DY37" s="420"/>
      <c r="DZ37" s="420"/>
      <c r="EA37" s="420"/>
    </row>
    <row r="38" spans="1:131" ht="13.5" thickBot="1">
      <c r="A38" s="24" t="s">
        <v>212</v>
      </c>
      <c r="B38" s="25"/>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420"/>
      <c r="CY38" s="420"/>
      <c r="CZ38" s="420"/>
      <c r="DA38" s="420"/>
      <c r="DB38" s="420"/>
      <c r="DC38" s="420"/>
      <c r="DD38" s="420"/>
      <c r="DE38" s="420"/>
      <c r="DF38" s="420"/>
      <c r="DG38" s="420"/>
      <c r="DH38" s="420"/>
      <c r="DI38" s="420"/>
      <c r="DJ38" s="420"/>
      <c r="DK38" s="420"/>
      <c r="DL38" s="420"/>
      <c r="DM38" s="420"/>
      <c r="DN38" s="420"/>
      <c r="DO38" s="420"/>
      <c r="DP38" s="420"/>
      <c r="DQ38" s="420"/>
      <c r="DR38" s="420"/>
      <c r="DS38" s="420"/>
      <c r="DT38" s="420"/>
      <c r="DU38" s="420"/>
      <c r="DV38" s="420"/>
      <c r="DW38" s="420"/>
      <c r="DX38" s="420"/>
      <c r="DY38" s="420"/>
      <c r="DZ38" s="420"/>
      <c r="EA38" s="420"/>
    </row>
    <row r="39" spans="1:131" ht="26.25" thickBot="1">
      <c r="A39" s="107" t="s">
        <v>213</v>
      </c>
      <c r="B39" s="108"/>
      <c r="C39" s="109" t="s">
        <v>214</v>
      </c>
      <c r="D39" s="110"/>
      <c r="E39" s="110"/>
      <c r="F39" s="110"/>
      <c r="G39" s="110"/>
      <c r="H39" s="110"/>
      <c r="I39" s="110"/>
      <c r="J39" s="110"/>
      <c r="K39" s="111"/>
      <c r="L39" s="109" t="s">
        <v>215</v>
      </c>
      <c r="M39" s="110"/>
      <c r="N39" s="110"/>
      <c r="O39" s="110"/>
      <c r="P39" s="110"/>
      <c r="Q39" s="111"/>
      <c r="R39" s="109" t="s">
        <v>216</v>
      </c>
      <c r="S39" s="110"/>
      <c r="T39" s="110"/>
      <c r="U39" s="111"/>
      <c r="V39" s="109" t="s">
        <v>217</v>
      </c>
      <c r="W39" s="110"/>
      <c r="X39" s="110"/>
      <c r="Y39" s="111"/>
      <c r="Z39" s="109" t="s">
        <v>218</v>
      </c>
      <c r="AA39" s="110"/>
      <c r="AB39" s="110"/>
      <c r="AC39" s="111"/>
      <c r="AD39" s="109" t="s">
        <v>219</v>
      </c>
      <c r="AE39" s="110"/>
      <c r="AF39" s="110"/>
      <c r="AG39" s="111"/>
      <c r="AH39" s="109" t="s">
        <v>220</v>
      </c>
      <c r="AI39" s="110"/>
      <c r="AJ39" s="110"/>
      <c r="AK39" s="110"/>
      <c r="AL39" s="111"/>
      <c r="AM39" s="109" t="s">
        <v>221</v>
      </c>
      <c r="AN39" s="110"/>
      <c r="AO39" s="110"/>
      <c r="AP39" s="110"/>
      <c r="AQ39" s="110"/>
      <c r="AR39" s="110"/>
      <c r="AS39" s="111"/>
      <c r="AT39" s="109" t="s">
        <v>222</v>
      </c>
      <c r="AU39" s="110"/>
      <c r="AV39" s="110"/>
      <c r="AW39" s="110"/>
      <c r="AX39" s="110"/>
      <c r="AY39" s="110"/>
      <c r="AZ39" s="111"/>
      <c r="BA39" s="109" t="s">
        <v>223</v>
      </c>
      <c r="BB39" s="110"/>
      <c r="BC39" s="110"/>
      <c r="BD39" s="110"/>
      <c r="BE39" s="110"/>
      <c r="BF39" s="111"/>
      <c r="BG39" s="109" t="s">
        <v>224</v>
      </c>
      <c r="BH39" s="111"/>
      <c r="BI39" s="109" t="s">
        <v>225</v>
      </c>
      <c r="BJ39" s="110"/>
      <c r="BK39" s="110"/>
      <c r="BL39" s="110"/>
      <c r="BM39" s="111"/>
      <c r="BN39" s="109" t="s">
        <v>226</v>
      </c>
      <c r="BO39" s="110"/>
      <c r="BP39" s="110"/>
      <c r="BQ39" s="110"/>
      <c r="BR39" s="110"/>
      <c r="BS39" s="110"/>
      <c r="BT39" s="110"/>
      <c r="BU39" s="110"/>
      <c r="BV39" s="110"/>
      <c r="BW39" s="110"/>
      <c r="BX39" s="110"/>
      <c r="BY39" s="110"/>
      <c r="BZ39" s="110"/>
      <c r="CA39" s="110"/>
      <c r="CB39" s="110"/>
      <c r="CC39" s="111"/>
      <c r="CD39" s="109" t="s">
        <v>227</v>
      </c>
      <c r="CE39" s="111"/>
      <c r="CF39" s="109" t="s">
        <v>228</v>
      </c>
      <c r="CG39" s="110"/>
      <c r="CH39" s="110"/>
      <c r="CI39" s="110"/>
      <c r="CJ39" s="110"/>
      <c r="CK39" s="111"/>
      <c r="CL39" s="112"/>
      <c r="CM39" s="109" t="s">
        <v>5</v>
      </c>
      <c r="CN39" s="110"/>
      <c r="CO39" s="110"/>
      <c r="CP39" s="111"/>
      <c r="CQ39" s="109" t="s">
        <v>229</v>
      </c>
      <c r="CR39" s="110"/>
      <c r="CS39" s="110"/>
      <c r="CT39" s="110"/>
      <c r="CU39" s="111"/>
      <c r="CV39" s="109" t="s">
        <v>230</v>
      </c>
      <c r="CW39" s="111"/>
      <c r="CX39" s="420"/>
      <c r="CY39" s="420"/>
      <c r="CZ39" s="420"/>
      <c r="DA39" s="420"/>
      <c r="DB39" s="420"/>
      <c r="DC39" s="420"/>
      <c r="DD39" s="420"/>
      <c r="DE39" s="420"/>
      <c r="DF39" s="420"/>
      <c r="DG39" s="420"/>
      <c r="DH39" s="420"/>
      <c r="DI39" s="420"/>
      <c r="DJ39" s="420"/>
      <c r="DK39" s="420"/>
      <c r="DL39" s="420"/>
      <c r="DM39" s="420"/>
      <c r="DN39" s="420"/>
      <c r="DO39" s="420"/>
      <c r="DP39" s="420"/>
      <c r="DQ39" s="420"/>
      <c r="DR39" s="420"/>
      <c r="DS39" s="420"/>
      <c r="DT39" s="420"/>
      <c r="DU39" s="420"/>
      <c r="DV39" s="420"/>
      <c r="DW39" s="420"/>
      <c r="DX39" s="420"/>
      <c r="DY39" s="420"/>
      <c r="DZ39" s="420"/>
      <c r="EA39" s="420"/>
    </row>
    <row r="40" spans="1:131" ht="204">
      <c r="A40" s="27" t="s">
        <v>231</v>
      </c>
      <c r="B40" s="28" t="s">
        <v>232</v>
      </c>
      <c r="C40" s="29" t="s">
        <v>119</v>
      </c>
      <c r="D40" s="29" t="s">
        <v>233</v>
      </c>
      <c r="E40" s="29" t="s">
        <v>234</v>
      </c>
      <c r="F40" s="29" t="s">
        <v>235</v>
      </c>
      <c r="G40" s="29" t="s">
        <v>236</v>
      </c>
      <c r="H40" s="29" t="s">
        <v>237</v>
      </c>
      <c r="I40" s="29" t="s">
        <v>238</v>
      </c>
      <c r="J40" s="29" t="s">
        <v>239</v>
      </c>
      <c r="K40" s="29" t="s">
        <v>240</v>
      </c>
      <c r="L40" s="29" t="s">
        <v>241</v>
      </c>
      <c r="M40" s="29" t="s">
        <v>242</v>
      </c>
      <c r="N40" s="29" t="s">
        <v>243</v>
      </c>
      <c r="O40" s="29" t="s">
        <v>244</v>
      </c>
      <c r="P40" s="29" t="s">
        <v>245</v>
      </c>
      <c r="Q40" s="29" t="s">
        <v>246</v>
      </c>
      <c r="R40" s="29" t="s">
        <v>247</v>
      </c>
      <c r="S40" s="29" t="s">
        <v>248</v>
      </c>
      <c r="T40" s="29" t="s">
        <v>249</v>
      </c>
      <c r="U40" s="29" t="s">
        <v>153</v>
      </c>
      <c r="V40" s="29" t="s">
        <v>247</v>
      </c>
      <c r="W40" s="29" t="s">
        <v>248</v>
      </c>
      <c r="X40" s="29" t="s">
        <v>249</v>
      </c>
      <c r="Y40" s="29" t="s">
        <v>153</v>
      </c>
      <c r="Z40" s="29" t="s">
        <v>247</v>
      </c>
      <c r="AA40" s="29" t="s">
        <v>248</v>
      </c>
      <c r="AB40" s="29" t="s">
        <v>249</v>
      </c>
      <c r="AC40" s="29" t="s">
        <v>153</v>
      </c>
      <c r="AD40" s="29" t="s">
        <v>247</v>
      </c>
      <c r="AE40" s="29" t="s">
        <v>248</v>
      </c>
      <c r="AF40" s="29" t="s">
        <v>249</v>
      </c>
      <c r="AG40" s="29" t="s">
        <v>153</v>
      </c>
      <c r="AH40" s="29" t="s">
        <v>247</v>
      </c>
      <c r="AI40" s="29" t="s">
        <v>248</v>
      </c>
      <c r="AJ40" s="29" t="s">
        <v>249</v>
      </c>
      <c r="AK40" s="29" t="s">
        <v>153</v>
      </c>
      <c r="AL40" s="29" t="s">
        <v>131</v>
      </c>
      <c r="AM40" s="29" t="s">
        <v>250</v>
      </c>
      <c r="AN40" s="29" t="s">
        <v>251</v>
      </c>
      <c r="AO40" s="29" t="s">
        <v>252</v>
      </c>
      <c r="AP40" s="29" t="s">
        <v>253</v>
      </c>
      <c r="AQ40" s="29" t="s">
        <v>254</v>
      </c>
      <c r="AR40" s="29" t="s">
        <v>255</v>
      </c>
      <c r="AS40" s="29" t="s">
        <v>256</v>
      </c>
      <c r="AT40" s="29" t="s">
        <v>257</v>
      </c>
      <c r="AU40" s="29" t="s">
        <v>258</v>
      </c>
      <c r="AV40" s="29" t="s">
        <v>259</v>
      </c>
      <c r="AW40" s="29" t="s">
        <v>260</v>
      </c>
      <c r="AX40" s="29" t="s">
        <v>261</v>
      </c>
      <c r="AY40" s="29" t="s">
        <v>262</v>
      </c>
      <c r="AZ40" s="29" t="s">
        <v>263</v>
      </c>
      <c r="BA40" s="29" t="s">
        <v>264</v>
      </c>
      <c r="BB40" s="29" t="s">
        <v>265</v>
      </c>
      <c r="BC40" s="29" t="s">
        <v>266</v>
      </c>
      <c r="BD40" s="29" t="s">
        <v>267</v>
      </c>
      <c r="BE40" s="29" t="s">
        <v>268</v>
      </c>
      <c r="BF40" s="29" t="s">
        <v>269</v>
      </c>
      <c r="BG40" s="29" t="s">
        <v>270</v>
      </c>
      <c r="BH40" s="29" t="s">
        <v>271</v>
      </c>
      <c r="BI40" s="29" t="s">
        <v>272</v>
      </c>
      <c r="BJ40" s="29" t="s">
        <v>273</v>
      </c>
      <c r="BK40" s="29" t="s">
        <v>274</v>
      </c>
      <c r="BL40" s="29" t="s">
        <v>275</v>
      </c>
      <c r="BM40" s="29" t="s">
        <v>276</v>
      </c>
      <c r="BN40" s="29" t="s">
        <v>277</v>
      </c>
      <c r="BO40" s="29" t="s">
        <v>278</v>
      </c>
      <c r="BP40" s="29" t="s">
        <v>279</v>
      </c>
      <c r="BQ40" s="29" t="s">
        <v>280</v>
      </c>
      <c r="BR40" s="29" t="s">
        <v>281</v>
      </c>
      <c r="BS40" s="29" t="s">
        <v>282</v>
      </c>
      <c r="BT40" s="29" t="s">
        <v>283</v>
      </c>
      <c r="BU40" s="29" t="s">
        <v>284</v>
      </c>
      <c r="BV40" s="29" t="s">
        <v>285</v>
      </c>
      <c r="BW40" s="29" t="s">
        <v>286</v>
      </c>
      <c r="BX40" s="29" t="s">
        <v>287</v>
      </c>
      <c r="BY40" s="29" t="s">
        <v>288</v>
      </c>
      <c r="BZ40" s="29" t="s">
        <v>289</v>
      </c>
      <c r="CA40" s="29" t="s">
        <v>290</v>
      </c>
      <c r="CB40" s="29" t="s">
        <v>291</v>
      </c>
      <c r="CC40" s="29" t="s">
        <v>292</v>
      </c>
      <c r="CD40" s="29" t="s">
        <v>293</v>
      </c>
      <c r="CE40" s="29" t="s">
        <v>21</v>
      </c>
      <c r="CF40" s="29" t="s">
        <v>294</v>
      </c>
      <c r="CG40" s="29" t="s">
        <v>295</v>
      </c>
      <c r="CH40" s="29" t="s">
        <v>296</v>
      </c>
      <c r="CI40" s="29" t="s">
        <v>297</v>
      </c>
      <c r="CJ40" s="29" t="s">
        <v>298</v>
      </c>
      <c r="CK40" s="29" t="s">
        <v>299</v>
      </c>
      <c r="CL40" s="29"/>
      <c r="CM40" s="29" t="s">
        <v>300</v>
      </c>
      <c r="CN40" s="29" t="s">
        <v>301</v>
      </c>
      <c r="CO40" s="29" t="s">
        <v>302</v>
      </c>
      <c r="CP40" s="29" t="s">
        <v>303</v>
      </c>
      <c r="CQ40" s="29" t="s">
        <v>304</v>
      </c>
      <c r="CR40" s="29" t="s">
        <v>305</v>
      </c>
      <c r="CS40" s="29" t="s">
        <v>306</v>
      </c>
      <c r="CT40" s="29" t="s">
        <v>307</v>
      </c>
      <c r="CU40" s="29" t="s">
        <v>308</v>
      </c>
      <c r="CV40" s="29" t="s">
        <v>309</v>
      </c>
      <c r="CW40" s="113" t="s">
        <v>310</v>
      </c>
      <c r="CX40" s="420"/>
      <c r="CY40" s="420"/>
      <c r="CZ40" s="420"/>
      <c r="DA40" s="420"/>
      <c r="DB40" s="420"/>
      <c r="DC40" s="420"/>
      <c r="DD40" s="420"/>
      <c r="DE40" s="420"/>
      <c r="DF40" s="420"/>
      <c r="DG40" s="420"/>
      <c r="DH40" s="420"/>
      <c r="DI40" s="420"/>
      <c r="DJ40" s="420"/>
      <c r="DK40" s="420"/>
      <c r="DL40" s="420"/>
      <c r="DM40" s="420"/>
      <c r="DN40" s="420"/>
      <c r="DO40" s="420"/>
      <c r="DP40" s="420"/>
      <c r="DQ40" s="420"/>
      <c r="DR40" s="420"/>
      <c r="DS40" s="420"/>
      <c r="DT40" s="420"/>
      <c r="DU40" s="420"/>
      <c r="DV40" s="420"/>
      <c r="DW40" s="420"/>
      <c r="DX40" s="420"/>
      <c r="DY40" s="420"/>
      <c r="DZ40" s="420"/>
      <c r="EA40" s="420"/>
    </row>
    <row r="41" spans="1:131">
      <c r="A41" s="420" t="s">
        <v>601</v>
      </c>
      <c r="B41" s="420" t="s">
        <v>601</v>
      </c>
      <c r="C41" s="26">
        <v>20</v>
      </c>
      <c r="D41" s="26">
        <v>245.66477952671087</v>
      </c>
      <c r="E41" s="26">
        <v>0</v>
      </c>
      <c r="F41" s="26">
        <v>-44.991428571428571</v>
      </c>
      <c r="G41" s="26">
        <v>0</v>
      </c>
      <c r="H41" s="26">
        <v>2.5283548637839961</v>
      </c>
      <c r="I41" s="26" t="s">
        <v>597</v>
      </c>
      <c r="J41" s="26"/>
      <c r="K41" s="26"/>
      <c r="L41" s="26">
        <v>263.37666569558996</v>
      </c>
      <c r="M41" s="26">
        <v>6.1475998839183005E-2</v>
      </c>
      <c r="N41" s="26">
        <v>6.1032292648078669E-2</v>
      </c>
      <c r="O41" s="26">
        <v>0</v>
      </c>
      <c r="P41" s="26">
        <v>0</v>
      </c>
      <c r="Q41" s="26">
        <v>0</v>
      </c>
      <c r="R41" s="26">
        <v>-8.9718918752391605</v>
      </c>
      <c r="S41" s="26">
        <v>-2.2213583042814338</v>
      </c>
      <c r="T41" s="26">
        <v>-18.53223359544106</v>
      </c>
      <c r="U41" s="26">
        <v>-18.403272884846732</v>
      </c>
      <c r="V41" s="26" t="s">
        <v>311</v>
      </c>
      <c r="W41" s="26" t="s">
        <v>311</v>
      </c>
      <c r="X41" s="26" t="s">
        <v>311</v>
      </c>
      <c r="Y41" s="26" t="s">
        <v>311</v>
      </c>
      <c r="Z41" s="26">
        <v>0</v>
      </c>
      <c r="AA41" s="26">
        <v>0</v>
      </c>
      <c r="AB41" s="26">
        <v>0</v>
      </c>
      <c r="AC41" s="26">
        <v>0</v>
      </c>
      <c r="AD41" s="26">
        <v>0</v>
      </c>
      <c r="AE41" s="26">
        <v>0</v>
      </c>
      <c r="AF41" s="26">
        <v>0</v>
      </c>
      <c r="AG41" s="26">
        <v>2.5283548637839961</v>
      </c>
      <c r="AH41" s="26">
        <v>-8.9718918752391605</v>
      </c>
      <c r="AI41" s="26">
        <v>-2.2213583042814338</v>
      </c>
      <c r="AJ41" s="26">
        <v>-18.53223359544106</v>
      </c>
      <c r="AK41" s="26">
        <v>-15.874918021062737</v>
      </c>
      <c r="AL41" s="26">
        <v>-45.600401796024386</v>
      </c>
      <c r="AM41" s="26">
        <v>126.23910593445092</v>
      </c>
      <c r="AN41" s="26">
        <v>21.72245105179114</v>
      </c>
      <c r="AO41" s="26">
        <v>14.796155698624206</v>
      </c>
      <c r="AP41" s="26">
        <v>0</v>
      </c>
      <c r="AQ41" s="26">
        <v>162.75771268486625</v>
      </c>
      <c r="AR41" s="26">
        <v>-8.9718918752391605</v>
      </c>
      <c r="AS41" s="30">
        <v>9999</v>
      </c>
      <c r="AT41" s="26">
        <v>126.23910593445092</v>
      </c>
      <c r="AU41" s="26">
        <v>25.712912014737796</v>
      </c>
      <c r="AV41" s="26">
        <v>15.195201794918873</v>
      </c>
      <c r="AW41" s="26">
        <v>0</v>
      </c>
      <c r="AX41" s="26">
        <v>167.14721974410759</v>
      </c>
      <c r="AY41" s="26">
        <v>-2.2213583042814338</v>
      </c>
      <c r="AZ41" s="30">
        <v>9999</v>
      </c>
      <c r="BA41" s="26">
        <v>126.23910593445092</v>
      </c>
      <c r="BB41" s="26">
        <v>47.435363066528936</v>
      </c>
      <c r="BC41" s="26">
        <v>17.367446900097985</v>
      </c>
      <c r="BD41" s="26">
        <v>0</v>
      </c>
      <c r="BE41" s="26">
        <v>191.04191590107783</v>
      </c>
      <c r="BF41" s="26">
        <v>-11.193250179520595</v>
      </c>
      <c r="BG41" s="26">
        <v>-21.231657363664919</v>
      </c>
      <c r="BH41" s="30">
        <v>9999</v>
      </c>
      <c r="BI41" s="26">
        <v>-2.5065527585588061</v>
      </c>
      <c r="BJ41" s="26">
        <v>-0.62059951934002966</v>
      </c>
      <c r="BK41" s="26">
        <v>-5.1775056907571919</v>
      </c>
      <c r="BL41" s="26">
        <v>-4.4351091287007964</v>
      </c>
      <c r="BM41" s="26">
        <v>-12.739767097356824</v>
      </c>
      <c r="BN41" s="26">
        <v>126.23910593445092</v>
      </c>
      <c r="BO41" s="26">
        <v>0</v>
      </c>
      <c r="BP41" s="26">
        <v>47.435363066528936</v>
      </c>
      <c r="BQ41" s="26">
        <v>0</v>
      </c>
      <c r="BR41" s="26">
        <v>0</v>
      </c>
      <c r="BS41" s="26">
        <v>0</v>
      </c>
      <c r="BT41" s="26">
        <v>0</v>
      </c>
      <c r="BU41" s="26">
        <v>0</v>
      </c>
      <c r="BV41" s="26">
        <v>0</v>
      </c>
      <c r="BW41" s="26">
        <v>17.367446900097985</v>
      </c>
      <c r="BX41" s="26">
        <v>-48.128756659808388</v>
      </c>
      <c r="BY41" s="26"/>
      <c r="BZ41" s="26">
        <v>0</v>
      </c>
      <c r="CA41" s="26">
        <v>2.5283548637839961</v>
      </c>
      <c r="CB41" s="26">
        <v>191.0419159010778</v>
      </c>
      <c r="CC41" s="26">
        <v>-45.600401796024393</v>
      </c>
      <c r="CD41" s="30">
        <v>94.595373452814172</v>
      </c>
      <c r="CE41" s="26">
        <v>-30.844272183122897</v>
      </c>
      <c r="CF41" s="26">
        <v>2.502084953169061</v>
      </c>
      <c r="CG41" s="26">
        <v>0</v>
      </c>
      <c r="CH41" s="26">
        <v>2.502084953169061</v>
      </c>
      <c r="CI41" s="26">
        <v>0.12510391620540526</v>
      </c>
      <c r="CJ41" s="26">
        <v>0</v>
      </c>
      <c r="CK41" s="26">
        <v>0.12510391620540526</v>
      </c>
      <c r="CL41" s="26"/>
      <c r="CM41" s="26">
        <v>0</v>
      </c>
      <c r="CN41" s="26"/>
      <c r="CO41" s="26">
        <v>0</v>
      </c>
      <c r="CP41" s="26">
        <v>0</v>
      </c>
      <c r="CQ41" s="26">
        <v>0</v>
      </c>
      <c r="CR41" s="26">
        <v>0</v>
      </c>
      <c r="CS41" s="26">
        <v>0</v>
      </c>
      <c r="CT41" s="26">
        <v>0</v>
      </c>
      <c r="CU41" s="26">
        <v>-18.53223359544106</v>
      </c>
      <c r="CV41" s="26">
        <v>9999</v>
      </c>
      <c r="CW41" s="30">
        <v>9999</v>
      </c>
      <c r="CX41" s="420"/>
      <c r="CY41" s="420"/>
      <c r="CZ41" s="420"/>
      <c r="DA41" s="420"/>
      <c r="DB41" s="420"/>
      <c r="DC41" s="420"/>
      <c r="DD41" s="420"/>
      <c r="DE41" s="420"/>
      <c r="DF41" s="420"/>
      <c r="DG41" s="420"/>
      <c r="DH41" s="420"/>
      <c r="DI41" s="420"/>
      <c r="DJ41" s="420"/>
      <c r="DK41" s="420"/>
      <c r="DL41" s="420"/>
      <c r="DM41" s="420"/>
      <c r="DN41" s="420"/>
      <c r="DO41" s="420"/>
      <c r="DP41" s="420"/>
      <c r="DQ41" s="420"/>
      <c r="DR41" s="420"/>
      <c r="DS41" s="420"/>
      <c r="DT41" s="420"/>
      <c r="DU41" s="420"/>
      <c r="DV41" s="420"/>
      <c r="DW41" s="420"/>
      <c r="DX41" s="420"/>
      <c r="DY41" s="420"/>
      <c r="DZ41" s="420"/>
      <c r="EA41" s="420"/>
    </row>
    <row r="42" spans="1:131">
      <c r="A42" s="420" t="s">
        <v>600</v>
      </c>
      <c r="B42" s="420" t="s">
        <v>600</v>
      </c>
      <c r="C42" s="26">
        <v>20</v>
      </c>
      <c r="D42" s="26">
        <v>247.05287476480612</v>
      </c>
      <c r="E42" s="26">
        <v>0</v>
      </c>
      <c r="F42" s="26">
        <v>-43.603333333333332</v>
      </c>
      <c r="G42" s="26">
        <v>0</v>
      </c>
      <c r="H42" s="26">
        <v>2.2855658205729501</v>
      </c>
      <c r="I42" s="26" t="s">
        <v>597</v>
      </c>
      <c r="J42" s="26"/>
      <c r="K42" s="26"/>
      <c r="L42" s="26">
        <v>264.86483952409634</v>
      </c>
      <c r="M42" s="26">
        <v>6.1823360562789545E-2</v>
      </c>
      <c r="N42" s="26">
        <v>6.137714727053635E-2</v>
      </c>
      <c r="O42" s="26">
        <v>0</v>
      </c>
      <c r="P42" s="26">
        <v>0</v>
      </c>
      <c r="Q42" s="26">
        <v>0</v>
      </c>
      <c r="R42" s="26">
        <v>-8.6950871418897169</v>
      </c>
      <c r="S42" s="26">
        <v>-2.1528239860305458</v>
      </c>
      <c r="T42" s="26">
        <v>-17.960469016677795</v>
      </c>
      <c r="U42" s="26">
        <v>-17.835487058347205</v>
      </c>
      <c r="V42" s="26" t="s">
        <v>311</v>
      </c>
      <c r="W42" s="26" t="s">
        <v>311</v>
      </c>
      <c r="X42" s="26" t="s">
        <v>311</v>
      </c>
      <c r="Y42" s="26" t="s">
        <v>311</v>
      </c>
      <c r="Z42" s="26">
        <v>0</v>
      </c>
      <c r="AA42" s="26">
        <v>0</v>
      </c>
      <c r="AB42" s="26">
        <v>0</v>
      </c>
      <c r="AC42" s="26">
        <v>0</v>
      </c>
      <c r="AD42" s="26">
        <v>0</v>
      </c>
      <c r="AE42" s="26">
        <v>0</v>
      </c>
      <c r="AF42" s="26">
        <v>0</v>
      </c>
      <c r="AG42" s="26">
        <v>2.2855658205729501</v>
      </c>
      <c r="AH42" s="26">
        <v>-8.6950871418897169</v>
      </c>
      <c r="AI42" s="26">
        <v>-2.1528239860305458</v>
      </c>
      <c r="AJ42" s="26">
        <v>-17.960469016677795</v>
      </c>
      <c r="AK42" s="26">
        <v>-15.549921237774255</v>
      </c>
      <c r="AL42" s="26">
        <v>-44.358301382372311</v>
      </c>
      <c r="AM42" s="26">
        <v>126.95240273729978</v>
      </c>
      <c r="AN42" s="26">
        <v>21.845190790563787</v>
      </c>
      <c r="AO42" s="26">
        <v>14.879759352786357</v>
      </c>
      <c r="AP42" s="26">
        <v>0</v>
      </c>
      <c r="AQ42" s="26">
        <v>163.67735288064992</v>
      </c>
      <c r="AR42" s="26">
        <v>-8.6950871418897169</v>
      </c>
      <c r="AS42" s="30">
        <v>9999</v>
      </c>
      <c r="AT42" s="26">
        <v>126.95240273729978</v>
      </c>
      <c r="AU42" s="26">
        <v>25.858199307421671</v>
      </c>
      <c r="AV42" s="26">
        <v>15.281060204472146</v>
      </c>
      <c r="AW42" s="26">
        <v>0</v>
      </c>
      <c r="AX42" s="26">
        <v>168.0916622491936</v>
      </c>
      <c r="AY42" s="26">
        <v>-2.1528239860305458</v>
      </c>
      <c r="AZ42" s="30">
        <v>9999</v>
      </c>
      <c r="BA42" s="26">
        <v>126.95240273729978</v>
      </c>
      <c r="BB42" s="26">
        <v>47.703390097985462</v>
      </c>
      <c r="BC42" s="26">
        <v>17.465579283528523</v>
      </c>
      <c r="BD42" s="26">
        <v>0</v>
      </c>
      <c r="BE42" s="26">
        <v>192.12137211881375</v>
      </c>
      <c r="BF42" s="26">
        <v>-10.847911127920263</v>
      </c>
      <c r="BG42" s="26">
        <v>-21.1181489111828</v>
      </c>
      <c r="BH42" s="30">
        <v>9999</v>
      </c>
      <c r="BI42" s="26">
        <v>-2.4155706446721239</v>
      </c>
      <c r="BJ42" s="26">
        <v>-0.59807318074459548</v>
      </c>
      <c r="BK42" s="26">
        <v>-4.9895741138945278</v>
      </c>
      <c r="BL42" s="26">
        <v>-4.3199030275351236</v>
      </c>
      <c r="BM42" s="26">
        <v>-12.323120966846369</v>
      </c>
      <c r="BN42" s="26">
        <v>126.95240273729978</v>
      </c>
      <c r="BO42" s="26">
        <v>0</v>
      </c>
      <c r="BP42" s="26">
        <v>47.703390097985462</v>
      </c>
      <c r="BQ42" s="26">
        <v>0</v>
      </c>
      <c r="BR42" s="26">
        <v>0</v>
      </c>
      <c r="BS42" s="26">
        <v>0</v>
      </c>
      <c r="BT42" s="26">
        <v>0</v>
      </c>
      <c r="BU42" s="26">
        <v>0</v>
      </c>
      <c r="BV42" s="26">
        <v>0</v>
      </c>
      <c r="BW42" s="26">
        <v>17.465579283528523</v>
      </c>
      <c r="BX42" s="26">
        <v>-46.643867202945259</v>
      </c>
      <c r="BY42" s="26"/>
      <c r="BZ42" s="26">
        <v>0</v>
      </c>
      <c r="CA42" s="26">
        <v>2.2855658205729501</v>
      </c>
      <c r="CB42" s="26">
        <v>192.12137211881375</v>
      </c>
      <c r="CC42" s="26">
        <v>-44.358301382372311</v>
      </c>
      <c r="CD42" s="30">
        <v>104.46657767305291</v>
      </c>
      <c r="CE42" s="26">
        <v>-30.427626052612446</v>
      </c>
      <c r="CF42" s="26">
        <v>2.5162226419964759</v>
      </c>
      <c r="CG42" s="26">
        <v>0</v>
      </c>
      <c r="CH42" s="26">
        <v>2.5162226419964759</v>
      </c>
      <c r="CI42" s="26">
        <v>0.1258107987739458</v>
      </c>
      <c r="CJ42" s="26">
        <v>0</v>
      </c>
      <c r="CK42" s="26">
        <v>0.1258107987739458</v>
      </c>
      <c r="CL42" s="26"/>
      <c r="CM42" s="26">
        <v>0</v>
      </c>
      <c r="CN42" s="26"/>
      <c r="CO42" s="26">
        <v>0</v>
      </c>
      <c r="CP42" s="26">
        <v>0</v>
      </c>
      <c r="CQ42" s="26">
        <v>0</v>
      </c>
      <c r="CR42" s="26">
        <v>0</v>
      </c>
      <c r="CS42" s="26">
        <v>0</v>
      </c>
      <c r="CT42" s="26">
        <v>0</v>
      </c>
      <c r="CU42" s="26">
        <v>-17.960469016677795</v>
      </c>
      <c r="CV42" s="26">
        <v>9999</v>
      </c>
      <c r="CW42" s="30">
        <v>9999</v>
      </c>
      <c r="CX42" s="420"/>
      <c r="CY42" s="420"/>
      <c r="CZ42" s="420"/>
      <c r="DA42" s="420"/>
      <c r="DB42" s="420"/>
      <c r="DC42" s="420"/>
      <c r="DD42" s="420"/>
      <c r="DE42" s="420"/>
      <c r="DF42" s="420"/>
      <c r="DG42" s="420"/>
      <c r="DH42" s="420"/>
      <c r="DI42" s="420"/>
      <c r="DJ42" s="420"/>
      <c r="DK42" s="420"/>
      <c r="DL42" s="420"/>
      <c r="DM42" s="420"/>
      <c r="DN42" s="420"/>
      <c r="DO42" s="420"/>
      <c r="DP42" s="420"/>
      <c r="DQ42" s="420"/>
      <c r="DR42" s="420"/>
      <c r="DS42" s="420"/>
      <c r="DT42" s="420"/>
      <c r="DU42" s="420"/>
      <c r="DV42" s="420"/>
      <c r="DW42" s="420"/>
      <c r="DX42" s="420"/>
      <c r="DY42" s="420"/>
      <c r="DZ42" s="420"/>
      <c r="EA42" s="420"/>
    </row>
    <row r="43" spans="1:131">
      <c r="A43" s="420" t="s">
        <v>599</v>
      </c>
      <c r="B43" s="420" t="s">
        <v>599</v>
      </c>
      <c r="C43" s="26">
        <v>20</v>
      </c>
      <c r="D43" s="26">
        <v>248.63620809813943</v>
      </c>
      <c r="E43" s="26">
        <v>0</v>
      </c>
      <c r="F43" s="26">
        <v>-42.02</v>
      </c>
      <c r="G43" s="26">
        <v>0</v>
      </c>
      <c r="H43" s="26">
        <v>1.1720850361912565</v>
      </c>
      <c r="I43" s="26" t="s">
        <v>597</v>
      </c>
      <c r="J43" s="26"/>
      <c r="K43" s="26"/>
      <c r="L43" s="26">
        <v>266.56232768182667</v>
      </c>
      <c r="M43" s="26">
        <v>6.2219579338429934E-2</v>
      </c>
      <c r="N43" s="26">
        <v>6.1770506316735932E-2</v>
      </c>
      <c r="O43" s="26">
        <v>0</v>
      </c>
      <c r="P43" s="26">
        <v>0</v>
      </c>
      <c r="Q43" s="26">
        <v>0</v>
      </c>
      <c r="R43" s="26">
        <v>-8.3793493242612787</v>
      </c>
      <c r="S43" s="26">
        <v>-2.0746501924853651</v>
      </c>
      <c r="T43" s="26">
        <v>-17.308284720146801</v>
      </c>
      <c r="U43" s="26">
        <v>-17.187841132751693</v>
      </c>
      <c r="V43" s="26" t="s">
        <v>311</v>
      </c>
      <c r="W43" s="26" t="s">
        <v>311</v>
      </c>
      <c r="X43" s="26" t="s">
        <v>311</v>
      </c>
      <c r="Y43" s="26" t="s">
        <v>311</v>
      </c>
      <c r="Z43" s="26">
        <v>0</v>
      </c>
      <c r="AA43" s="26">
        <v>0</v>
      </c>
      <c r="AB43" s="26">
        <v>0</v>
      </c>
      <c r="AC43" s="26">
        <v>0</v>
      </c>
      <c r="AD43" s="26">
        <v>0</v>
      </c>
      <c r="AE43" s="26">
        <v>0</v>
      </c>
      <c r="AF43" s="26">
        <v>0</v>
      </c>
      <c r="AG43" s="26">
        <v>1.1720850361912565</v>
      </c>
      <c r="AH43" s="26">
        <v>-8.3793493242612787</v>
      </c>
      <c r="AI43" s="26">
        <v>-2.0746501924853651</v>
      </c>
      <c r="AJ43" s="26">
        <v>-17.308284720146801</v>
      </c>
      <c r="AK43" s="26">
        <v>-16.015756096560438</v>
      </c>
      <c r="AL43" s="26">
        <v>-43.77804033345388</v>
      </c>
      <c r="AM43" s="26">
        <v>127.76602602013801</v>
      </c>
      <c r="AN43" s="26">
        <v>21.985194094652655</v>
      </c>
      <c r="AO43" s="26">
        <v>14.975122011479067</v>
      </c>
      <c r="AP43" s="26">
        <v>0</v>
      </c>
      <c r="AQ43" s="26">
        <v>164.72634212626974</v>
      </c>
      <c r="AR43" s="26">
        <v>-8.3793493242612787</v>
      </c>
      <c r="AS43" s="30">
        <v>9999</v>
      </c>
      <c r="AT43" s="26">
        <v>127.76602602013801</v>
      </c>
      <c r="AU43" s="26">
        <v>26.023921519488201</v>
      </c>
      <c r="AV43" s="26">
        <v>15.378994753962623</v>
      </c>
      <c r="AW43" s="26">
        <v>0</v>
      </c>
      <c r="AX43" s="26">
        <v>169.16894229358883</v>
      </c>
      <c r="AY43" s="26">
        <v>-2.0746501924853651</v>
      </c>
      <c r="AZ43" s="30">
        <v>9999</v>
      </c>
      <c r="BA43" s="26">
        <v>127.76602602013801</v>
      </c>
      <c r="BB43" s="26">
        <v>48.009115614140853</v>
      </c>
      <c r="BC43" s="26">
        <v>17.577514163427889</v>
      </c>
      <c r="BD43" s="26">
        <v>0</v>
      </c>
      <c r="BE43" s="26">
        <v>193.35265579770675</v>
      </c>
      <c r="BF43" s="26">
        <v>-10.453999516746643</v>
      </c>
      <c r="BG43" s="26">
        <v>-20.990222617821164</v>
      </c>
      <c r="BH43" s="30">
        <v>9999</v>
      </c>
      <c r="BI43" s="26">
        <v>-2.3130319848876142</v>
      </c>
      <c r="BJ43" s="26">
        <v>-0.57268554716746456</v>
      </c>
      <c r="BK43" s="26">
        <v>-4.77777147269971</v>
      </c>
      <c r="BL43" s="26">
        <v>-4.420982427149136</v>
      </c>
      <c r="BM43" s="26">
        <v>-12.084471431903923</v>
      </c>
      <c r="BN43" s="26">
        <v>127.76602602013801</v>
      </c>
      <c r="BO43" s="26">
        <v>0</v>
      </c>
      <c r="BP43" s="26">
        <v>48.009115614140853</v>
      </c>
      <c r="BQ43" s="26">
        <v>0</v>
      </c>
      <c r="BR43" s="26">
        <v>0</v>
      </c>
      <c r="BS43" s="26">
        <v>0</v>
      </c>
      <c r="BT43" s="26">
        <v>0</v>
      </c>
      <c r="BU43" s="26">
        <v>0</v>
      </c>
      <c r="BV43" s="26">
        <v>0</v>
      </c>
      <c r="BW43" s="26">
        <v>17.577514163427889</v>
      </c>
      <c r="BX43" s="26">
        <v>-44.950125369645136</v>
      </c>
      <c r="BY43" s="26"/>
      <c r="BZ43" s="26">
        <v>0</v>
      </c>
      <c r="CA43" s="26">
        <v>1.1720850361912565</v>
      </c>
      <c r="CB43" s="26">
        <v>193.35265579770675</v>
      </c>
      <c r="CC43" s="26">
        <v>-43.77804033345388</v>
      </c>
      <c r="CD43" s="30">
        <v>203.31526622140623</v>
      </c>
      <c r="CE43" s="26">
        <v>-30.188976517670003</v>
      </c>
      <c r="CF43" s="26">
        <v>2.5323488222198556</v>
      </c>
      <c r="CG43" s="26">
        <v>0</v>
      </c>
      <c r="CH43" s="26">
        <v>2.5323488222198556</v>
      </c>
      <c r="CI43" s="26">
        <v>0.12661710564886769</v>
      </c>
      <c r="CJ43" s="26">
        <v>0</v>
      </c>
      <c r="CK43" s="26">
        <v>0.12661710564886769</v>
      </c>
      <c r="CL43" s="26"/>
      <c r="CM43" s="26">
        <v>0</v>
      </c>
      <c r="CN43" s="26"/>
      <c r="CO43" s="26">
        <v>0</v>
      </c>
      <c r="CP43" s="26">
        <v>0</v>
      </c>
      <c r="CQ43" s="26">
        <v>0</v>
      </c>
      <c r="CR43" s="26">
        <v>0</v>
      </c>
      <c r="CS43" s="26">
        <v>0</v>
      </c>
      <c r="CT43" s="26">
        <v>0</v>
      </c>
      <c r="CU43" s="26">
        <v>-17.308284720146801</v>
      </c>
      <c r="CV43" s="26">
        <v>9999</v>
      </c>
      <c r="CW43" s="30">
        <v>9999</v>
      </c>
      <c r="CX43" s="420"/>
      <c r="CY43" s="420"/>
      <c r="CZ43" s="420"/>
      <c r="DA43" s="420"/>
      <c r="DB43" s="420"/>
      <c r="DC43" s="420"/>
      <c r="DD43" s="420"/>
      <c r="DE43" s="420"/>
      <c r="DF43" s="420"/>
      <c r="DG43" s="420"/>
      <c r="DH43" s="420"/>
      <c r="DI43" s="420"/>
      <c r="DJ43" s="420"/>
      <c r="DK43" s="420"/>
      <c r="DL43" s="420"/>
      <c r="DM43" s="420"/>
      <c r="DN43" s="420"/>
      <c r="DO43" s="420"/>
      <c r="DP43" s="420"/>
      <c r="DQ43" s="420"/>
      <c r="DR43" s="420"/>
      <c r="DS43" s="420"/>
      <c r="DT43" s="420"/>
      <c r="DU43" s="420"/>
      <c r="DV43" s="420"/>
      <c r="DW43" s="420"/>
      <c r="DX43" s="420"/>
      <c r="DY43" s="420"/>
      <c r="DZ43" s="420"/>
      <c r="EA43" s="420"/>
    </row>
    <row r="44" spans="1:131">
      <c r="A44" s="420" t="s">
        <v>602</v>
      </c>
      <c r="B44" s="420" t="s">
        <v>602</v>
      </c>
      <c r="C44" s="26">
        <v>20</v>
      </c>
      <c r="D44" s="26">
        <v>245.66477952671087</v>
      </c>
      <c r="E44" s="26">
        <v>0</v>
      </c>
      <c r="F44" s="26">
        <v>-44.991428571428571</v>
      </c>
      <c r="G44" s="26">
        <v>0</v>
      </c>
      <c r="H44" s="26">
        <v>2.5283548637839961</v>
      </c>
      <c r="I44" s="26" t="s">
        <v>597</v>
      </c>
      <c r="J44" s="26"/>
      <c r="K44" s="26"/>
      <c r="L44" s="26">
        <v>263.37666569558996</v>
      </c>
      <c r="M44" s="26">
        <v>6.1475998839183005E-2</v>
      </c>
      <c r="N44" s="26">
        <v>6.1032292648078669E-2</v>
      </c>
      <c r="O44" s="26">
        <v>0</v>
      </c>
      <c r="P44" s="26">
        <v>0</v>
      </c>
      <c r="Q44" s="26">
        <v>0</v>
      </c>
      <c r="R44" s="26">
        <v>-8.9718918752391605</v>
      </c>
      <c r="S44" s="26">
        <v>-2.2213583042814338</v>
      </c>
      <c r="T44" s="26">
        <v>-18.53223359544106</v>
      </c>
      <c r="U44" s="26">
        <v>-18.403272884846732</v>
      </c>
      <c r="V44" s="26" t="s">
        <v>311</v>
      </c>
      <c r="W44" s="26" t="s">
        <v>311</v>
      </c>
      <c r="X44" s="26" t="s">
        <v>311</v>
      </c>
      <c r="Y44" s="26" t="s">
        <v>311</v>
      </c>
      <c r="Z44" s="26">
        <v>0</v>
      </c>
      <c r="AA44" s="26">
        <v>0</v>
      </c>
      <c r="AB44" s="26">
        <v>0</v>
      </c>
      <c r="AC44" s="26">
        <v>0</v>
      </c>
      <c r="AD44" s="26">
        <v>0</v>
      </c>
      <c r="AE44" s="26">
        <v>0</v>
      </c>
      <c r="AF44" s="26">
        <v>0</v>
      </c>
      <c r="AG44" s="26">
        <v>2.5283548637839961</v>
      </c>
      <c r="AH44" s="26">
        <v>-8.9718918752391605</v>
      </c>
      <c r="AI44" s="26">
        <v>-2.2213583042814338</v>
      </c>
      <c r="AJ44" s="26">
        <v>-18.53223359544106</v>
      </c>
      <c r="AK44" s="26">
        <v>-15.874918021062737</v>
      </c>
      <c r="AL44" s="26">
        <v>-45.600401796024386</v>
      </c>
      <c r="AM44" s="26">
        <v>126.23910593445092</v>
      </c>
      <c r="AN44" s="26">
        <v>21.72245105179114</v>
      </c>
      <c r="AO44" s="26">
        <v>14.796155698624206</v>
      </c>
      <c r="AP44" s="26">
        <v>0</v>
      </c>
      <c r="AQ44" s="26">
        <v>162.75771268486625</v>
      </c>
      <c r="AR44" s="26">
        <v>-8.9718918752391605</v>
      </c>
      <c r="AS44" s="30">
        <v>9999</v>
      </c>
      <c r="AT44" s="26">
        <v>126.23910593445092</v>
      </c>
      <c r="AU44" s="26">
        <v>25.712912014737796</v>
      </c>
      <c r="AV44" s="26">
        <v>15.195201794918873</v>
      </c>
      <c r="AW44" s="26">
        <v>0</v>
      </c>
      <c r="AX44" s="26">
        <v>167.14721974410759</v>
      </c>
      <c r="AY44" s="26">
        <v>-2.2213583042814338</v>
      </c>
      <c r="AZ44" s="30">
        <v>9999</v>
      </c>
      <c r="BA44" s="26">
        <v>126.23910593445092</v>
      </c>
      <c r="BB44" s="26">
        <v>47.435363066528936</v>
      </c>
      <c r="BC44" s="26">
        <v>17.367446900097985</v>
      </c>
      <c r="BD44" s="26">
        <v>0</v>
      </c>
      <c r="BE44" s="26">
        <v>191.04191590107783</v>
      </c>
      <c r="BF44" s="26">
        <v>-11.193250179520595</v>
      </c>
      <c r="BG44" s="26">
        <v>-21.231657363664919</v>
      </c>
      <c r="BH44" s="30">
        <v>9999</v>
      </c>
      <c r="BI44" s="26">
        <v>-2.5065527585588061</v>
      </c>
      <c r="BJ44" s="26">
        <v>-0.62059951934002966</v>
      </c>
      <c r="BK44" s="26">
        <v>-5.1775056907571919</v>
      </c>
      <c r="BL44" s="26">
        <v>-4.4351091287007964</v>
      </c>
      <c r="BM44" s="26">
        <v>-12.739767097356824</v>
      </c>
      <c r="BN44" s="26">
        <v>126.23910593445092</v>
      </c>
      <c r="BO44" s="26">
        <v>0</v>
      </c>
      <c r="BP44" s="26">
        <v>47.435363066528936</v>
      </c>
      <c r="BQ44" s="26">
        <v>0</v>
      </c>
      <c r="BR44" s="26">
        <v>0</v>
      </c>
      <c r="BS44" s="26">
        <v>0</v>
      </c>
      <c r="BT44" s="26">
        <v>0</v>
      </c>
      <c r="BU44" s="26">
        <v>0</v>
      </c>
      <c r="BV44" s="26">
        <v>0</v>
      </c>
      <c r="BW44" s="26">
        <v>17.367446900097985</v>
      </c>
      <c r="BX44" s="26">
        <v>-48.128756659808388</v>
      </c>
      <c r="BY44" s="26"/>
      <c r="BZ44" s="26">
        <v>0</v>
      </c>
      <c r="CA44" s="26">
        <v>2.5283548637839961</v>
      </c>
      <c r="CB44" s="26">
        <v>191.0419159010778</v>
      </c>
      <c r="CC44" s="26">
        <v>-45.600401796024393</v>
      </c>
      <c r="CD44" s="30">
        <v>94.595373452814172</v>
      </c>
      <c r="CE44" s="26">
        <v>-30.844272183122897</v>
      </c>
      <c r="CF44" s="26">
        <v>2.502084953169061</v>
      </c>
      <c r="CG44" s="26">
        <v>0</v>
      </c>
      <c r="CH44" s="26">
        <v>2.502084953169061</v>
      </c>
      <c r="CI44" s="26">
        <v>0.12510391620540526</v>
      </c>
      <c r="CJ44" s="26">
        <v>0</v>
      </c>
      <c r="CK44" s="26">
        <v>0.12510391620540526</v>
      </c>
      <c r="CL44" s="26"/>
      <c r="CM44" s="26">
        <v>0</v>
      </c>
      <c r="CN44" s="26"/>
      <c r="CO44" s="26">
        <v>0</v>
      </c>
      <c r="CP44" s="26">
        <v>0</v>
      </c>
      <c r="CQ44" s="26">
        <v>0</v>
      </c>
      <c r="CR44" s="26">
        <v>0</v>
      </c>
      <c r="CS44" s="26">
        <v>0</v>
      </c>
      <c r="CT44" s="26">
        <v>0</v>
      </c>
      <c r="CU44" s="26">
        <v>-18.53223359544106</v>
      </c>
      <c r="CV44" s="26">
        <v>9999</v>
      </c>
      <c r="CW44" s="30">
        <v>9999</v>
      </c>
      <c r="CX44" s="420"/>
      <c r="CY44" s="420"/>
      <c r="CZ44" s="420"/>
      <c r="DA44" s="420"/>
      <c r="DB44" s="420"/>
      <c r="DC44" s="420"/>
      <c r="DD44" s="420"/>
      <c r="DE44" s="420"/>
      <c r="DF44" s="420"/>
      <c r="DG44" s="420"/>
      <c r="DH44" s="420"/>
      <c r="DI44" s="420"/>
      <c r="DJ44" s="420"/>
      <c r="DK44" s="420"/>
      <c r="DL44" s="420"/>
      <c r="DM44" s="420"/>
      <c r="DN44" s="420"/>
      <c r="DO44" s="420"/>
      <c r="DP44" s="420"/>
      <c r="DQ44" s="420"/>
      <c r="DR44" s="420"/>
      <c r="DS44" s="420"/>
      <c r="DT44" s="420"/>
      <c r="DU44" s="420"/>
      <c r="DV44" s="420"/>
      <c r="DW44" s="420"/>
      <c r="DX44" s="420"/>
      <c r="DY44" s="420"/>
      <c r="DZ44" s="420"/>
      <c r="EA44" s="420"/>
    </row>
    <row r="45" spans="1:131">
      <c r="A45" s="420" t="s">
        <v>603</v>
      </c>
      <c r="B45" s="420" t="s">
        <v>603</v>
      </c>
      <c r="C45" s="26">
        <v>20</v>
      </c>
      <c r="D45" s="26">
        <v>247.19620809813944</v>
      </c>
      <c r="E45" s="26">
        <v>0</v>
      </c>
      <c r="F45" s="26">
        <v>-43.46</v>
      </c>
      <c r="G45" s="26">
        <v>0</v>
      </c>
      <c r="H45" s="26">
        <v>2.8130040868590154</v>
      </c>
      <c r="I45" s="26" t="s">
        <v>597</v>
      </c>
      <c r="J45" s="26"/>
      <c r="K45" s="26"/>
      <c r="L45" s="26">
        <v>265.0185068731119</v>
      </c>
      <c r="M45" s="26">
        <v>6.1859228788794879E-2</v>
      </c>
      <c r="N45" s="26">
        <v>6.1412756615771259E-2</v>
      </c>
      <c r="O45" s="26">
        <v>0</v>
      </c>
      <c r="P45" s="26">
        <v>0</v>
      </c>
      <c r="Q45" s="26">
        <v>0</v>
      </c>
      <c r="R45" s="26">
        <v>-8.6665045605044053</v>
      </c>
      <c r="S45" s="26">
        <v>-2.1457472005096139</v>
      </c>
      <c r="T45" s="26">
        <v>-17.901429175097096</v>
      </c>
      <c r="U45" s="26">
        <v>-17.77685805876698</v>
      </c>
      <c r="V45" s="26" t="s">
        <v>311</v>
      </c>
      <c r="W45" s="26" t="s">
        <v>311</v>
      </c>
      <c r="X45" s="26" t="s">
        <v>311</v>
      </c>
      <c r="Y45" s="26" t="s">
        <v>311</v>
      </c>
      <c r="Z45" s="26">
        <v>0</v>
      </c>
      <c r="AA45" s="26">
        <v>0</v>
      </c>
      <c r="AB45" s="26">
        <v>0</v>
      </c>
      <c r="AC45" s="26">
        <v>0</v>
      </c>
      <c r="AD45" s="26">
        <v>0</v>
      </c>
      <c r="AE45" s="26">
        <v>0</v>
      </c>
      <c r="AF45" s="26">
        <v>0</v>
      </c>
      <c r="AG45" s="26">
        <v>2.8130040868590154</v>
      </c>
      <c r="AH45" s="26">
        <v>-8.6665045605044053</v>
      </c>
      <c r="AI45" s="26">
        <v>-2.1457472005096139</v>
      </c>
      <c r="AJ45" s="26">
        <v>-17.901429175097096</v>
      </c>
      <c r="AK45" s="26">
        <v>-14.963853971907964</v>
      </c>
      <c r="AL45" s="26">
        <v>-43.677534908019084</v>
      </c>
      <c r="AM45" s="26">
        <v>127.02605705553577</v>
      </c>
      <c r="AN45" s="26">
        <v>21.857864773881303</v>
      </c>
      <c r="AO45" s="26">
        <v>14.888392182941708</v>
      </c>
      <c r="AP45" s="26">
        <v>0</v>
      </c>
      <c r="AQ45" s="26">
        <v>163.77231401235881</v>
      </c>
      <c r="AR45" s="26">
        <v>-8.6665045605044053</v>
      </c>
      <c r="AS45" s="30">
        <v>9999</v>
      </c>
      <c r="AT45" s="26">
        <v>127.02605705553577</v>
      </c>
      <c r="AU45" s="26">
        <v>25.873201528724547</v>
      </c>
      <c r="AV45" s="26">
        <v>15.289925858426033</v>
      </c>
      <c r="AW45" s="26">
        <v>0</v>
      </c>
      <c r="AX45" s="26">
        <v>168.18918444268635</v>
      </c>
      <c r="AY45" s="26">
        <v>-2.1457472005096139</v>
      </c>
      <c r="AZ45" s="30">
        <v>9999</v>
      </c>
      <c r="BA45" s="26">
        <v>127.02605705553577</v>
      </c>
      <c r="BB45" s="26">
        <v>47.731066302605853</v>
      </c>
      <c r="BC45" s="26">
        <v>17.475712335814162</v>
      </c>
      <c r="BD45" s="26">
        <v>0</v>
      </c>
      <c r="BE45" s="26">
        <v>192.23283569395576</v>
      </c>
      <c r="BF45" s="26">
        <v>-10.81225176101402</v>
      </c>
      <c r="BG45" s="26">
        <v>-21.106500753752126</v>
      </c>
      <c r="BH45" s="30">
        <v>9999</v>
      </c>
      <c r="BI45" s="26">
        <v>-2.4062341242390324</v>
      </c>
      <c r="BJ45" s="26">
        <v>-0.59576154374700985</v>
      </c>
      <c r="BK45" s="26">
        <v>-4.9702887078686064</v>
      </c>
      <c r="BL45" s="26">
        <v>-4.1546780257205658</v>
      </c>
      <c r="BM45" s="26">
        <v>-12.126962401575216</v>
      </c>
      <c r="BN45" s="26">
        <v>127.02605705553577</v>
      </c>
      <c r="BO45" s="26">
        <v>0</v>
      </c>
      <c r="BP45" s="26">
        <v>47.731066302605853</v>
      </c>
      <c r="BQ45" s="26">
        <v>0</v>
      </c>
      <c r="BR45" s="26">
        <v>0</v>
      </c>
      <c r="BS45" s="26">
        <v>0</v>
      </c>
      <c r="BT45" s="26">
        <v>0</v>
      </c>
      <c r="BU45" s="26">
        <v>0</v>
      </c>
      <c r="BV45" s="26">
        <v>0</v>
      </c>
      <c r="BW45" s="26">
        <v>17.475712335814162</v>
      </c>
      <c r="BX45" s="26">
        <v>-46.490538994878094</v>
      </c>
      <c r="BY45" s="26"/>
      <c r="BZ45" s="26">
        <v>0</v>
      </c>
      <c r="CA45" s="26">
        <v>2.8130040868590154</v>
      </c>
      <c r="CB45" s="26">
        <v>192.23283569395579</v>
      </c>
      <c r="CC45" s="26">
        <v>-43.677534908019076</v>
      </c>
      <c r="CD45" s="30">
        <v>84.864211823947628</v>
      </c>
      <c r="CE45" s="26">
        <v>-30.231467487341309</v>
      </c>
      <c r="CF45" s="26">
        <v>2.5176824856798552</v>
      </c>
      <c r="CG45" s="26">
        <v>0</v>
      </c>
      <c r="CH45" s="26">
        <v>2.5176824856798552</v>
      </c>
      <c r="CI45" s="26">
        <v>0.12588379076472819</v>
      </c>
      <c r="CJ45" s="26">
        <v>0</v>
      </c>
      <c r="CK45" s="26">
        <v>0.12588379076472819</v>
      </c>
      <c r="CL45" s="26"/>
      <c r="CM45" s="26">
        <v>0</v>
      </c>
      <c r="CN45" s="26"/>
      <c r="CO45" s="26">
        <v>0</v>
      </c>
      <c r="CP45" s="26">
        <v>0</v>
      </c>
      <c r="CQ45" s="26">
        <v>0</v>
      </c>
      <c r="CR45" s="26">
        <v>0</v>
      </c>
      <c r="CS45" s="26">
        <v>0</v>
      </c>
      <c r="CT45" s="26">
        <v>0</v>
      </c>
      <c r="CU45" s="26">
        <v>-17.901429175097096</v>
      </c>
      <c r="CV45" s="26">
        <v>9999</v>
      </c>
      <c r="CW45" s="30">
        <v>9999</v>
      </c>
      <c r="CX45" s="420"/>
      <c r="CY45" s="420"/>
      <c r="CZ45" s="420"/>
      <c r="DA45" s="420"/>
      <c r="DB45" s="420"/>
      <c r="DC45" s="420"/>
      <c r="DD45" s="420"/>
      <c r="DE45" s="420"/>
      <c r="DF45" s="420"/>
      <c r="DG45" s="420"/>
      <c r="DH45" s="420"/>
      <c r="DI45" s="420"/>
      <c r="DJ45" s="420"/>
      <c r="DK45" s="420"/>
      <c r="DL45" s="420"/>
      <c r="DM45" s="420"/>
      <c r="DN45" s="420"/>
      <c r="DO45" s="420"/>
      <c r="DP45" s="420"/>
      <c r="DQ45" s="420"/>
      <c r="DR45" s="420"/>
      <c r="DS45" s="420"/>
      <c r="DT45" s="420"/>
      <c r="DU45" s="420"/>
      <c r="DV45" s="420"/>
      <c r="DW45" s="420"/>
      <c r="DX45" s="420"/>
      <c r="DY45" s="420"/>
      <c r="DZ45" s="420"/>
      <c r="EA45" s="420"/>
    </row>
    <row r="46" spans="1:131">
      <c r="A46" s="420"/>
      <c r="B46" s="420"/>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420"/>
      <c r="CY46" s="420"/>
      <c r="CZ46" s="420"/>
      <c r="DA46" s="420"/>
      <c r="DB46" s="420"/>
      <c r="DC46" s="420"/>
      <c r="DD46" s="420"/>
      <c r="DE46" s="420"/>
      <c r="DF46" s="420"/>
      <c r="DG46" s="420"/>
      <c r="DH46" s="420"/>
      <c r="DI46" s="420"/>
      <c r="DJ46" s="420"/>
      <c r="DK46" s="420"/>
      <c r="DL46" s="420"/>
      <c r="DM46" s="420"/>
      <c r="DN46" s="420"/>
      <c r="DO46" s="420"/>
      <c r="DP46" s="420"/>
      <c r="DQ46" s="420"/>
      <c r="DR46" s="420"/>
      <c r="DS46" s="420"/>
      <c r="DT46" s="420"/>
      <c r="DU46" s="420"/>
      <c r="DV46" s="420"/>
      <c r="DW46" s="420"/>
      <c r="DX46" s="420"/>
      <c r="DY46" s="420"/>
      <c r="DZ46" s="420"/>
      <c r="EA46" s="420"/>
    </row>
    <row r="47" spans="1:131">
      <c r="A47" s="420"/>
      <c r="B47" s="420"/>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420"/>
      <c r="CY47" s="420"/>
      <c r="CZ47" s="420"/>
      <c r="DA47" s="420"/>
      <c r="DB47" s="420"/>
      <c r="DC47" s="420"/>
      <c r="DD47" s="420"/>
      <c r="DE47" s="420"/>
      <c r="DF47" s="420"/>
      <c r="DG47" s="420"/>
      <c r="DH47" s="420"/>
      <c r="DI47" s="420"/>
      <c r="DJ47" s="420"/>
      <c r="DK47" s="420"/>
      <c r="DL47" s="420"/>
      <c r="DM47" s="420"/>
      <c r="DN47" s="420"/>
      <c r="DO47" s="420"/>
      <c r="DP47" s="420"/>
      <c r="DQ47" s="420"/>
      <c r="DR47" s="420"/>
      <c r="DS47" s="420"/>
      <c r="DT47" s="420"/>
      <c r="DU47" s="420"/>
      <c r="DV47" s="420"/>
      <c r="DW47" s="420"/>
      <c r="DX47" s="420"/>
      <c r="DY47" s="420"/>
      <c r="DZ47" s="420"/>
      <c r="EA47" s="420"/>
    </row>
    <row r="48" spans="1:131" ht="13.5" thickBot="1">
      <c r="A48" s="24" t="s">
        <v>312</v>
      </c>
      <c r="B48" s="25"/>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420"/>
      <c r="CY48" s="420"/>
      <c r="CZ48" s="420"/>
      <c r="DA48" s="420"/>
      <c r="DB48" s="420"/>
      <c r="DC48" s="420"/>
      <c r="DD48" s="420"/>
      <c r="DE48" s="420"/>
      <c r="DF48" s="420"/>
      <c r="DG48" s="420"/>
      <c r="DH48" s="420"/>
      <c r="DI48" s="420"/>
      <c r="DJ48" s="420"/>
      <c r="DK48" s="420"/>
      <c r="DL48" s="420"/>
      <c r="DM48" s="420"/>
      <c r="DN48" s="420"/>
      <c r="DO48" s="420"/>
      <c r="DP48" s="420"/>
      <c r="DQ48" s="420"/>
      <c r="DR48" s="420"/>
      <c r="DS48" s="420"/>
      <c r="DT48" s="420"/>
      <c r="DU48" s="420"/>
      <c r="DV48" s="420"/>
      <c r="DW48" s="420"/>
      <c r="DX48" s="420"/>
      <c r="DY48" s="420"/>
      <c r="DZ48" s="420"/>
      <c r="EA48" s="420"/>
    </row>
    <row r="49" spans="1:131" ht="26.25" thickBot="1">
      <c r="A49" s="107" t="s">
        <v>213</v>
      </c>
      <c r="B49" s="108"/>
      <c r="C49" s="109" t="s">
        <v>214</v>
      </c>
      <c r="D49" s="110"/>
      <c r="E49" s="110"/>
      <c r="F49" s="110"/>
      <c r="G49" s="110"/>
      <c r="H49" s="110"/>
      <c r="I49" s="110"/>
      <c r="J49" s="110"/>
      <c r="K49" s="111"/>
      <c r="L49" s="109" t="s">
        <v>215</v>
      </c>
      <c r="M49" s="110"/>
      <c r="N49" s="110"/>
      <c r="O49" s="110"/>
      <c r="P49" s="110"/>
      <c r="Q49" s="111"/>
      <c r="R49" s="109" t="s">
        <v>216</v>
      </c>
      <c r="S49" s="110"/>
      <c r="T49" s="110"/>
      <c r="U49" s="111"/>
      <c r="V49" s="109" t="s">
        <v>217</v>
      </c>
      <c r="W49" s="110"/>
      <c r="X49" s="110"/>
      <c r="Y49" s="111"/>
      <c r="Z49" s="109" t="s">
        <v>218</v>
      </c>
      <c r="AA49" s="110"/>
      <c r="AB49" s="110"/>
      <c r="AC49" s="111"/>
      <c r="AD49" s="109" t="s">
        <v>219</v>
      </c>
      <c r="AE49" s="110"/>
      <c r="AF49" s="110"/>
      <c r="AG49" s="111"/>
      <c r="AH49" s="109" t="s">
        <v>220</v>
      </c>
      <c r="AI49" s="110"/>
      <c r="AJ49" s="110"/>
      <c r="AK49" s="110"/>
      <c r="AL49" s="111"/>
      <c r="AM49" s="109" t="s">
        <v>221</v>
      </c>
      <c r="AN49" s="110"/>
      <c r="AO49" s="110"/>
      <c r="AP49" s="110"/>
      <c r="AQ49" s="110"/>
      <c r="AR49" s="110"/>
      <c r="AS49" s="111"/>
      <c r="AT49" s="109" t="s">
        <v>222</v>
      </c>
      <c r="AU49" s="110"/>
      <c r="AV49" s="110"/>
      <c r="AW49" s="110"/>
      <c r="AX49" s="110"/>
      <c r="AY49" s="110"/>
      <c r="AZ49" s="111"/>
      <c r="BA49" s="109" t="s">
        <v>223</v>
      </c>
      <c r="BB49" s="110"/>
      <c r="BC49" s="110"/>
      <c r="BD49" s="110"/>
      <c r="BE49" s="110"/>
      <c r="BF49" s="111"/>
      <c r="BG49" s="109" t="s">
        <v>224</v>
      </c>
      <c r="BH49" s="111"/>
      <c r="BI49" s="109" t="s">
        <v>225</v>
      </c>
      <c r="BJ49" s="110"/>
      <c r="BK49" s="110"/>
      <c r="BL49" s="110"/>
      <c r="BM49" s="111"/>
      <c r="BN49" s="109" t="s">
        <v>226</v>
      </c>
      <c r="BO49" s="110"/>
      <c r="BP49" s="110"/>
      <c r="BQ49" s="110"/>
      <c r="BR49" s="110"/>
      <c r="BS49" s="110"/>
      <c r="BT49" s="110"/>
      <c r="BU49" s="110"/>
      <c r="BV49" s="110"/>
      <c r="BW49" s="110"/>
      <c r="BX49" s="110"/>
      <c r="BY49" s="110"/>
      <c r="BZ49" s="110"/>
      <c r="CA49" s="110"/>
      <c r="CB49" s="110"/>
      <c r="CC49" s="111"/>
      <c r="CD49" s="109" t="s">
        <v>227</v>
      </c>
      <c r="CE49" s="111"/>
      <c r="CF49" s="109" t="s">
        <v>228</v>
      </c>
      <c r="CG49" s="110"/>
      <c r="CH49" s="110"/>
      <c r="CI49" s="110"/>
      <c r="CJ49" s="110"/>
      <c r="CK49" s="111"/>
      <c r="CL49" s="112"/>
      <c r="CM49" s="109" t="s">
        <v>5</v>
      </c>
      <c r="CN49" s="110"/>
      <c r="CO49" s="110"/>
      <c r="CP49" s="111"/>
      <c r="CQ49" s="109" t="s">
        <v>229</v>
      </c>
      <c r="CR49" s="110"/>
      <c r="CS49" s="110"/>
      <c r="CT49" s="110"/>
      <c r="CU49" s="111"/>
      <c r="CV49" s="109" t="s">
        <v>230</v>
      </c>
      <c r="CW49" s="111"/>
      <c r="CX49" s="420"/>
      <c r="CY49" s="420"/>
      <c r="CZ49" s="420"/>
      <c r="DA49" s="420"/>
      <c r="DB49" s="420"/>
      <c r="DC49" s="420"/>
      <c r="DD49" s="420"/>
      <c r="DE49" s="420"/>
      <c r="DF49" s="420"/>
      <c r="DG49" s="420"/>
      <c r="DH49" s="420"/>
      <c r="DI49" s="420"/>
      <c r="DJ49" s="420"/>
      <c r="DK49" s="420"/>
      <c r="DL49" s="420"/>
      <c r="DM49" s="420"/>
      <c r="DN49" s="420"/>
      <c r="DO49" s="420"/>
      <c r="DP49" s="420"/>
      <c r="DQ49" s="420"/>
      <c r="DR49" s="420"/>
      <c r="DS49" s="420"/>
      <c r="DT49" s="420"/>
      <c r="DU49" s="420"/>
      <c r="DV49" s="420"/>
      <c r="DW49" s="420"/>
      <c r="DX49" s="420"/>
      <c r="DY49" s="420"/>
      <c r="DZ49" s="420"/>
      <c r="EA49" s="420"/>
    </row>
    <row r="50" spans="1:131" ht="204">
      <c r="A50" s="27" t="s">
        <v>231</v>
      </c>
      <c r="B50" s="28" t="s">
        <v>232</v>
      </c>
      <c r="C50" s="29" t="s">
        <v>119</v>
      </c>
      <c r="D50" s="29" t="s">
        <v>233</v>
      </c>
      <c r="E50" s="29" t="s">
        <v>234</v>
      </c>
      <c r="F50" s="29" t="s">
        <v>235</v>
      </c>
      <c r="G50" s="29" t="s">
        <v>236</v>
      </c>
      <c r="H50" s="29" t="s">
        <v>237</v>
      </c>
      <c r="I50" s="29" t="s">
        <v>238</v>
      </c>
      <c r="J50" s="29" t="s">
        <v>239</v>
      </c>
      <c r="K50" s="29" t="s">
        <v>240</v>
      </c>
      <c r="L50" s="29" t="s">
        <v>241</v>
      </c>
      <c r="M50" s="29" t="s">
        <v>242</v>
      </c>
      <c r="N50" s="29" t="s">
        <v>243</v>
      </c>
      <c r="O50" s="29" t="s">
        <v>244</v>
      </c>
      <c r="P50" s="29" t="s">
        <v>245</v>
      </c>
      <c r="Q50" s="29" t="s">
        <v>246</v>
      </c>
      <c r="R50" s="29" t="s">
        <v>247</v>
      </c>
      <c r="S50" s="29" t="s">
        <v>248</v>
      </c>
      <c r="T50" s="29" t="s">
        <v>249</v>
      </c>
      <c r="U50" s="29" t="s">
        <v>153</v>
      </c>
      <c r="V50" s="29" t="s">
        <v>247</v>
      </c>
      <c r="W50" s="29" t="s">
        <v>248</v>
      </c>
      <c r="X50" s="29" t="s">
        <v>249</v>
      </c>
      <c r="Y50" s="29" t="s">
        <v>153</v>
      </c>
      <c r="Z50" s="29" t="s">
        <v>247</v>
      </c>
      <c r="AA50" s="29" t="s">
        <v>248</v>
      </c>
      <c r="AB50" s="29" t="s">
        <v>249</v>
      </c>
      <c r="AC50" s="29" t="s">
        <v>153</v>
      </c>
      <c r="AD50" s="29" t="s">
        <v>247</v>
      </c>
      <c r="AE50" s="29" t="s">
        <v>248</v>
      </c>
      <c r="AF50" s="29" t="s">
        <v>249</v>
      </c>
      <c r="AG50" s="29" t="s">
        <v>153</v>
      </c>
      <c r="AH50" s="29" t="s">
        <v>247</v>
      </c>
      <c r="AI50" s="29" t="s">
        <v>248</v>
      </c>
      <c r="AJ50" s="29" t="s">
        <v>249</v>
      </c>
      <c r="AK50" s="29" t="s">
        <v>153</v>
      </c>
      <c r="AL50" s="29" t="s">
        <v>131</v>
      </c>
      <c r="AM50" s="29" t="s">
        <v>250</v>
      </c>
      <c r="AN50" s="29" t="s">
        <v>251</v>
      </c>
      <c r="AO50" s="29" t="s">
        <v>252</v>
      </c>
      <c r="AP50" s="29" t="s">
        <v>253</v>
      </c>
      <c r="AQ50" s="29" t="s">
        <v>254</v>
      </c>
      <c r="AR50" s="29" t="s">
        <v>255</v>
      </c>
      <c r="AS50" s="29" t="s">
        <v>256</v>
      </c>
      <c r="AT50" s="29" t="s">
        <v>257</v>
      </c>
      <c r="AU50" s="29" t="s">
        <v>258</v>
      </c>
      <c r="AV50" s="29" t="s">
        <v>259</v>
      </c>
      <c r="AW50" s="29" t="s">
        <v>260</v>
      </c>
      <c r="AX50" s="29" t="s">
        <v>261</v>
      </c>
      <c r="AY50" s="29" t="s">
        <v>262</v>
      </c>
      <c r="AZ50" s="29" t="s">
        <v>263</v>
      </c>
      <c r="BA50" s="29" t="s">
        <v>264</v>
      </c>
      <c r="BB50" s="29" t="s">
        <v>265</v>
      </c>
      <c r="BC50" s="29" t="s">
        <v>266</v>
      </c>
      <c r="BD50" s="29" t="s">
        <v>267</v>
      </c>
      <c r="BE50" s="29" t="s">
        <v>268</v>
      </c>
      <c r="BF50" s="29" t="s">
        <v>269</v>
      </c>
      <c r="BG50" s="29" t="s">
        <v>270</v>
      </c>
      <c r="BH50" s="29" t="s">
        <v>271</v>
      </c>
      <c r="BI50" s="29" t="s">
        <v>272</v>
      </c>
      <c r="BJ50" s="29" t="s">
        <v>273</v>
      </c>
      <c r="BK50" s="29" t="s">
        <v>274</v>
      </c>
      <c r="BL50" s="29" t="s">
        <v>275</v>
      </c>
      <c r="BM50" s="29" t="s">
        <v>276</v>
      </c>
      <c r="BN50" s="29" t="s">
        <v>277</v>
      </c>
      <c r="BO50" s="29" t="s">
        <v>278</v>
      </c>
      <c r="BP50" s="29" t="s">
        <v>279</v>
      </c>
      <c r="BQ50" s="29" t="s">
        <v>280</v>
      </c>
      <c r="BR50" s="29" t="s">
        <v>281</v>
      </c>
      <c r="BS50" s="29" t="s">
        <v>282</v>
      </c>
      <c r="BT50" s="29" t="s">
        <v>283</v>
      </c>
      <c r="BU50" s="29" t="s">
        <v>284</v>
      </c>
      <c r="BV50" s="29" t="s">
        <v>285</v>
      </c>
      <c r="BW50" s="29" t="s">
        <v>286</v>
      </c>
      <c r="BX50" s="29" t="s">
        <v>287</v>
      </c>
      <c r="BY50" s="29" t="s">
        <v>288</v>
      </c>
      <c r="BZ50" s="29" t="s">
        <v>289</v>
      </c>
      <c r="CA50" s="29" t="s">
        <v>290</v>
      </c>
      <c r="CB50" s="29" t="s">
        <v>291</v>
      </c>
      <c r="CC50" s="29" t="s">
        <v>292</v>
      </c>
      <c r="CD50" s="29" t="s">
        <v>293</v>
      </c>
      <c r="CE50" s="29" t="s">
        <v>21</v>
      </c>
      <c r="CF50" s="29" t="s">
        <v>294</v>
      </c>
      <c r="CG50" s="29" t="s">
        <v>295</v>
      </c>
      <c r="CH50" s="29" t="s">
        <v>296</v>
      </c>
      <c r="CI50" s="29" t="s">
        <v>297</v>
      </c>
      <c r="CJ50" s="29" t="s">
        <v>298</v>
      </c>
      <c r="CK50" s="29" t="s">
        <v>299</v>
      </c>
      <c r="CL50" s="29"/>
      <c r="CM50" s="29" t="s">
        <v>300</v>
      </c>
      <c r="CN50" s="29" t="s">
        <v>301</v>
      </c>
      <c r="CO50" s="29" t="s">
        <v>302</v>
      </c>
      <c r="CP50" s="29" t="s">
        <v>303</v>
      </c>
      <c r="CQ50" s="29" t="s">
        <v>304</v>
      </c>
      <c r="CR50" s="29" t="s">
        <v>305</v>
      </c>
      <c r="CS50" s="29" t="s">
        <v>306</v>
      </c>
      <c r="CT50" s="29" t="s">
        <v>307</v>
      </c>
      <c r="CU50" s="29" t="s">
        <v>308</v>
      </c>
      <c r="CV50" s="29" t="s">
        <v>309</v>
      </c>
      <c r="CW50" s="29" t="s">
        <v>310</v>
      </c>
      <c r="CX50" s="420"/>
      <c r="CY50" s="420"/>
      <c r="CZ50" s="420"/>
      <c r="DA50" s="420"/>
      <c r="DB50" s="420"/>
      <c r="DC50" s="420"/>
      <c r="DD50" s="420"/>
      <c r="DE50" s="420"/>
      <c r="DF50" s="420"/>
      <c r="DG50" s="420"/>
      <c r="DH50" s="420"/>
      <c r="DI50" s="420"/>
      <c r="DJ50" s="420"/>
      <c r="DK50" s="420"/>
      <c r="DL50" s="420"/>
      <c r="DM50" s="420"/>
      <c r="DN50" s="420"/>
      <c r="DO50" s="420"/>
      <c r="DP50" s="420"/>
      <c r="DQ50" s="420"/>
      <c r="DR50" s="420"/>
      <c r="DS50" s="420"/>
      <c r="DT50" s="420"/>
      <c r="DU50" s="420"/>
      <c r="DV50" s="420"/>
      <c r="DW50" s="420"/>
      <c r="DX50" s="420"/>
      <c r="DY50" s="420"/>
      <c r="DZ50" s="420"/>
      <c r="EA50" s="420"/>
    </row>
    <row r="51" spans="1:131">
      <c r="A51" s="420" t="s">
        <v>599</v>
      </c>
      <c r="B51" s="420"/>
      <c r="C51" s="26">
        <v>20</v>
      </c>
      <c r="D51" s="26">
        <v>248.63620809813943</v>
      </c>
      <c r="E51" s="26">
        <v>0</v>
      </c>
      <c r="F51" s="26">
        <v>-42.02</v>
      </c>
      <c r="G51" s="26">
        <v>0</v>
      </c>
      <c r="H51" s="26">
        <v>1.1720850361912565</v>
      </c>
      <c r="I51" s="26"/>
      <c r="J51" s="26"/>
      <c r="K51" s="26"/>
      <c r="L51" s="26">
        <v>266.56232768182667</v>
      </c>
      <c r="M51" s="26">
        <v>6.2219579338429934E-2</v>
      </c>
      <c r="N51" s="26">
        <v>6.1770506316735932E-2</v>
      </c>
      <c r="O51" s="26">
        <v>0</v>
      </c>
      <c r="P51" s="26">
        <v>0</v>
      </c>
      <c r="Q51" s="26">
        <v>0</v>
      </c>
      <c r="R51" s="26">
        <v>-8.3793493242612787</v>
      </c>
      <c r="S51" s="26">
        <v>-2.0746501924853651</v>
      </c>
      <c r="T51" s="26">
        <v>-17.308284720146801</v>
      </c>
      <c r="U51" s="26">
        <v>-17.187841132751693</v>
      </c>
      <c r="V51" s="26">
        <v>-2.5212000000000003</v>
      </c>
      <c r="W51" s="26">
        <v>-0.63029999999999997</v>
      </c>
      <c r="X51" s="26">
        <v>-5.2525000000000004</v>
      </c>
      <c r="Y51" s="26">
        <v>0</v>
      </c>
      <c r="Z51" s="26">
        <v>0</v>
      </c>
      <c r="AA51" s="26">
        <v>0</v>
      </c>
      <c r="AB51" s="26">
        <v>0</v>
      </c>
      <c r="AC51" s="26">
        <v>0</v>
      </c>
      <c r="AD51" s="26">
        <v>0</v>
      </c>
      <c r="AE51" s="26">
        <v>0</v>
      </c>
      <c r="AF51" s="26">
        <v>0</v>
      </c>
      <c r="AG51" s="26">
        <v>1.1720850361912565</v>
      </c>
      <c r="AH51" s="26">
        <v>-10.900549324261279</v>
      </c>
      <c r="AI51" s="26">
        <v>-2.7049501924853652</v>
      </c>
      <c r="AJ51" s="26">
        <v>-22.560784720146803</v>
      </c>
      <c r="AK51" s="26">
        <v>-16.015756096560438</v>
      </c>
      <c r="AL51" s="26">
        <v>-52.182040333453884</v>
      </c>
      <c r="AM51" s="26">
        <v>127.76602602013801</v>
      </c>
      <c r="AN51" s="26">
        <v>21.985194094652655</v>
      </c>
      <c r="AO51" s="26">
        <v>14.975122011479067</v>
      </c>
      <c r="AP51" s="26">
        <v>0</v>
      </c>
      <c r="AQ51" s="26">
        <v>164.72634212626974</v>
      </c>
      <c r="AR51" s="26">
        <v>-10.900549324261279</v>
      </c>
      <c r="AS51" s="30">
        <v>9999</v>
      </c>
      <c r="AT51" s="26">
        <v>127.76602602013801</v>
      </c>
      <c r="AU51" s="26">
        <v>26.023921519488201</v>
      </c>
      <c r="AV51" s="26">
        <v>15.378994753962623</v>
      </c>
      <c r="AW51" s="26">
        <v>0</v>
      </c>
      <c r="AX51" s="26">
        <v>169.16894229358883</v>
      </c>
      <c r="AY51" s="26">
        <v>-2.7049501924853652</v>
      </c>
      <c r="AZ51" s="30">
        <v>9999</v>
      </c>
      <c r="BA51" s="26">
        <v>127.76602602013801</v>
      </c>
      <c r="BB51" s="26">
        <v>48.009115614140853</v>
      </c>
      <c r="BC51" s="26">
        <v>17.577514163427889</v>
      </c>
      <c r="BD51" s="26">
        <v>0</v>
      </c>
      <c r="BE51" s="26">
        <v>193.35265579770675</v>
      </c>
      <c r="BF51" s="26">
        <v>-13.605499516746644</v>
      </c>
      <c r="BG51" s="26">
        <v>-21.860161322878785</v>
      </c>
      <c r="BH51" s="30">
        <v>9999</v>
      </c>
      <c r="BI51" s="26">
        <v>-3.0089829489337121</v>
      </c>
      <c r="BJ51" s="26">
        <v>-0.74667328817898904</v>
      </c>
      <c r="BK51" s="26">
        <v>-6.2276693144624131</v>
      </c>
      <c r="BL51" s="26">
        <v>-4.420982427149136</v>
      </c>
      <c r="BM51" s="26">
        <v>-14.404307978724249</v>
      </c>
      <c r="BN51" s="26">
        <v>127.76602602013801</v>
      </c>
      <c r="BO51" s="26">
        <v>0</v>
      </c>
      <c r="BP51" s="26">
        <v>48.009115614140853</v>
      </c>
      <c r="BQ51" s="26">
        <v>0</v>
      </c>
      <c r="BR51" s="26">
        <v>0</v>
      </c>
      <c r="BS51" s="26">
        <v>0</v>
      </c>
      <c r="BT51" s="26">
        <v>0</v>
      </c>
      <c r="BU51" s="26">
        <v>0</v>
      </c>
      <c r="BV51" s="26">
        <v>0</v>
      </c>
      <c r="BW51" s="26">
        <v>17.577514163427889</v>
      </c>
      <c r="BX51" s="26">
        <v>-44.950125369645136</v>
      </c>
      <c r="BY51" s="26">
        <v>-8.4040000000000017</v>
      </c>
      <c r="BZ51" s="26">
        <v>0</v>
      </c>
      <c r="CA51" s="26">
        <v>1.1720850361912565</v>
      </c>
      <c r="CB51" s="26">
        <v>193.35265579770675</v>
      </c>
      <c r="CC51" s="26">
        <v>-52.182040333453884</v>
      </c>
      <c r="CD51" s="30">
        <v>210.48539444632513</v>
      </c>
      <c r="CE51" s="26">
        <v>-32.508813064490326</v>
      </c>
      <c r="CF51" s="26">
        <v>2.5323488222198556</v>
      </c>
      <c r="CG51" s="26">
        <v>0</v>
      </c>
      <c r="CH51" s="26">
        <v>2.5323488222198556</v>
      </c>
      <c r="CI51" s="26">
        <v>0.12661710564886769</v>
      </c>
      <c r="CJ51" s="26">
        <v>0</v>
      </c>
      <c r="CK51" s="26">
        <v>0.12661710564886769</v>
      </c>
      <c r="CL51" s="26"/>
      <c r="CM51" s="26">
        <v>0</v>
      </c>
      <c r="CN51" s="26"/>
      <c r="CO51" s="26">
        <v>0</v>
      </c>
      <c r="CP51" s="26">
        <v>0</v>
      </c>
      <c r="CQ51" s="26">
        <v>0</v>
      </c>
      <c r="CR51" s="26">
        <v>0</v>
      </c>
      <c r="CS51" s="26">
        <v>0</v>
      </c>
      <c r="CT51" s="26">
        <v>0</v>
      </c>
      <c r="CU51" s="26">
        <v>-22.560784720146803</v>
      </c>
      <c r="CV51" s="26">
        <v>9999</v>
      </c>
      <c r="CW51" s="30">
        <v>9999</v>
      </c>
      <c r="CX51" s="420"/>
      <c r="CY51" s="420"/>
      <c r="CZ51" s="420"/>
      <c r="DA51" s="420"/>
      <c r="DB51" s="420"/>
      <c r="DC51" s="420"/>
      <c r="DD51" s="420"/>
      <c r="DE51" s="420"/>
      <c r="DF51" s="420"/>
      <c r="DG51" s="420"/>
      <c r="DH51" s="420"/>
      <c r="DI51" s="420"/>
      <c r="DJ51" s="420"/>
      <c r="DK51" s="420"/>
      <c r="DL51" s="420"/>
      <c r="DM51" s="420"/>
      <c r="DN51" s="420"/>
      <c r="DO51" s="420"/>
      <c r="DP51" s="420"/>
      <c r="DQ51" s="420"/>
      <c r="DR51" s="420"/>
      <c r="DS51" s="420"/>
      <c r="DT51" s="420"/>
      <c r="DU51" s="420"/>
      <c r="DV51" s="420"/>
      <c r="DW51" s="420"/>
      <c r="DX51" s="420"/>
      <c r="DY51" s="420"/>
      <c r="DZ51" s="420"/>
      <c r="EA51" s="420"/>
    </row>
    <row r="52" spans="1:131">
      <c r="A52" s="420" t="s">
        <v>600</v>
      </c>
      <c r="B52" s="420"/>
      <c r="C52" s="26">
        <v>20</v>
      </c>
      <c r="D52" s="26">
        <v>247.05287476480612</v>
      </c>
      <c r="E52" s="26">
        <v>0</v>
      </c>
      <c r="F52" s="26">
        <v>-43.603333333333332</v>
      </c>
      <c r="G52" s="26">
        <v>0</v>
      </c>
      <c r="H52" s="26">
        <v>2.2855658205729501</v>
      </c>
      <c r="I52" s="26"/>
      <c r="J52" s="26"/>
      <c r="K52" s="26"/>
      <c r="L52" s="26">
        <v>264.86483952409634</v>
      </c>
      <c r="M52" s="26">
        <v>6.1823360562789545E-2</v>
      </c>
      <c r="N52" s="26">
        <v>6.137714727053635E-2</v>
      </c>
      <c r="O52" s="26">
        <v>0</v>
      </c>
      <c r="P52" s="26">
        <v>0</v>
      </c>
      <c r="Q52" s="26">
        <v>0</v>
      </c>
      <c r="R52" s="26">
        <v>-8.6950871418897169</v>
      </c>
      <c r="S52" s="26">
        <v>-2.1528239860305458</v>
      </c>
      <c r="T52" s="26">
        <v>-17.960469016677795</v>
      </c>
      <c r="U52" s="26">
        <v>-17.835487058347205</v>
      </c>
      <c r="V52" s="26">
        <v>-2.6162000000000001</v>
      </c>
      <c r="W52" s="26">
        <v>-0.65404999999999991</v>
      </c>
      <c r="X52" s="26">
        <v>-5.4504166666666665</v>
      </c>
      <c r="Y52" s="26">
        <v>0</v>
      </c>
      <c r="Z52" s="26">
        <v>0</v>
      </c>
      <c r="AA52" s="26">
        <v>0</v>
      </c>
      <c r="AB52" s="26">
        <v>0</v>
      </c>
      <c r="AC52" s="26">
        <v>0</v>
      </c>
      <c r="AD52" s="26">
        <v>0</v>
      </c>
      <c r="AE52" s="26">
        <v>0</v>
      </c>
      <c r="AF52" s="26">
        <v>0</v>
      </c>
      <c r="AG52" s="26">
        <v>2.2855658205729501</v>
      </c>
      <c r="AH52" s="26">
        <v>-11.311287141889718</v>
      </c>
      <c r="AI52" s="26">
        <v>-2.8068739860305456</v>
      </c>
      <c r="AJ52" s="26">
        <v>-23.410885683344461</v>
      </c>
      <c r="AK52" s="26">
        <v>-15.549921237774255</v>
      </c>
      <c r="AL52" s="26">
        <v>-53.078968049038977</v>
      </c>
      <c r="AM52" s="26">
        <v>126.95240273729978</v>
      </c>
      <c r="AN52" s="26">
        <v>21.845190790563787</v>
      </c>
      <c r="AO52" s="26">
        <v>14.879759352786357</v>
      </c>
      <c r="AP52" s="26">
        <v>0</v>
      </c>
      <c r="AQ52" s="26">
        <v>163.67735288064992</v>
      </c>
      <c r="AR52" s="26">
        <v>-11.311287141889718</v>
      </c>
      <c r="AS52" s="30">
        <v>9999</v>
      </c>
      <c r="AT52" s="26">
        <v>126.95240273729978</v>
      </c>
      <c r="AU52" s="26">
        <v>25.858199307421671</v>
      </c>
      <c r="AV52" s="26">
        <v>15.281060204472146</v>
      </c>
      <c r="AW52" s="26">
        <v>0</v>
      </c>
      <c r="AX52" s="26">
        <v>168.0916622491936</v>
      </c>
      <c r="AY52" s="26">
        <v>-2.8068739860305456</v>
      </c>
      <c r="AZ52" s="30">
        <v>9999</v>
      </c>
      <c r="BA52" s="26">
        <v>126.95240273729978</v>
      </c>
      <c r="BB52" s="26">
        <v>47.703390097985462</v>
      </c>
      <c r="BC52" s="26">
        <v>17.465579283528523</v>
      </c>
      <c r="BD52" s="26">
        <v>0</v>
      </c>
      <c r="BE52" s="26">
        <v>192.12137211881375</v>
      </c>
      <c r="BF52" s="26">
        <v>-14.118161127920263</v>
      </c>
      <c r="BG52" s="26">
        <v>-22.026652733149355</v>
      </c>
      <c r="BH52" s="30">
        <v>9999</v>
      </c>
      <c r="BI52" s="26">
        <v>-3.1423737022453642</v>
      </c>
      <c r="BJ52" s="26">
        <v>-0.77977394513790543</v>
      </c>
      <c r="BK52" s="26">
        <v>-6.5037471505054443</v>
      </c>
      <c r="BL52" s="26">
        <v>-4.3199030275351236</v>
      </c>
      <c r="BM52" s="26">
        <v>-14.745797825423837</v>
      </c>
      <c r="BN52" s="26">
        <v>126.95240273729978</v>
      </c>
      <c r="BO52" s="26">
        <v>0</v>
      </c>
      <c r="BP52" s="26">
        <v>47.703390097985462</v>
      </c>
      <c r="BQ52" s="26">
        <v>0</v>
      </c>
      <c r="BR52" s="26">
        <v>0</v>
      </c>
      <c r="BS52" s="26">
        <v>0</v>
      </c>
      <c r="BT52" s="26">
        <v>0</v>
      </c>
      <c r="BU52" s="26">
        <v>0</v>
      </c>
      <c r="BV52" s="26">
        <v>0</v>
      </c>
      <c r="BW52" s="26">
        <v>17.465579283528523</v>
      </c>
      <c r="BX52" s="26">
        <v>-46.643867202945259</v>
      </c>
      <c r="BY52" s="26">
        <v>-8.7206666666666663</v>
      </c>
      <c r="BZ52" s="26">
        <v>0</v>
      </c>
      <c r="CA52" s="26">
        <v>2.2855658205729501</v>
      </c>
      <c r="CB52" s="26">
        <v>192.12137211881375</v>
      </c>
      <c r="CC52" s="26">
        <v>-53.078968049038977</v>
      </c>
      <c r="CD52" s="30">
        <v>108.28211717236189</v>
      </c>
      <c r="CE52" s="26">
        <v>-32.850302911189921</v>
      </c>
      <c r="CF52" s="26">
        <v>2.5162226419964759</v>
      </c>
      <c r="CG52" s="26">
        <v>0</v>
      </c>
      <c r="CH52" s="26">
        <v>2.5162226419964759</v>
      </c>
      <c r="CI52" s="26">
        <v>0.1258107987739458</v>
      </c>
      <c r="CJ52" s="26">
        <v>0</v>
      </c>
      <c r="CK52" s="26">
        <v>0.1258107987739458</v>
      </c>
      <c r="CL52" s="26"/>
      <c r="CM52" s="26">
        <v>0</v>
      </c>
      <c r="CN52" s="26"/>
      <c r="CO52" s="26">
        <v>0</v>
      </c>
      <c r="CP52" s="26">
        <v>0</v>
      </c>
      <c r="CQ52" s="26">
        <v>0</v>
      </c>
      <c r="CR52" s="26">
        <v>0</v>
      </c>
      <c r="CS52" s="26">
        <v>0</v>
      </c>
      <c r="CT52" s="26">
        <v>0</v>
      </c>
      <c r="CU52" s="26">
        <v>-23.410885683344461</v>
      </c>
      <c r="CV52" s="26">
        <v>9999</v>
      </c>
      <c r="CW52" s="30">
        <v>9999</v>
      </c>
      <c r="CX52" s="420"/>
      <c r="CY52" s="420"/>
      <c r="CZ52" s="420"/>
      <c r="DA52" s="420"/>
      <c r="DB52" s="420"/>
      <c r="DC52" s="420"/>
      <c r="DD52" s="420"/>
      <c r="DE52" s="420"/>
      <c r="DF52" s="420"/>
      <c r="DG52" s="420"/>
      <c r="DH52" s="420"/>
      <c r="DI52" s="420"/>
      <c r="DJ52" s="420"/>
      <c r="DK52" s="420"/>
      <c r="DL52" s="420"/>
      <c r="DM52" s="420"/>
      <c r="DN52" s="420"/>
      <c r="DO52" s="420"/>
      <c r="DP52" s="420"/>
      <c r="DQ52" s="420"/>
      <c r="DR52" s="420"/>
      <c r="DS52" s="420"/>
      <c r="DT52" s="420"/>
      <c r="DU52" s="420"/>
      <c r="DV52" s="420"/>
      <c r="DW52" s="420"/>
      <c r="DX52" s="420"/>
      <c r="DY52" s="420"/>
      <c r="DZ52" s="420"/>
      <c r="EA52" s="420"/>
    </row>
    <row r="53" spans="1:131">
      <c r="A53" s="420" t="s">
        <v>601</v>
      </c>
      <c r="B53" s="420"/>
      <c r="C53" s="26">
        <v>20</v>
      </c>
      <c r="D53" s="26">
        <v>245.66477952671087</v>
      </c>
      <c r="E53" s="26">
        <v>0</v>
      </c>
      <c r="F53" s="26">
        <v>-44.991428571428571</v>
      </c>
      <c r="G53" s="26">
        <v>0</v>
      </c>
      <c r="H53" s="26">
        <v>2.5283548637839961</v>
      </c>
      <c r="I53" s="26"/>
      <c r="J53" s="26"/>
      <c r="K53" s="26"/>
      <c r="L53" s="26">
        <v>263.37666569558996</v>
      </c>
      <c r="M53" s="26">
        <v>6.1475998839183005E-2</v>
      </c>
      <c r="N53" s="26">
        <v>6.1032292648078669E-2</v>
      </c>
      <c r="O53" s="26">
        <v>0</v>
      </c>
      <c r="P53" s="26">
        <v>0</v>
      </c>
      <c r="Q53" s="26">
        <v>0</v>
      </c>
      <c r="R53" s="26">
        <v>-8.9718918752391605</v>
      </c>
      <c r="S53" s="26">
        <v>-2.2213583042814338</v>
      </c>
      <c r="T53" s="26">
        <v>-18.53223359544106</v>
      </c>
      <c r="U53" s="26">
        <v>-18.403272884846732</v>
      </c>
      <c r="V53" s="26">
        <v>-2.6994857142857143</v>
      </c>
      <c r="W53" s="26">
        <v>-0.67487142857142846</v>
      </c>
      <c r="X53" s="26">
        <v>-5.6239285714285714</v>
      </c>
      <c r="Y53" s="26">
        <v>0</v>
      </c>
      <c r="Z53" s="26">
        <v>0</v>
      </c>
      <c r="AA53" s="26">
        <v>0</v>
      </c>
      <c r="AB53" s="26">
        <v>0</v>
      </c>
      <c r="AC53" s="26">
        <v>0</v>
      </c>
      <c r="AD53" s="26">
        <v>0</v>
      </c>
      <c r="AE53" s="26">
        <v>0</v>
      </c>
      <c r="AF53" s="26">
        <v>0</v>
      </c>
      <c r="AG53" s="26">
        <v>2.5283548637839961</v>
      </c>
      <c r="AH53" s="26">
        <v>-11.671377589524875</v>
      </c>
      <c r="AI53" s="26">
        <v>-2.8962297328528623</v>
      </c>
      <c r="AJ53" s="26">
        <v>-24.156162166869631</v>
      </c>
      <c r="AK53" s="26">
        <v>-15.874918021062737</v>
      </c>
      <c r="AL53" s="26">
        <v>-54.598687510310107</v>
      </c>
      <c r="AM53" s="26">
        <v>126.23910593445092</v>
      </c>
      <c r="AN53" s="26">
        <v>21.72245105179114</v>
      </c>
      <c r="AO53" s="26">
        <v>14.796155698624206</v>
      </c>
      <c r="AP53" s="26">
        <v>0</v>
      </c>
      <c r="AQ53" s="26">
        <v>162.75771268486625</v>
      </c>
      <c r="AR53" s="26">
        <v>-11.671377589524875</v>
      </c>
      <c r="AS53" s="30">
        <v>9999</v>
      </c>
      <c r="AT53" s="26">
        <v>126.23910593445092</v>
      </c>
      <c r="AU53" s="26">
        <v>25.712912014737796</v>
      </c>
      <c r="AV53" s="26">
        <v>15.195201794918873</v>
      </c>
      <c r="AW53" s="26">
        <v>0</v>
      </c>
      <c r="AX53" s="26">
        <v>167.14721974410759</v>
      </c>
      <c r="AY53" s="26">
        <v>-2.8962297328528623</v>
      </c>
      <c r="AZ53" s="30">
        <v>9999</v>
      </c>
      <c r="BA53" s="26">
        <v>126.23910593445092</v>
      </c>
      <c r="BB53" s="26">
        <v>47.435363066528936</v>
      </c>
      <c r="BC53" s="26">
        <v>17.367446900097985</v>
      </c>
      <c r="BD53" s="26">
        <v>0</v>
      </c>
      <c r="BE53" s="26">
        <v>191.04191590107783</v>
      </c>
      <c r="BF53" s="26">
        <v>-14.567607322377738</v>
      </c>
      <c r="BG53" s="26">
        <v>-22.174379848777985</v>
      </c>
      <c r="BH53" s="30">
        <v>9999</v>
      </c>
      <c r="BI53" s="26">
        <v>-3.2607307466492585</v>
      </c>
      <c r="BJ53" s="26">
        <v>-0.80914401636264277</v>
      </c>
      <c r="BK53" s="26">
        <v>-6.7487098326123016</v>
      </c>
      <c r="BL53" s="26">
        <v>-4.4351091287007964</v>
      </c>
      <c r="BM53" s="26">
        <v>-15.253693724324998</v>
      </c>
      <c r="BN53" s="26">
        <v>126.23910593445092</v>
      </c>
      <c r="BO53" s="26">
        <v>0</v>
      </c>
      <c r="BP53" s="26">
        <v>47.435363066528936</v>
      </c>
      <c r="BQ53" s="26">
        <v>0</v>
      </c>
      <c r="BR53" s="26">
        <v>0</v>
      </c>
      <c r="BS53" s="26">
        <v>0</v>
      </c>
      <c r="BT53" s="26">
        <v>0</v>
      </c>
      <c r="BU53" s="26">
        <v>0</v>
      </c>
      <c r="BV53" s="26">
        <v>0</v>
      </c>
      <c r="BW53" s="26">
        <v>17.367446900097985</v>
      </c>
      <c r="BX53" s="26">
        <v>-48.128756659808388</v>
      </c>
      <c r="BY53" s="26">
        <v>-8.9982857142857142</v>
      </c>
      <c r="BZ53" s="26">
        <v>0</v>
      </c>
      <c r="CA53" s="26">
        <v>2.5283548637839961</v>
      </c>
      <c r="CB53" s="26">
        <v>191.0419159010778</v>
      </c>
      <c r="CC53" s="26">
        <v>-54.598687510310107</v>
      </c>
      <c r="CD53" s="30">
        <v>98.154322334229761</v>
      </c>
      <c r="CE53" s="26">
        <v>-33.358198810091075</v>
      </c>
      <c r="CF53" s="26">
        <v>2.502084953169061</v>
      </c>
      <c r="CG53" s="26">
        <v>0</v>
      </c>
      <c r="CH53" s="26">
        <v>2.502084953169061</v>
      </c>
      <c r="CI53" s="26">
        <v>0.12510391620540526</v>
      </c>
      <c r="CJ53" s="26">
        <v>0</v>
      </c>
      <c r="CK53" s="26">
        <v>0.12510391620540526</v>
      </c>
      <c r="CL53" s="26"/>
      <c r="CM53" s="26">
        <v>0</v>
      </c>
      <c r="CN53" s="26"/>
      <c r="CO53" s="26">
        <v>0</v>
      </c>
      <c r="CP53" s="26">
        <v>0</v>
      </c>
      <c r="CQ53" s="26">
        <v>0</v>
      </c>
      <c r="CR53" s="26">
        <v>0</v>
      </c>
      <c r="CS53" s="26">
        <v>0</v>
      </c>
      <c r="CT53" s="26">
        <v>0</v>
      </c>
      <c r="CU53" s="26">
        <v>-24.156162166869631</v>
      </c>
      <c r="CV53" s="26">
        <v>9999</v>
      </c>
      <c r="CW53" s="30">
        <v>9999</v>
      </c>
      <c r="CX53" s="420"/>
      <c r="CY53" s="420"/>
      <c r="CZ53" s="420"/>
      <c r="DA53" s="420"/>
      <c r="DB53" s="420"/>
      <c r="DC53" s="420"/>
      <c r="DD53" s="420"/>
      <c r="DE53" s="420"/>
      <c r="DF53" s="420"/>
      <c r="DG53" s="420"/>
      <c r="DH53" s="420"/>
      <c r="DI53" s="420"/>
      <c r="DJ53" s="420"/>
      <c r="DK53" s="420"/>
      <c r="DL53" s="420"/>
      <c r="DM53" s="420"/>
      <c r="DN53" s="420"/>
      <c r="DO53" s="420"/>
      <c r="DP53" s="420"/>
      <c r="DQ53" s="420"/>
      <c r="DR53" s="420"/>
      <c r="DS53" s="420"/>
      <c r="DT53" s="420"/>
      <c r="DU53" s="420"/>
      <c r="DV53" s="420"/>
      <c r="DW53" s="420"/>
      <c r="DX53" s="420"/>
      <c r="DY53" s="420"/>
      <c r="DZ53" s="420"/>
      <c r="EA53" s="420"/>
    </row>
    <row r="54" spans="1:131">
      <c r="A54" s="420" t="s">
        <v>602</v>
      </c>
      <c r="B54" s="420"/>
      <c r="C54" s="26">
        <v>20</v>
      </c>
      <c r="D54" s="26">
        <v>245.66477952671087</v>
      </c>
      <c r="E54" s="26">
        <v>0</v>
      </c>
      <c r="F54" s="26">
        <v>-44.991428571428571</v>
      </c>
      <c r="G54" s="26">
        <v>0</v>
      </c>
      <c r="H54" s="26">
        <v>2.5283548637839961</v>
      </c>
      <c r="I54" s="26"/>
      <c r="J54" s="26"/>
      <c r="K54" s="26"/>
      <c r="L54" s="26">
        <v>263.37666569558996</v>
      </c>
      <c r="M54" s="26">
        <v>6.1475998839183005E-2</v>
      </c>
      <c r="N54" s="26">
        <v>6.1032292648078669E-2</v>
      </c>
      <c r="O54" s="26">
        <v>0</v>
      </c>
      <c r="P54" s="26">
        <v>0</v>
      </c>
      <c r="Q54" s="26">
        <v>0</v>
      </c>
      <c r="R54" s="26">
        <v>-8.9718918752391605</v>
      </c>
      <c r="S54" s="26">
        <v>-2.2213583042814338</v>
      </c>
      <c r="T54" s="26">
        <v>-18.53223359544106</v>
      </c>
      <c r="U54" s="26">
        <v>-18.403272884846732</v>
      </c>
      <c r="V54" s="26">
        <v>-2.6994857142857143</v>
      </c>
      <c r="W54" s="26">
        <v>-0.67487142857142846</v>
      </c>
      <c r="X54" s="26">
        <v>-5.6239285714285714</v>
      </c>
      <c r="Y54" s="26">
        <v>0</v>
      </c>
      <c r="Z54" s="26">
        <v>0</v>
      </c>
      <c r="AA54" s="26">
        <v>0</v>
      </c>
      <c r="AB54" s="26">
        <v>0</v>
      </c>
      <c r="AC54" s="26">
        <v>0</v>
      </c>
      <c r="AD54" s="26">
        <v>0</v>
      </c>
      <c r="AE54" s="26">
        <v>0</v>
      </c>
      <c r="AF54" s="26">
        <v>0</v>
      </c>
      <c r="AG54" s="26">
        <v>2.5283548637839961</v>
      </c>
      <c r="AH54" s="26">
        <v>-11.671377589524875</v>
      </c>
      <c r="AI54" s="26">
        <v>-2.8962297328528623</v>
      </c>
      <c r="AJ54" s="26">
        <v>-24.156162166869631</v>
      </c>
      <c r="AK54" s="26">
        <v>-15.874918021062737</v>
      </c>
      <c r="AL54" s="26">
        <v>-54.598687510310107</v>
      </c>
      <c r="AM54" s="26">
        <v>126.23910593445092</v>
      </c>
      <c r="AN54" s="26">
        <v>21.72245105179114</v>
      </c>
      <c r="AO54" s="26">
        <v>14.796155698624206</v>
      </c>
      <c r="AP54" s="26">
        <v>0</v>
      </c>
      <c r="AQ54" s="26">
        <v>162.75771268486625</v>
      </c>
      <c r="AR54" s="26">
        <v>-11.671377589524875</v>
      </c>
      <c r="AS54" s="30">
        <v>9999</v>
      </c>
      <c r="AT54" s="26">
        <v>126.23910593445092</v>
      </c>
      <c r="AU54" s="26">
        <v>25.712912014737796</v>
      </c>
      <c r="AV54" s="26">
        <v>15.195201794918873</v>
      </c>
      <c r="AW54" s="26">
        <v>0</v>
      </c>
      <c r="AX54" s="26">
        <v>167.14721974410759</v>
      </c>
      <c r="AY54" s="26">
        <v>-2.8962297328528623</v>
      </c>
      <c r="AZ54" s="30">
        <v>9999</v>
      </c>
      <c r="BA54" s="26">
        <v>126.23910593445092</v>
      </c>
      <c r="BB54" s="26">
        <v>47.435363066528936</v>
      </c>
      <c r="BC54" s="26">
        <v>17.367446900097985</v>
      </c>
      <c r="BD54" s="26">
        <v>0</v>
      </c>
      <c r="BE54" s="26">
        <v>191.04191590107783</v>
      </c>
      <c r="BF54" s="26">
        <v>-14.567607322377738</v>
      </c>
      <c r="BG54" s="26">
        <v>-22.174379848777985</v>
      </c>
      <c r="BH54" s="30">
        <v>9999</v>
      </c>
      <c r="BI54" s="26">
        <v>-3.2607307466492585</v>
      </c>
      <c r="BJ54" s="26">
        <v>-0.80914401636264277</v>
      </c>
      <c r="BK54" s="26">
        <v>-6.7487098326123016</v>
      </c>
      <c r="BL54" s="26">
        <v>-4.4351091287007964</v>
      </c>
      <c r="BM54" s="26">
        <v>-15.253693724324998</v>
      </c>
      <c r="BN54" s="26">
        <v>126.23910593445092</v>
      </c>
      <c r="BO54" s="26">
        <v>0</v>
      </c>
      <c r="BP54" s="26">
        <v>47.435363066528936</v>
      </c>
      <c r="BQ54" s="26">
        <v>0</v>
      </c>
      <c r="BR54" s="26">
        <v>0</v>
      </c>
      <c r="BS54" s="26">
        <v>0</v>
      </c>
      <c r="BT54" s="26">
        <v>0</v>
      </c>
      <c r="BU54" s="26">
        <v>0</v>
      </c>
      <c r="BV54" s="26">
        <v>0</v>
      </c>
      <c r="BW54" s="26">
        <v>17.367446900097985</v>
      </c>
      <c r="BX54" s="26">
        <v>-48.128756659808388</v>
      </c>
      <c r="BY54" s="26">
        <v>-8.9982857142857142</v>
      </c>
      <c r="BZ54" s="26">
        <v>0</v>
      </c>
      <c r="CA54" s="26">
        <v>2.5283548637839961</v>
      </c>
      <c r="CB54" s="26">
        <v>191.0419159010778</v>
      </c>
      <c r="CC54" s="26">
        <v>-54.598687510310107</v>
      </c>
      <c r="CD54" s="30">
        <v>98.154322334229761</v>
      </c>
      <c r="CE54" s="26">
        <v>-33.358198810091075</v>
      </c>
      <c r="CF54" s="26">
        <v>2.502084953169061</v>
      </c>
      <c r="CG54" s="26">
        <v>0</v>
      </c>
      <c r="CH54" s="26">
        <v>2.502084953169061</v>
      </c>
      <c r="CI54" s="26">
        <v>0.12510391620540526</v>
      </c>
      <c r="CJ54" s="26">
        <v>0</v>
      </c>
      <c r="CK54" s="26">
        <v>0.12510391620540526</v>
      </c>
      <c r="CL54" s="26"/>
      <c r="CM54" s="26">
        <v>0</v>
      </c>
      <c r="CN54" s="26"/>
      <c r="CO54" s="26">
        <v>0</v>
      </c>
      <c r="CP54" s="26">
        <v>0</v>
      </c>
      <c r="CQ54" s="26">
        <v>0</v>
      </c>
      <c r="CR54" s="26">
        <v>0</v>
      </c>
      <c r="CS54" s="26">
        <v>0</v>
      </c>
      <c r="CT54" s="26">
        <v>0</v>
      </c>
      <c r="CU54" s="26">
        <v>-24.156162166869631</v>
      </c>
      <c r="CV54" s="26">
        <v>9999</v>
      </c>
      <c r="CW54" s="30">
        <v>9999</v>
      </c>
      <c r="CX54" s="420"/>
      <c r="CY54" s="420"/>
      <c r="CZ54" s="420"/>
      <c r="DA54" s="420"/>
      <c r="DB54" s="420"/>
      <c r="DC54" s="420"/>
      <c r="DD54" s="420"/>
      <c r="DE54" s="420"/>
      <c r="DF54" s="420"/>
      <c r="DG54" s="420"/>
      <c r="DH54" s="420"/>
      <c r="DI54" s="420"/>
      <c r="DJ54" s="420"/>
      <c r="DK54" s="420"/>
      <c r="DL54" s="420"/>
      <c r="DM54" s="420"/>
      <c r="DN54" s="420"/>
      <c r="DO54" s="420"/>
      <c r="DP54" s="420"/>
      <c r="DQ54" s="420"/>
      <c r="DR54" s="420"/>
      <c r="DS54" s="420"/>
      <c r="DT54" s="420"/>
      <c r="DU54" s="420"/>
      <c r="DV54" s="420"/>
      <c r="DW54" s="420"/>
      <c r="DX54" s="420"/>
      <c r="DY54" s="420"/>
      <c r="DZ54" s="420"/>
      <c r="EA54" s="420"/>
    </row>
    <row r="55" spans="1:131">
      <c r="A55" s="420" t="s">
        <v>603</v>
      </c>
      <c r="B55" s="420"/>
      <c r="C55" s="26">
        <v>19.999999999999996</v>
      </c>
      <c r="D55" s="26">
        <v>247.19620809813944</v>
      </c>
      <c r="E55" s="26">
        <v>0</v>
      </c>
      <c r="F55" s="26">
        <v>-43.46</v>
      </c>
      <c r="G55" s="26">
        <v>0</v>
      </c>
      <c r="H55" s="26">
        <v>2.8130040868590154</v>
      </c>
      <c r="I55" s="26"/>
      <c r="J55" s="26"/>
      <c r="K55" s="26"/>
      <c r="L55" s="26">
        <v>265.0185068731119</v>
      </c>
      <c r="M55" s="26">
        <v>6.1859228788794879E-2</v>
      </c>
      <c r="N55" s="26">
        <v>6.1412756615771259E-2</v>
      </c>
      <c r="O55" s="26">
        <v>0</v>
      </c>
      <c r="P55" s="26">
        <v>0</v>
      </c>
      <c r="Q55" s="26">
        <v>0</v>
      </c>
      <c r="R55" s="26">
        <v>-8.6665045605044053</v>
      </c>
      <c r="S55" s="26">
        <v>-2.1457472005096139</v>
      </c>
      <c r="T55" s="26">
        <v>-17.901429175097096</v>
      </c>
      <c r="U55" s="26">
        <v>-17.77685805876698</v>
      </c>
      <c r="V55" s="26">
        <v>-2.6076000000000001</v>
      </c>
      <c r="W55" s="26">
        <v>-0.65189999999999992</v>
      </c>
      <c r="X55" s="26">
        <v>-5.4325000000000001</v>
      </c>
      <c r="Y55" s="26">
        <v>0</v>
      </c>
      <c r="Z55" s="26">
        <v>0</v>
      </c>
      <c r="AA55" s="26">
        <v>0</v>
      </c>
      <c r="AB55" s="26">
        <v>0</v>
      </c>
      <c r="AC55" s="26">
        <v>0</v>
      </c>
      <c r="AD55" s="26">
        <v>0</v>
      </c>
      <c r="AE55" s="26">
        <v>0</v>
      </c>
      <c r="AF55" s="26">
        <v>0</v>
      </c>
      <c r="AG55" s="26">
        <v>2.8130040868590154</v>
      </c>
      <c r="AH55" s="26">
        <v>-11.274104560504405</v>
      </c>
      <c r="AI55" s="26">
        <v>-2.7976472005096138</v>
      </c>
      <c r="AJ55" s="26">
        <v>-23.333929175097097</v>
      </c>
      <c r="AK55" s="26">
        <v>-14.963853971907964</v>
      </c>
      <c r="AL55" s="26">
        <v>-52.369534908019077</v>
      </c>
      <c r="AM55" s="26">
        <v>127.02605705553577</v>
      </c>
      <c r="AN55" s="26">
        <v>21.857864773881303</v>
      </c>
      <c r="AO55" s="26">
        <v>14.888392182941708</v>
      </c>
      <c r="AP55" s="26">
        <v>0</v>
      </c>
      <c r="AQ55" s="26">
        <v>163.77231401235881</v>
      </c>
      <c r="AR55" s="26">
        <v>-11.274104560504405</v>
      </c>
      <c r="AS55" s="30">
        <v>9999</v>
      </c>
      <c r="AT55" s="26">
        <v>127.02605705553577</v>
      </c>
      <c r="AU55" s="26">
        <v>25.873201528724547</v>
      </c>
      <c r="AV55" s="26">
        <v>15.289925858426033</v>
      </c>
      <c r="AW55" s="26">
        <v>0</v>
      </c>
      <c r="AX55" s="26">
        <v>168.18918444268635</v>
      </c>
      <c r="AY55" s="26">
        <v>-2.7976472005096138</v>
      </c>
      <c r="AZ55" s="30">
        <v>9999</v>
      </c>
      <c r="BA55" s="26">
        <v>127.02605705553577</v>
      </c>
      <c r="BB55" s="26">
        <v>47.731066302605853</v>
      </c>
      <c r="BC55" s="26">
        <v>17.475712335814162</v>
      </c>
      <c r="BD55" s="26">
        <v>0</v>
      </c>
      <c r="BE55" s="26">
        <v>192.23283569395576</v>
      </c>
      <c r="BF55" s="26">
        <v>-14.071751761014021</v>
      </c>
      <c r="BG55" s="26">
        <v>-22.011493080612524</v>
      </c>
      <c r="BH55" s="30">
        <v>9999</v>
      </c>
      <c r="BI55" s="26">
        <v>-3.1302279857273501</v>
      </c>
      <c r="BJ55" s="26">
        <v>-0.77676000911908938</v>
      </c>
      <c r="BK55" s="26">
        <v>-6.4786092526359358</v>
      </c>
      <c r="BL55" s="26">
        <v>-4.1546780257205658</v>
      </c>
      <c r="BM55" s="26">
        <v>-14.540275273202941</v>
      </c>
      <c r="BN55" s="26">
        <v>127.02605705553577</v>
      </c>
      <c r="BO55" s="26">
        <v>0</v>
      </c>
      <c r="BP55" s="26">
        <v>47.731066302605853</v>
      </c>
      <c r="BQ55" s="26">
        <v>0</v>
      </c>
      <c r="BR55" s="26">
        <v>0</v>
      </c>
      <c r="BS55" s="26">
        <v>0</v>
      </c>
      <c r="BT55" s="26">
        <v>0</v>
      </c>
      <c r="BU55" s="26">
        <v>0</v>
      </c>
      <c r="BV55" s="26">
        <v>0</v>
      </c>
      <c r="BW55" s="26">
        <v>17.475712335814162</v>
      </c>
      <c r="BX55" s="26">
        <v>-46.490538994878094</v>
      </c>
      <c r="BY55" s="26">
        <v>-8.6920000000000002</v>
      </c>
      <c r="BZ55" s="26">
        <v>0</v>
      </c>
      <c r="CA55" s="26">
        <v>2.8130040868590154</v>
      </c>
      <c r="CB55" s="26">
        <v>192.23283569395579</v>
      </c>
      <c r="CC55" s="26">
        <v>-52.369534908019077</v>
      </c>
      <c r="CD55" s="30">
        <v>87.954146901043615</v>
      </c>
      <c r="CE55" s="26">
        <v>-32.644780358969037</v>
      </c>
      <c r="CF55" s="26">
        <v>2.5176824856798552</v>
      </c>
      <c r="CG55" s="26">
        <v>0</v>
      </c>
      <c r="CH55" s="26">
        <v>2.5176824856798552</v>
      </c>
      <c r="CI55" s="26">
        <v>0.12588379076472819</v>
      </c>
      <c r="CJ55" s="26">
        <v>0</v>
      </c>
      <c r="CK55" s="26">
        <v>0.12588379076472819</v>
      </c>
      <c r="CL55" s="26"/>
      <c r="CM55" s="26">
        <v>0</v>
      </c>
      <c r="CN55" s="26"/>
      <c r="CO55" s="26">
        <v>0</v>
      </c>
      <c r="CP55" s="26">
        <v>0</v>
      </c>
      <c r="CQ55" s="26">
        <v>0</v>
      </c>
      <c r="CR55" s="26">
        <v>0</v>
      </c>
      <c r="CS55" s="26">
        <v>0</v>
      </c>
      <c r="CT55" s="26">
        <v>0</v>
      </c>
      <c r="CU55" s="26">
        <v>-23.333929175097097</v>
      </c>
      <c r="CV55" s="26">
        <v>9999</v>
      </c>
      <c r="CW55" s="30">
        <v>9999</v>
      </c>
      <c r="CX55" s="420"/>
      <c r="CY55" s="420"/>
      <c r="CZ55" s="420"/>
      <c r="DA55" s="420"/>
      <c r="DB55" s="420"/>
      <c r="DC55" s="420"/>
      <c r="DD55" s="420"/>
      <c r="DE55" s="420"/>
      <c r="DF55" s="420"/>
      <c r="DG55" s="420"/>
      <c r="DH55" s="420"/>
      <c r="DI55" s="420"/>
      <c r="DJ55" s="420"/>
      <c r="DK55" s="420"/>
      <c r="DL55" s="420"/>
      <c r="DM55" s="420"/>
      <c r="DN55" s="420"/>
      <c r="DO55" s="420"/>
      <c r="DP55" s="420"/>
      <c r="DQ55" s="420"/>
      <c r="DR55" s="420"/>
      <c r="DS55" s="420"/>
      <c r="DT55" s="420"/>
      <c r="DU55" s="420"/>
      <c r="DV55" s="420"/>
      <c r="DW55" s="420"/>
      <c r="DX55" s="420"/>
      <c r="DY55" s="420"/>
      <c r="DZ55" s="420"/>
      <c r="EA55" s="420"/>
    </row>
    <row r="56" spans="1:131">
      <c r="A56" s="420"/>
      <c r="B56" s="420"/>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420"/>
      <c r="CY56" s="420"/>
      <c r="CZ56" s="420"/>
      <c r="DA56" s="420"/>
      <c r="DB56" s="420"/>
      <c r="DC56" s="420"/>
      <c r="DD56" s="420"/>
      <c r="DE56" s="420"/>
      <c r="DF56" s="420"/>
      <c r="DG56" s="420"/>
      <c r="DH56" s="420"/>
      <c r="DI56" s="420"/>
      <c r="DJ56" s="420"/>
      <c r="DK56" s="420"/>
      <c r="DL56" s="420"/>
      <c r="DM56" s="420"/>
      <c r="DN56" s="420"/>
      <c r="DO56" s="420"/>
      <c r="DP56" s="420"/>
      <c r="DQ56" s="420"/>
      <c r="DR56" s="420"/>
      <c r="DS56" s="420"/>
      <c r="DT56" s="420"/>
      <c r="DU56" s="420"/>
      <c r="DV56" s="420"/>
      <c r="DW56" s="420"/>
      <c r="DX56" s="420"/>
      <c r="DY56" s="420"/>
      <c r="DZ56" s="420"/>
      <c r="EA56" s="420"/>
    </row>
    <row r="57" spans="1:131">
      <c r="A57" s="420"/>
      <c r="B57" s="420"/>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420"/>
      <c r="CY57" s="420"/>
      <c r="CZ57" s="420"/>
      <c r="DA57" s="420"/>
      <c r="DB57" s="420"/>
      <c r="DC57" s="420"/>
      <c r="DD57" s="420"/>
      <c r="DE57" s="420"/>
      <c r="DF57" s="420"/>
      <c r="DG57" s="420"/>
      <c r="DH57" s="420"/>
      <c r="DI57" s="420"/>
      <c r="DJ57" s="420"/>
      <c r="DK57" s="420"/>
      <c r="DL57" s="420"/>
      <c r="DM57" s="420"/>
      <c r="DN57" s="420"/>
      <c r="DO57" s="420"/>
      <c r="DP57" s="420"/>
      <c r="DQ57" s="420"/>
      <c r="DR57" s="420"/>
      <c r="DS57" s="420"/>
      <c r="DT57" s="420"/>
      <c r="DU57" s="420"/>
      <c r="DV57" s="420"/>
      <c r="DW57" s="420"/>
      <c r="DX57" s="420"/>
      <c r="DY57" s="420"/>
      <c r="DZ57" s="420"/>
      <c r="EA57" s="420"/>
    </row>
    <row r="58" spans="1:131" ht="13.5" thickBot="1">
      <c r="A58" s="24" t="s">
        <v>313</v>
      </c>
      <c r="B58" s="25"/>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420"/>
      <c r="CY58" s="420"/>
      <c r="CZ58" s="420"/>
      <c r="DA58" s="420"/>
      <c r="DB58" s="420"/>
      <c r="DC58" s="420"/>
      <c r="DD58" s="420"/>
      <c r="DE58" s="420"/>
      <c r="DF58" s="420"/>
      <c r="DG58" s="420"/>
      <c r="DH58" s="420"/>
      <c r="DI58" s="420"/>
      <c r="DJ58" s="420"/>
      <c r="DK58" s="420"/>
      <c r="DL58" s="420"/>
      <c r="DM58" s="420"/>
      <c r="DN58" s="420"/>
      <c r="DO58" s="420"/>
      <c r="DP58" s="420"/>
      <c r="DQ58" s="420"/>
      <c r="DR58" s="420"/>
      <c r="DS58" s="420"/>
      <c r="DT58" s="420"/>
      <c r="DU58" s="420"/>
      <c r="DV58" s="420"/>
      <c r="DW58" s="420"/>
      <c r="DX58" s="420"/>
      <c r="DY58" s="420"/>
      <c r="DZ58" s="420"/>
      <c r="EA58" s="420"/>
    </row>
    <row r="59" spans="1:131" ht="13.5" thickBot="1">
      <c r="A59" s="115" t="s">
        <v>314</v>
      </c>
      <c r="B59" s="116"/>
      <c r="C59" s="117"/>
      <c r="D59" s="117"/>
      <c r="E59" s="117"/>
      <c r="F59" s="117"/>
      <c r="G59" s="117"/>
      <c r="H59" s="117"/>
      <c r="I59" s="117"/>
      <c r="J59" s="117"/>
      <c r="K59" s="117"/>
      <c r="L59" s="31"/>
      <c r="M59" s="118"/>
      <c r="N59" s="119" t="s">
        <v>381</v>
      </c>
      <c r="O59" s="117"/>
      <c r="P59" s="117"/>
      <c r="Q59" s="117"/>
      <c r="R59" s="117"/>
      <c r="S59" s="117"/>
      <c r="T59" s="117"/>
      <c r="U59" s="117"/>
      <c r="V59" s="117"/>
      <c r="W59" s="117"/>
      <c r="X59" s="117"/>
      <c r="Y59" s="31"/>
      <c r="Z59" s="118"/>
      <c r="AA59" s="119" t="s">
        <v>382</v>
      </c>
      <c r="AB59" s="117"/>
      <c r="AC59" s="117"/>
      <c r="AD59" s="117"/>
      <c r="AE59" s="117"/>
      <c r="AF59" s="117"/>
      <c r="AG59" s="117"/>
      <c r="AH59" s="117"/>
      <c r="AI59" s="117"/>
      <c r="AJ59" s="117"/>
      <c r="AK59" s="117"/>
      <c r="AL59" s="31"/>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420"/>
      <c r="CY59" s="420"/>
      <c r="CZ59" s="420"/>
      <c r="DA59" s="420"/>
      <c r="DB59" s="420"/>
      <c r="DC59" s="420"/>
      <c r="DD59" s="420"/>
      <c r="DE59" s="420"/>
      <c r="DF59" s="420"/>
      <c r="DG59" s="420"/>
      <c r="DH59" s="420"/>
      <c r="DI59" s="420"/>
      <c r="DJ59" s="420"/>
      <c r="DK59" s="420"/>
      <c r="DL59" s="420"/>
      <c r="DM59" s="420"/>
      <c r="DN59" s="420"/>
      <c r="DO59" s="420"/>
      <c r="DP59" s="420"/>
      <c r="DQ59" s="420"/>
      <c r="DR59" s="420"/>
      <c r="DS59" s="420"/>
      <c r="DT59" s="420"/>
      <c r="DU59" s="420"/>
      <c r="DV59" s="420"/>
      <c r="DW59" s="420"/>
      <c r="DX59" s="420"/>
      <c r="DY59" s="420"/>
      <c r="DZ59" s="420"/>
      <c r="EA59" s="420"/>
    </row>
    <row r="60" spans="1:131" ht="191.25">
      <c r="A60" s="27"/>
      <c r="B60" s="28" t="s">
        <v>315</v>
      </c>
      <c r="C60" s="29" t="s">
        <v>316</v>
      </c>
      <c r="D60" s="29" t="s">
        <v>317</v>
      </c>
      <c r="E60" s="29" t="s">
        <v>318</v>
      </c>
      <c r="F60" s="29" t="s">
        <v>319</v>
      </c>
      <c r="G60" s="29" t="s">
        <v>320</v>
      </c>
      <c r="H60" s="29" t="s">
        <v>321</v>
      </c>
      <c r="I60" s="29" t="s">
        <v>322</v>
      </c>
      <c r="J60" s="29" t="s">
        <v>323</v>
      </c>
      <c r="K60" s="29" t="s">
        <v>21</v>
      </c>
      <c r="L60" s="29" t="s">
        <v>293</v>
      </c>
      <c r="M60" s="29" t="s">
        <v>324</v>
      </c>
      <c r="N60" s="29" t="s">
        <v>325</v>
      </c>
      <c r="O60" s="29" t="s">
        <v>326</v>
      </c>
      <c r="P60" s="29" t="s">
        <v>327</v>
      </c>
      <c r="Q60" s="29" t="s">
        <v>328</v>
      </c>
      <c r="R60" s="29" t="s">
        <v>329</v>
      </c>
      <c r="S60" s="29" t="s">
        <v>330</v>
      </c>
      <c r="T60" s="29" t="s">
        <v>331</v>
      </c>
      <c r="U60" s="29" t="s">
        <v>332</v>
      </c>
      <c r="V60" s="29" t="s">
        <v>333</v>
      </c>
      <c r="W60" s="29" t="s">
        <v>334</v>
      </c>
      <c r="X60" s="29" t="s">
        <v>335</v>
      </c>
      <c r="Y60" s="29" t="s">
        <v>336</v>
      </c>
      <c r="Z60" s="29"/>
      <c r="AA60" s="29" t="s">
        <v>325</v>
      </c>
      <c r="AB60" s="29" t="s">
        <v>326</v>
      </c>
      <c r="AC60" s="29" t="s">
        <v>327</v>
      </c>
      <c r="AD60" s="29" t="s">
        <v>328</v>
      </c>
      <c r="AE60" s="29" t="s">
        <v>329</v>
      </c>
      <c r="AF60" s="29" t="s">
        <v>330</v>
      </c>
      <c r="AG60" s="29" t="s">
        <v>331</v>
      </c>
      <c r="AH60" s="29" t="s">
        <v>332</v>
      </c>
      <c r="AI60" s="29" t="s">
        <v>333</v>
      </c>
      <c r="AJ60" s="29" t="s">
        <v>334</v>
      </c>
      <c r="AK60" s="29" t="s">
        <v>335</v>
      </c>
      <c r="AL60" s="29" t="s">
        <v>336</v>
      </c>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420"/>
      <c r="CY60" s="420"/>
      <c r="CZ60" s="420"/>
      <c r="DA60" s="420"/>
      <c r="DB60" s="420"/>
      <c r="DC60" s="420"/>
      <c r="DD60" s="420"/>
      <c r="DE60" s="420"/>
      <c r="DF60" s="420"/>
      <c r="DG60" s="420"/>
      <c r="DH60" s="420"/>
      <c r="DI60" s="420"/>
      <c r="DJ60" s="420"/>
      <c r="DK60" s="420"/>
      <c r="DL60" s="420"/>
      <c r="DM60" s="420"/>
      <c r="DN60" s="420"/>
      <c r="DO60" s="420"/>
      <c r="DP60" s="420"/>
      <c r="DQ60" s="420"/>
      <c r="DR60" s="420"/>
      <c r="DS60" s="420"/>
      <c r="DT60" s="420"/>
      <c r="DU60" s="420"/>
      <c r="DV60" s="420"/>
      <c r="DW60" s="420"/>
      <c r="DX60" s="420"/>
      <c r="DY60" s="420"/>
      <c r="DZ60" s="420"/>
      <c r="EA60" s="420"/>
    </row>
    <row r="61" spans="1:131">
      <c r="A61" s="420"/>
      <c r="B61" s="38" t="s">
        <v>337</v>
      </c>
      <c r="C61" s="120">
        <v>1323.1990054702148</v>
      </c>
      <c r="D61" s="120">
        <v>-219.06619047619049</v>
      </c>
      <c r="E61" s="120">
        <v>0</v>
      </c>
      <c r="F61" s="120">
        <v>-219.06619047619049</v>
      </c>
      <c r="G61" s="120">
        <v>-223.01468021589406</v>
      </c>
      <c r="H61" s="120">
        <v>959.79069541263198</v>
      </c>
      <c r="I61" s="120">
        <v>-1450.2881430820617</v>
      </c>
      <c r="J61" s="120">
        <v>-21.135231487252071</v>
      </c>
      <c r="K61" s="120">
        <v>-30.506124533351358</v>
      </c>
      <c r="L61" s="30">
        <v>116.52421753328808</v>
      </c>
      <c r="M61" s="26">
        <v>12.57042385623431</v>
      </c>
      <c r="N61" s="32">
        <v>54.194878425160127</v>
      </c>
      <c r="O61" s="32">
        <v>40.06424063748014</v>
      </c>
      <c r="P61" s="32">
        <v>37.321688024962988</v>
      </c>
      <c r="Q61" s="32">
        <v>21.425395777645036</v>
      </c>
      <c r="R61" s="32">
        <v>17.210783099604132</v>
      </c>
      <c r="S61" s="32">
        <v>13.350533427836323</v>
      </c>
      <c r="T61" s="32">
        <v>13.931177403321335</v>
      </c>
      <c r="U61" s="32">
        <v>20.277288677682826</v>
      </c>
      <c r="V61" s="32">
        <v>25.618762596990841</v>
      </c>
      <c r="W61" s="32">
        <v>41.794118828434868</v>
      </c>
      <c r="X61" s="32">
        <v>48.398712893892238</v>
      </c>
      <c r="Y61" s="32">
        <v>57.012707841963291</v>
      </c>
      <c r="Z61" s="32"/>
      <c r="AA61" s="32">
        <v>89.819489569695634</v>
      </c>
      <c r="AB61" s="32">
        <v>77.910880920981441</v>
      </c>
      <c r="AC61" s="32">
        <v>78.542597932438682</v>
      </c>
      <c r="AD61" s="32">
        <v>74.792187731853247</v>
      </c>
      <c r="AE61" s="32">
        <v>68.887412043911297</v>
      </c>
      <c r="AF61" s="32">
        <v>62.590611934188189</v>
      </c>
      <c r="AG61" s="32">
        <v>68.347333319194775</v>
      </c>
      <c r="AH61" s="32">
        <v>73.801691700707963</v>
      </c>
      <c r="AI61" s="32">
        <v>79.550614974214611</v>
      </c>
      <c r="AJ61" s="32">
        <v>82.100741295641981</v>
      </c>
      <c r="AK61" s="32">
        <v>86.06450527896591</v>
      </c>
      <c r="AL61" s="32">
        <v>90.19065113344729</v>
      </c>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420"/>
      <c r="CY61" s="420"/>
      <c r="CZ61" s="420"/>
      <c r="DA61" s="420"/>
      <c r="DB61" s="420"/>
      <c r="DC61" s="420"/>
      <c r="DD61" s="420"/>
      <c r="DE61" s="420"/>
      <c r="DF61" s="420"/>
      <c r="DG61" s="420"/>
      <c r="DH61" s="420"/>
      <c r="DI61" s="420"/>
      <c r="DJ61" s="420"/>
      <c r="DK61" s="420"/>
      <c r="DL61" s="420"/>
      <c r="DM61" s="420"/>
      <c r="DN61" s="420"/>
      <c r="DO61" s="420"/>
      <c r="DP61" s="420"/>
      <c r="DQ61" s="420"/>
      <c r="DR61" s="420"/>
      <c r="DS61" s="420"/>
      <c r="DT61" s="420"/>
      <c r="DU61" s="420"/>
      <c r="DV61" s="420"/>
      <c r="DW61" s="420"/>
      <c r="DX61" s="420"/>
      <c r="DY61" s="420"/>
      <c r="DZ61" s="420"/>
      <c r="EA61" s="420"/>
    </row>
    <row r="62" spans="1:131">
      <c r="A62" s="420"/>
      <c r="B62" s="38" t="s">
        <v>338</v>
      </c>
      <c r="C62" s="120">
        <v>1323.1990054702148</v>
      </c>
      <c r="D62" s="120">
        <v>-219.06619047619049</v>
      </c>
      <c r="E62" s="120">
        <v>-43.813238095238098</v>
      </c>
      <c r="F62" s="120">
        <v>-262.8794285714286</v>
      </c>
      <c r="G62" s="120">
        <v>-266.82791831113212</v>
      </c>
      <c r="H62" s="120">
        <v>959.79069541263198</v>
      </c>
      <c r="I62" s="120">
        <v>-1740.3457716984742</v>
      </c>
      <c r="J62" s="120">
        <v>-22.048885083560592</v>
      </c>
      <c r="K62" s="120">
        <v>-32.942534123507414</v>
      </c>
      <c r="L62" s="30">
        <v>120.76807387189056</v>
      </c>
      <c r="M62" s="26">
        <v>12.57042385623431</v>
      </c>
      <c r="N62" s="32">
        <v>21.702679203049126</v>
      </c>
      <c r="O62" s="32">
        <v>16.043976614316517</v>
      </c>
      <c r="P62" s="32">
        <v>14.945704207835551</v>
      </c>
      <c r="Q62" s="32">
        <v>8.5799342091469892</v>
      </c>
      <c r="R62" s="32">
        <v>6.8921661104891454</v>
      </c>
      <c r="S62" s="32">
        <v>5.3463049017451407</v>
      </c>
      <c r="T62" s="32">
        <v>5.5788274259636648</v>
      </c>
      <c r="U62" s="32">
        <v>8.1201675152216239</v>
      </c>
      <c r="V62" s="32">
        <v>10.259194270347201</v>
      </c>
      <c r="W62" s="32">
        <v>16.736717192939381</v>
      </c>
      <c r="X62" s="32">
        <v>19.381568338180422</v>
      </c>
      <c r="Y62" s="32">
        <v>22.831096678258419</v>
      </c>
      <c r="Z62" s="32"/>
      <c r="AA62" s="32">
        <v>35.968778322929907</v>
      </c>
      <c r="AB62" s="32">
        <v>31.199901248787143</v>
      </c>
      <c r="AC62" s="32">
        <v>31.452876290805136</v>
      </c>
      <c r="AD62" s="32">
        <v>29.951000987670199</v>
      </c>
      <c r="AE62" s="32">
        <v>27.586396503902705</v>
      </c>
      <c r="AF62" s="32">
        <v>25.06480338001073</v>
      </c>
      <c r="AG62" s="32">
        <v>27.3701185889499</v>
      </c>
      <c r="AH62" s="32">
        <v>29.554350635450575</v>
      </c>
      <c r="AI62" s="32">
        <v>31.856543041697108</v>
      </c>
      <c r="AJ62" s="32">
        <v>32.877757132206</v>
      </c>
      <c r="AK62" s="32">
        <v>34.465071296688791</v>
      </c>
      <c r="AL62" s="32">
        <v>36.117412300617069</v>
      </c>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420"/>
      <c r="CY62" s="420"/>
      <c r="CZ62" s="420"/>
      <c r="DA62" s="420"/>
      <c r="DB62" s="420"/>
      <c r="DC62" s="420"/>
      <c r="DD62" s="420"/>
      <c r="DE62" s="420"/>
      <c r="DF62" s="420"/>
      <c r="DG62" s="420"/>
      <c r="DH62" s="420"/>
      <c r="DI62" s="420"/>
      <c r="DJ62" s="420"/>
      <c r="DK62" s="420"/>
      <c r="DL62" s="420"/>
      <c r="DM62" s="420"/>
      <c r="DN62" s="420"/>
      <c r="DO62" s="420"/>
      <c r="DP62" s="420"/>
      <c r="DQ62" s="420"/>
      <c r="DR62" s="420"/>
      <c r="DS62" s="420"/>
      <c r="DT62" s="420"/>
      <c r="DU62" s="420"/>
      <c r="DV62" s="420"/>
      <c r="DW62" s="420"/>
      <c r="DX62" s="420"/>
      <c r="DY62" s="420"/>
      <c r="DZ62" s="420"/>
      <c r="EA62" s="420"/>
    </row>
    <row r="63" spans="1:131">
      <c r="A63" s="420"/>
      <c r="B63" s="38" t="s">
        <v>339</v>
      </c>
      <c r="C63" s="121"/>
      <c r="D63" s="121"/>
      <c r="E63" s="121"/>
      <c r="F63" s="121"/>
      <c r="G63" s="121"/>
      <c r="H63" s="121"/>
      <c r="I63" s="121"/>
      <c r="J63" s="121"/>
      <c r="K63" s="121"/>
      <c r="L63" s="114"/>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420"/>
      <c r="CY63" s="420"/>
      <c r="CZ63" s="420"/>
      <c r="DA63" s="420"/>
      <c r="DB63" s="420"/>
      <c r="DC63" s="420"/>
      <c r="DD63" s="420"/>
      <c r="DE63" s="420"/>
      <c r="DF63" s="420"/>
      <c r="DG63" s="420"/>
      <c r="DH63" s="420"/>
      <c r="DI63" s="420"/>
      <c r="DJ63" s="420"/>
      <c r="DK63" s="420"/>
      <c r="DL63" s="420"/>
      <c r="DM63" s="420"/>
      <c r="DN63" s="420"/>
      <c r="DO63" s="420"/>
      <c r="DP63" s="420"/>
      <c r="DQ63" s="420"/>
      <c r="DR63" s="420"/>
      <c r="DS63" s="420"/>
      <c r="DT63" s="420"/>
      <c r="DU63" s="420"/>
      <c r="DV63" s="420"/>
      <c r="DW63" s="420"/>
      <c r="DX63" s="420"/>
      <c r="DY63" s="420"/>
      <c r="DZ63" s="420"/>
      <c r="EA63" s="420"/>
    </row>
    <row r="64" spans="1:131">
      <c r="A64" s="420"/>
      <c r="B64" s="420" t="s">
        <v>39</v>
      </c>
      <c r="C64" s="26">
        <v>1323.1990054702148</v>
      </c>
      <c r="D64" s="26">
        <v>-219.06619047619049</v>
      </c>
      <c r="E64" s="26">
        <v>-43.813238095238098</v>
      </c>
      <c r="F64" s="26">
        <v>-262.8794285714286</v>
      </c>
      <c r="G64" s="26">
        <v>-266.82791831113212</v>
      </c>
      <c r="H64" s="26">
        <v>959.79069541263198</v>
      </c>
      <c r="I64" s="26">
        <v>-1740.3457716984742</v>
      </c>
      <c r="J64" s="26">
        <v>-22.048885083560592</v>
      </c>
      <c r="K64" s="26">
        <v>-32.942534123507414</v>
      </c>
      <c r="L64" s="30">
        <v>120.76807387189056</v>
      </c>
      <c r="M64" s="26">
        <v>12.57042385623431</v>
      </c>
      <c r="N64" s="32">
        <v>54.194878425160141</v>
      </c>
      <c r="O64" s="32">
        <v>40.06424063748014</v>
      </c>
      <c r="P64" s="32">
        <v>37.321688024962988</v>
      </c>
      <c r="Q64" s="32">
        <v>21.425395777645043</v>
      </c>
      <c r="R64" s="32">
        <v>17.210783099604136</v>
      </c>
      <c r="S64" s="32">
        <v>13.350533427836325</v>
      </c>
      <c r="T64" s="32">
        <v>13.931177403321335</v>
      </c>
      <c r="U64" s="32">
        <v>20.277288677682826</v>
      </c>
      <c r="V64" s="32">
        <v>25.618762596990841</v>
      </c>
      <c r="W64" s="32">
        <v>41.794118828434861</v>
      </c>
      <c r="X64" s="32">
        <v>48.398712893892245</v>
      </c>
      <c r="Y64" s="32">
        <v>57.012707841963284</v>
      </c>
      <c r="Z64" s="32"/>
      <c r="AA64" s="32">
        <v>89.819489569695634</v>
      </c>
      <c r="AB64" s="32">
        <v>77.910880920981441</v>
      </c>
      <c r="AC64" s="32">
        <v>78.542597932438667</v>
      </c>
      <c r="AD64" s="32">
        <v>74.792187731853247</v>
      </c>
      <c r="AE64" s="32">
        <v>68.887412043911297</v>
      </c>
      <c r="AF64" s="32">
        <v>62.590611934188189</v>
      </c>
      <c r="AG64" s="32">
        <v>68.347333319194775</v>
      </c>
      <c r="AH64" s="32">
        <v>73.801691700707963</v>
      </c>
      <c r="AI64" s="32">
        <v>79.550614974214611</v>
      </c>
      <c r="AJ64" s="32">
        <v>82.100741295641981</v>
      </c>
      <c r="AK64" s="32">
        <v>86.064505278965925</v>
      </c>
      <c r="AL64" s="32">
        <v>90.190651133447261</v>
      </c>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420"/>
      <c r="CY64" s="420"/>
      <c r="CZ64" s="420"/>
      <c r="DA64" s="420"/>
      <c r="DB64" s="420"/>
      <c r="DC64" s="420"/>
      <c r="DD64" s="420"/>
      <c r="DE64" s="420"/>
      <c r="DF64" s="420"/>
      <c r="DG64" s="420"/>
      <c r="DH64" s="420"/>
      <c r="DI64" s="420"/>
      <c r="DJ64" s="420"/>
      <c r="DK64" s="420"/>
      <c r="DL64" s="420"/>
      <c r="DM64" s="420"/>
      <c r="DN64" s="420"/>
      <c r="DO64" s="420"/>
      <c r="DP64" s="420"/>
      <c r="DQ64" s="420"/>
      <c r="DR64" s="420"/>
      <c r="DS64" s="420"/>
      <c r="DT64" s="420"/>
      <c r="DU64" s="420"/>
      <c r="DV64" s="420"/>
      <c r="DW64" s="420"/>
      <c r="DX64" s="420"/>
      <c r="DY64" s="420"/>
      <c r="DZ64" s="420"/>
      <c r="EA64" s="420"/>
    </row>
    <row r="65" spans="1:131">
      <c r="A65" s="420"/>
      <c r="B65" s="420" t="s">
        <v>42</v>
      </c>
      <c r="C65" s="122">
        <v>0</v>
      </c>
      <c r="D65" s="122">
        <v>0</v>
      </c>
      <c r="E65" s="122">
        <v>0</v>
      </c>
      <c r="F65" s="122">
        <v>0</v>
      </c>
      <c r="G65" s="122">
        <v>0</v>
      </c>
      <c r="H65" s="122">
        <v>0</v>
      </c>
      <c r="I65" s="122">
        <v>0</v>
      </c>
      <c r="J65" s="122">
        <v>0</v>
      </c>
      <c r="K65" s="122">
        <v>0</v>
      </c>
      <c r="L65" s="123">
        <v>0</v>
      </c>
      <c r="M65" s="122">
        <v>0</v>
      </c>
      <c r="N65" s="122">
        <v>0</v>
      </c>
      <c r="O65" s="122">
        <v>0</v>
      </c>
      <c r="P65" s="122">
        <v>0</v>
      </c>
      <c r="Q65" s="122">
        <v>0</v>
      </c>
      <c r="R65" s="122">
        <v>0</v>
      </c>
      <c r="S65" s="122">
        <v>0</v>
      </c>
      <c r="T65" s="122">
        <v>0</v>
      </c>
      <c r="U65" s="122">
        <v>0</v>
      </c>
      <c r="V65" s="122">
        <v>0</v>
      </c>
      <c r="W65" s="122">
        <v>0</v>
      </c>
      <c r="X65" s="122">
        <v>0</v>
      </c>
      <c r="Y65" s="122">
        <v>0</v>
      </c>
      <c r="Z65" s="122"/>
      <c r="AA65" s="122">
        <v>0</v>
      </c>
      <c r="AB65" s="122">
        <v>0</v>
      </c>
      <c r="AC65" s="122">
        <v>0</v>
      </c>
      <c r="AD65" s="122">
        <v>0</v>
      </c>
      <c r="AE65" s="122">
        <v>0</v>
      </c>
      <c r="AF65" s="122">
        <v>0</v>
      </c>
      <c r="AG65" s="122">
        <v>0</v>
      </c>
      <c r="AH65" s="122">
        <v>0</v>
      </c>
      <c r="AI65" s="122">
        <v>0</v>
      </c>
      <c r="AJ65" s="122">
        <v>0</v>
      </c>
      <c r="AK65" s="122">
        <v>0</v>
      </c>
      <c r="AL65" s="122">
        <v>0</v>
      </c>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420"/>
      <c r="CY65" s="420"/>
      <c r="CZ65" s="420"/>
      <c r="DA65" s="420"/>
      <c r="DB65" s="420"/>
      <c r="DC65" s="420"/>
      <c r="DD65" s="420"/>
      <c r="DE65" s="420"/>
      <c r="DF65" s="420"/>
      <c r="DG65" s="420"/>
      <c r="DH65" s="420"/>
      <c r="DI65" s="420"/>
      <c r="DJ65" s="420"/>
      <c r="DK65" s="420"/>
      <c r="DL65" s="420"/>
      <c r="DM65" s="420"/>
      <c r="DN65" s="420"/>
      <c r="DO65" s="420"/>
      <c r="DP65" s="420"/>
      <c r="DQ65" s="420"/>
      <c r="DR65" s="420"/>
      <c r="DS65" s="420"/>
      <c r="DT65" s="420"/>
      <c r="DU65" s="420"/>
      <c r="DV65" s="420"/>
      <c r="DW65" s="420"/>
      <c r="DX65" s="420"/>
      <c r="DY65" s="420"/>
      <c r="DZ65" s="420"/>
      <c r="EA65" s="420"/>
    </row>
    <row r="66" spans="1:131">
      <c r="A66" s="420"/>
      <c r="B66" s="420" t="s">
        <v>45</v>
      </c>
      <c r="C66" s="122">
        <v>0</v>
      </c>
      <c r="D66" s="122">
        <v>0</v>
      </c>
      <c r="E66" s="122">
        <v>0</v>
      </c>
      <c r="F66" s="122">
        <v>0</v>
      </c>
      <c r="G66" s="122">
        <v>0</v>
      </c>
      <c r="H66" s="122">
        <v>0</v>
      </c>
      <c r="I66" s="122">
        <v>0</v>
      </c>
      <c r="J66" s="122">
        <v>0</v>
      </c>
      <c r="K66" s="122">
        <v>0</v>
      </c>
      <c r="L66" s="123">
        <v>0</v>
      </c>
      <c r="M66" s="122">
        <v>0</v>
      </c>
      <c r="N66" s="122">
        <v>0</v>
      </c>
      <c r="O66" s="122">
        <v>0</v>
      </c>
      <c r="P66" s="122">
        <v>0</v>
      </c>
      <c r="Q66" s="122">
        <v>0</v>
      </c>
      <c r="R66" s="122">
        <v>0</v>
      </c>
      <c r="S66" s="122">
        <v>0</v>
      </c>
      <c r="T66" s="122">
        <v>0</v>
      </c>
      <c r="U66" s="122">
        <v>0</v>
      </c>
      <c r="V66" s="122">
        <v>0</v>
      </c>
      <c r="W66" s="122">
        <v>0</v>
      </c>
      <c r="X66" s="122">
        <v>0</v>
      </c>
      <c r="Y66" s="122">
        <v>0</v>
      </c>
      <c r="Z66" s="122"/>
      <c r="AA66" s="122">
        <v>0</v>
      </c>
      <c r="AB66" s="122">
        <v>0</v>
      </c>
      <c r="AC66" s="122">
        <v>0</v>
      </c>
      <c r="AD66" s="122">
        <v>0</v>
      </c>
      <c r="AE66" s="122">
        <v>0</v>
      </c>
      <c r="AF66" s="122">
        <v>0</v>
      </c>
      <c r="AG66" s="122">
        <v>0</v>
      </c>
      <c r="AH66" s="122">
        <v>0</v>
      </c>
      <c r="AI66" s="122">
        <v>0</v>
      </c>
      <c r="AJ66" s="122">
        <v>0</v>
      </c>
      <c r="AK66" s="122">
        <v>0</v>
      </c>
      <c r="AL66" s="122">
        <v>0</v>
      </c>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420"/>
      <c r="CY66" s="420"/>
      <c r="CZ66" s="420"/>
      <c r="DA66" s="420"/>
      <c r="DB66" s="420"/>
      <c r="DC66" s="420"/>
      <c r="DD66" s="420"/>
      <c r="DE66" s="420"/>
      <c r="DF66" s="420"/>
      <c r="DG66" s="420"/>
      <c r="DH66" s="420"/>
      <c r="DI66" s="420"/>
      <c r="DJ66" s="420"/>
      <c r="DK66" s="420"/>
      <c r="DL66" s="420"/>
      <c r="DM66" s="420"/>
      <c r="DN66" s="420"/>
      <c r="DO66" s="420"/>
      <c r="DP66" s="420"/>
      <c r="DQ66" s="420"/>
      <c r="DR66" s="420"/>
      <c r="DS66" s="420"/>
      <c r="DT66" s="420"/>
      <c r="DU66" s="420"/>
      <c r="DV66" s="420"/>
      <c r="DW66" s="420"/>
      <c r="DX66" s="420"/>
      <c r="DY66" s="420"/>
      <c r="DZ66" s="420"/>
      <c r="EA66" s="420"/>
    </row>
    <row r="67" spans="1:131">
      <c r="A67" s="420"/>
      <c r="B67" s="420" t="s">
        <v>48</v>
      </c>
      <c r="C67" s="122">
        <v>0</v>
      </c>
      <c r="D67" s="122">
        <v>0</v>
      </c>
      <c r="E67" s="122">
        <v>0</v>
      </c>
      <c r="F67" s="122">
        <v>0</v>
      </c>
      <c r="G67" s="122">
        <v>0</v>
      </c>
      <c r="H67" s="122">
        <v>0</v>
      </c>
      <c r="I67" s="122">
        <v>0</v>
      </c>
      <c r="J67" s="122">
        <v>0</v>
      </c>
      <c r="K67" s="122">
        <v>0</v>
      </c>
      <c r="L67" s="123">
        <v>0</v>
      </c>
      <c r="M67" s="122">
        <v>0</v>
      </c>
      <c r="N67" s="122">
        <v>0</v>
      </c>
      <c r="O67" s="122">
        <v>0</v>
      </c>
      <c r="P67" s="122">
        <v>0</v>
      </c>
      <c r="Q67" s="122">
        <v>0</v>
      </c>
      <c r="R67" s="122">
        <v>0</v>
      </c>
      <c r="S67" s="122">
        <v>0</v>
      </c>
      <c r="T67" s="122">
        <v>0</v>
      </c>
      <c r="U67" s="122">
        <v>0</v>
      </c>
      <c r="V67" s="122">
        <v>0</v>
      </c>
      <c r="W67" s="122">
        <v>0</v>
      </c>
      <c r="X67" s="122">
        <v>0</v>
      </c>
      <c r="Y67" s="122">
        <v>0</v>
      </c>
      <c r="Z67" s="122"/>
      <c r="AA67" s="122">
        <v>0</v>
      </c>
      <c r="AB67" s="122">
        <v>0</v>
      </c>
      <c r="AC67" s="122">
        <v>0</v>
      </c>
      <c r="AD67" s="122">
        <v>0</v>
      </c>
      <c r="AE67" s="122">
        <v>0</v>
      </c>
      <c r="AF67" s="122">
        <v>0</v>
      </c>
      <c r="AG67" s="122">
        <v>0</v>
      </c>
      <c r="AH67" s="122">
        <v>0</v>
      </c>
      <c r="AI67" s="122">
        <v>0</v>
      </c>
      <c r="AJ67" s="122">
        <v>0</v>
      </c>
      <c r="AK67" s="122">
        <v>0</v>
      </c>
      <c r="AL67" s="122">
        <v>0</v>
      </c>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420"/>
      <c r="CY67" s="420"/>
      <c r="CZ67" s="420"/>
      <c r="DA67" s="420"/>
      <c r="DB67" s="420"/>
      <c r="DC67" s="420"/>
      <c r="DD67" s="420"/>
      <c r="DE67" s="420"/>
      <c r="DF67" s="420"/>
      <c r="DG67" s="420"/>
      <c r="DH67" s="420"/>
      <c r="DI67" s="420"/>
      <c r="DJ67" s="420"/>
      <c r="DK67" s="420"/>
      <c r="DL67" s="420"/>
      <c r="DM67" s="420"/>
      <c r="DN67" s="420"/>
      <c r="DO67" s="420"/>
      <c r="DP67" s="420"/>
      <c r="DQ67" s="420"/>
      <c r="DR67" s="420"/>
      <c r="DS67" s="420"/>
      <c r="DT67" s="420"/>
      <c r="DU67" s="420"/>
      <c r="DV67" s="420"/>
      <c r="DW67" s="420"/>
      <c r="DX67" s="420"/>
      <c r="DY67" s="420"/>
      <c r="DZ67" s="420"/>
      <c r="EA67" s="420"/>
    </row>
    <row r="68" spans="1:131">
      <c r="A68" s="420"/>
      <c r="B68" s="420" t="s">
        <v>51</v>
      </c>
      <c r="C68" s="122">
        <v>0</v>
      </c>
      <c r="D68" s="122">
        <v>0</v>
      </c>
      <c r="E68" s="122">
        <v>0</v>
      </c>
      <c r="F68" s="122">
        <v>0</v>
      </c>
      <c r="G68" s="122">
        <v>0</v>
      </c>
      <c r="H68" s="122">
        <v>0</v>
      </c>
      <c r="I68" s="122">
        <v>0</v>
      </c>
      <c r="J68" s="122">
        <v>0</v>
      </c>
      <c r="K68" s="122">
        <v>0</v>
      </c>
      <c r="L68" s="123">
        <v>0</v>
      </c>
      <c r="M68" s="122">
        <v>0</v>
      </c>
      <c r="N68" s="122">
        <v>0</v>
      </c>
      <c r="O68" s="122">
        <v>0</v>
      </c>
      <c r="P68" s="122">
        <v>0</v>
      </c>
      <c r="Q68" s="122">
        <v>0</v>
      </c>
      <c r="R68" s="122">
        <v>0</v>
      </c>
      <c r="S68" s="122">
        <v>0</v>
      </c>
      <c r="T68" s="122">
        <v>0</v>
      </c>
      <c r="U68" s="122">
        <v>0</v>
      </c>
      <c r="V68" s="122">
        <v>0</v>
      </c>
      <c r="W68" s="122">
        <v>0</v>
      </c>
      <c r="X68" s="122">
        <v>0</v>
      </c>
      <c r="Y68" s="122">
        <v>0</v>
      </c>
      <c r="Z68" s="122"/>
      <c r="AA68" s="122">
        <v>0</v>
      </c>
      <c r="AB68" s="122">
        <v>0</v>
      </c>
      <c r="AC68" s="122">
        <v>0</v>
      </c>
      <c r="AD68" s="122">
        <v>0</v>
      </c>
      <c r="AE68" s="122">
        <v>0</v>
      </c>
      <c r="AF68" s="122">
        <v>0</v>
      </c>
      <c r="AG68" s="122">
        <v>0</v>
      </c>
      <c r="AH68" s="122">
        <v>0</v>
      </c>
      <c r="AI68" s="122">
        <v>0</v>
      </c>
      <c r="AJ68" s="122">
        <v>0</v>
      </c>
      <c r="AK68" s="122">
        <v>0</v>
      </c>
      <c r="AL68" s="122">
        <v>0</v>
      </c>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420"/>
      <c r="CY68" s="420"/>
      <c r="CZ68" s="420"/>
      <c r="DA68" s="420"/>
      <c r="DB68" s="420"/>
      <c r="DC68" s="420"/>
      <c r="DD68" s="420"/>
      <c r="DE68" s="420"/>
      <c r="DF68" s="420"/>
      <c r="DG68" s="420"/>
      <c r="DH68" s="420"/>
      <c r="DI68" s="420"/>
      <c r="DJ68" s="420"/>
      <c r="DK68" s="420"/>
      <c r="DL68" s="420"/>
      <c r="DM68" s="420"/>
      <c r="DN68" s="420"/>
      <c r="DO68" s="420"/>
      <c r="DP68" s="420"/>
      <c r="DQ68" s="420"/>
      <c r="DR68" s="420"/>
      <c r="DS68" s="420"/>
      <c r="DT68" s="420"/>
      <c r="DU68" s="420"/>
      <c r="DV68" s="420"/>
      <c r="DW68" s="420"/>
      <c r="DX68" s="420"/>
      <c r="DY68" s="420"/>
      <c r="DZ68" s="420"/>
      <c r="EA68" s="420"/>
    </row>
    <row r="69" spans="1:131">
      <c r="A69" s="420"/>
      <c r="B69" s="420" t="s">
        <v>54</v>
      </c>
      <c r="C69" s="122">
        <v>0</v>
      </c>
      <c r="D69" s="122">
        <v>0</v>
      </c>
      <c r="E69" s="122">
        <v>0</v>
      </c>
      <c r="F69" s="122">
        <v>0</v>
      </c>
      <c r="G69" s="122">
        <v>0</v>
      </c>
      <c r="H69" s="122">
        <v>0</v>
      </c>
      <c r="I69" s="122">
        <v>0</v>
      </c>
      <c r="J69" s="122">
        <v>0</v>
      </c>
      <c r="K69" s="122">
        <v>0</v>
      </c>
      <c r="L69" s="123">
        <v>0</v>
      </c>
      <c r="M69" s="122">
        <v>0</v>
      </c>
      <c r="N69" s="122">
        <v>0</v>
      </c>
      <c r="O69" s="122">
        <v>0</v>
      </c>
      <c r="P69" s="122">
        <v>0</v>
      </c>
      <c r="Q69" s="122">
        <v>0</v>
      </c>
      <c r="R69" s="122">
        <v>0</v>
      </c>
      <c r="S69" s="122">
        <v>0</v>
      </c>
      <c r="T69" s="122">
        <v>0</v>
      </c>
      <c r="U69" s="122">
        <v>0</v>
      </c>
      <c r="V69" s="122">
        <v>0</v>
      </c>
      <c r="W69" s="122">
        <v>0</v>
      </c>
      <c r="X69" s="122">
        <v>0</v>
      </c>
      <c r="Y69" s="122">
        <v>0</v>
      </c>
      <c r="Z69" s="122"/>
      <c r="AA69" s="122">
        <v>0</v>
      </c>
      <c r="AB69" s="122">
        <v>0</v>
      </c>
      <c r="AC69" s="122">
        <v>0</v>
      </c>
      <c r="AD69" s="122">
        <v>0</v>
      </c>
      <c r="AE69" s="122">
        <v>0</v>
      </c>
      <c r="AF69" s="122">
        <v>0</v>
      </c>
      <c r="AG69" s="122">
        <v>0</v>
      </c>
      <c r="AH69" s="122">
        <v>0</v>
      </c>
      <c r="AI69" s="122">
        <v>0</v>
      </c>
      <c r="AJ69" s="122">
        <v>0</v>
      </c>
      <c r="AK69" s="122">
        <v>0</v>
      </c>
      <c r="AL69" s="122">
        <v>0</v>
      </c>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420"/>
      <c r="CY69" s="420"/>
      <c r="CZ69" s="420"/>
      <c r="DA69" s="420"/>
      <c r="DB69" s="420"/>
      <c r="DC69" s="420"/>
      <c r="DD69" s="420"/>
      <c r="DE69" s="420"/>
      <c r="DF69" s="420"/>
      <c r="DG69" s="420"/>
      <c r="DH69" s="420"/>
      <c r="DI69" s="420"/>
      <c r="DJ69" s="420"/>
      <c r="DK69" s="420"/>
      <c r="DL69" s="420"/>
      <c r="DM69" s="420"/>
      <c r="DN69" s="420"/>
      <c r="DO69" s="420"/>
      <c r="DP69" s="420"/>
      <c r="DQ69" s="420"/>
      <c r="DR69" s="420"/>
      <c r="DS69" s="420"/>
      <c r="DT69" s="420"/>
      <c r="DU69" s="420"/>
      <c r="DV69" s="420"/>
      <c r="DW69" s="420"/>
      <c r="DX69" s="420"/>
      <c r="DY69" s="420"/>
      <c r="DZ69" s="420"/>
      <c r="EA69" s="420"/>
    </row>
    <row r="70" spans="1:131">
      <c r="A70" s="420"/>
      <c r="B70" s="420" t="s">
        <v>57</v>
      </c>
      <c r="C70" s="122">
        <v>0</v>
      </c>
      <c r="D70" s="122">
        <v>0</v>
      </c>
      <c r="E70" s="122">
        <v>0</v>
      </c>
      <c r="F70" s="122">
        <v>0</v>
      </c>
      <c r="G70" s="122">
        <v>0</v>
      </c>
      <c r="H70" s="122">
        <v>0</v>
      </c>
      <c r="I70" s="122">
        <v>0</v>
      </c>
      <c r="J70" s="122">
        <v>0</v>
      </c>
      <c r="K70" s="122">
        <v>0</v>
      </c>
      <c r="L70" s="123">
        <v>0</v>
      </c>
      <c r="M70" s="122">
        <v>0</v>
      </c>
      <c r="N70" s="122">
        <v>0</v>
      </c>
      <c r="O70" s="122">
        <v>0</v>
      </c>
      <c r="P70" s="122">
        <v>0</v>
      </c>
      <c r="Q70" s="122">
        <v>0</v>
      </c>
      <c r="R70" s="122">
        <v>0</v>
      </c>
      <c r="S70" s="122">
        <v>0</v>
      </c>
      <c r="T70" s="122">
        <v>0</v>
      </c>
      <c r="U70" s="122">
        <v>0</v>
      </c>
      <c r="V70" s="122">
        <v>0</v>
      </c>
      <c r="W70" s="122">
        <v>0</v>
      </c>
      <c r="X70" s="122">
        <v>0</v>
      </c>
      <c r="Y70" s="122">
        <v>0</v>
      </c>
      <c r="Z70" s="122"/>
      <c r="AA70" s="122">
        <v>0</v>
      </c>
      <c r="AB70" s="122">
        <v>0</v>
      </c>
      <c r="AC70" s="122">
        <v>0</v>
      </c>
      <c r="AD70" s="122">
        <v>0</v>
      </c>
      <c r="AE70" s="122">
        <v>0</v>
      </c>
      <c r="AF70" s="122">
        <v>0</v>
      </c>
      <c r="AG70" s="122">
        <v>0</v>
      </c>
      <c r="AH70" s="122">
        <v>0</v>
      </c>
      <c r="AI70" s="122">
        <v>0</v>
      </c>
      <c r="AJ70" s="122">
        <v>0</v>
      </c>
      <c r="AK70" s="122">
        <v>0</v>
      </c>
      <c r="AL70" s="122">
        <v>0</v>
      </c>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420"/>
      <c r="CY70" s="420"/>
      <c r="CZ70" s="420"/>
      <c r="DA70" s="420"/>
      <c r="DB70" s="420"/>
      <c r="DC70" s="420"/>
      <c r="DD70" s="420"/>
      <c r="DE70" s="420"/>
      <c r="DF70" s="420"/>
      <c r="DG70" s="420"/>
      <c r="DH70" s="420"/>
      <c r="DI70" s="420"/>
      <c r="DJ70" s="420"/>
      <c r="DK70" s="420"/>
      <c r="DL70" s="420"/>
      <c r="DM70" s="420"/>
      <c r="DN70" s="420"/>
      <c r="DO70" s="420"/>
      <c r="DP70" s="420"/>
      <c r="DQ70" s="420"/>
      <c r="DR70" s="420"/>
      <c r="DS70" s="420"/>
      <c r="DT70" s="420"/>
      <c r="DU70" s="420"/>
      <c r="DV70" s="420"/>
      <c r="DW70" s="420"/>
      <c r="DX70" s="420"/>
      <c r="DY70" s="420"/>
      <c r="DZ70" s="420"/>
      <c r="EA70" s="420"/>
    </row>
    <row r="71" spans="1:131">
      <c r="A71" s="420"/>
      <c r="B71" s="420" t="s">
        <v>60</v>
      </c>
      <c r="C71" s="122">
        <v>0</v>
      </c>
      <c r="D71" s="122">
        <v>0</v>
      </c>
      <c r="E71" s="122">
        <v>0</v>
      </c>
      <c r="F71" s="122">
        <v>0</v>
      </c>
      <c r="G71" s="122">
        <v>0</v>
      </c>
      <c r="H71" s="122">
        <v>0</v>
      </c>
      <c r="I71" s="122">
        <v>0</v>
      </c>
      <c r="J71" s="122">
        <v>0</v>
      </c>
      <c r="K71" s="122">
        <v>0</v>
      </c>
      <c r="L71" s="123">
        <v>0</v>
      </c>
      <c r="M71" s="122">
        <v>0</v>
      </c>
      <c r="N71" s="122">
        <v>0</v>
      </c>
      <c r="O71" s="122">
        <v>0</v>
      </c>
      <c r="P71" s="122">
        <v>0</v>
      </c>
      <c r="Q71" s="122">
        <v>0</v>
      </c>
      <c r="R71" s="122">
        <v>0</v>
      </c>
      <c r="S71" s="122">
        <v>0</v>
      </c>
      <c r="T71" s="122">
        <v>0</v>
      </c>
      <c r="U71" s="122">
        <v>0</v>
      </c>
      <c r="V71" s="122">
        <v>0</v>
      </c>
      <c r="W71" s="122">
        <v>0</v>
      </c>
      <c r="X71" s="122">
        <v>0</v>
      </c>
      <c r="Y71" s="122">
        <v>0</v>
      </c>
      <c r="Z71" s="122"/>
      <c r="AA71" s="122">
        <v>0</v>
      </c>
      <c r="AB71" s="122">
        <v>0</v>
      </c>
      <c r="AC71" s="122">
        <v>0</v>
      </c>
      <c r="AD71" s="122">
        <v>0</v>
      </c>
      <c r="AE71" s="122">
        <v>0</v>
      </c>
      <c r="AF71" s="122">
        <v>0</v>
      </c>
      <c r="AG71" s="122">
        <v>0</v>
      </c>
      <c r="AH71" s="122">
        <v>0</v>
      </c>
      <c r="AI71" s="122">
        <v>0</v>
      </c>
      <c r="AJ71" s="122">
        <v>0</v>
      </c>
      <c r="AK71" s="122">
        <v>0</v>
      </c>
      <c r="AL71" s="122">
        <v>0</v>
      </c>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420"/>
      <c r="CY71" s="420"/>
      <c r="CZ71" s="420"/>
      <c r="DA71" s="420"/>
      <c r="DB71" s="420"/>
      <c r="DC71" s="420"/>
      <c r="DD71" s="420"/>
      <c r="DE71" s="420"/>
      <c r="DF71" s="420"/>
      <c r="DG71" s="420"/>
      <c r="DH71" s="420"/>
      <c r="DI71" s="420"/>
      <c r="DJ71" s="420"/>
      <c r="DK71" s="420"/>
      <c r="DL71" s="420"/>
      <c r="DM71" s="420"/>
      <c r="DN71" s="420"/>
      <c r="DO71" s="420"/>
      <c r="DP71" s="420"/>
      <c r="DQ71" s="420"/>
      <c r="DR71" s="420"/>
      <c r="DS71" s="420"/>
      <c r="DT71" s="420"/>
      <c r="DU71" s="420"/>
      <c r="DV71" s="420"/>
      <c r="DW71" s="420"/>
      <c r="DX71" s="420"/>
      <c r="DY71" s="420"/>
      <c r="DZ71" s="420"/>
      <c r="EA71" s="420"/>
    </row>
    <row r="72" spans="1:131">
      <c r="A72" s="420"/>
      <c r="B72" s="420" t="s">
        <v>63</v>
      </c>
      <c r="C72" s="122">
        <v>0</v>
      </c>
      <c r="D72" s="122">
        <v>0</v>
      </c>
      <c r="E72" s="122">
        <v>0</v>
      </c>
      <c r="F72" s="122">
        <v>0</v>
      </c>
      <c r="G72" s="122">
        <v>0</v>
      </c>
      <c r="H72" s="122">
        <v>0</v>
      </c>
      <c r="I72" s="122">
        <v>0</v>
      </c>
      <c r="J72" s="122">
        <v>0</v>
      </c>
      <c r="K72" s="122">
        <v>0</v>
      </c>
      <c r="L72" s="123">
        <v>0</v>
      </c>
      <c r="M72" s="122">
        <v>0</v>
      </c>
      <c r="N72" s="122">
        <v>0</v>
      </c>
      <c r="O72" s="122">
        <v>0</v>
      </c>
      <c r="P72" s="122">
        <v>0</v>
      </c>
      <c r="Q72" s="122">
        <v>0</v>
      </c>
      <c r="R72" s="122">
        <v>0</v>
      </c>
      <c r="S72" s="122">
        <v>0</v>
      </c>
      <c r="T72" s="122">
        <v>0</v>
      </c>
      <c r="U72" s="122">
        <v>0</v>
      </c>
      <c r="V72" s="122">
        <v>0</v>
      </c>
      <c r="W72" s="122">
        <v>0</v>
      </c>
      <c r="X72" s="122">
        <v>0</v>
      </c>
      <c r="Y72" s="122">
        <v>0</v>
      </c>
      <c r="Z72" s="122"/>
      <c r="AA72" s="122">
        <v>0</v>
      </c>
      <c r="AB72" s="122">
        <v>0</v>
      </c>
      <c r="AC72" s="122">
        <v>0</v>
      </c>
      <c r="AD72" s="122">
        <v>0</v>
      </c>
      <c r="AE72" s="122">
        <v>0</v>
      </c>
      <c r="AF72" s="122">
        <v>0</v>
      </c>
      <c r="AG72" s="122">
        <v>0</v>
      </c>
      <c r="AH72" s="122">
        <v>0</v>
      </c>
      <c r="AI72" s="122">
        <v>0</v>
      </c>
      <c r="AJ72" s="122">
        <v>0</v>
      </c>
      <c r="AK72" s="122">
        <v>0</v>
      </c>
      <c r="AL72" s="122">
        <v>0</v>
      </c>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420"/>
      <c r="CY72" s="420"/>
      <c r="CZ72" s="420"/>
      <c r="DA72" s="420"/>
      <c r="DB72" s="420"/>
      <c r="DC72" s="420"/>
      <c r="DD72" s="420"/>
      <c r="DE72" s="420"/>
      <c r="DF72" s="420"/>
      <c r="DG72" s="420"/>
      <c r="DH72" s="420"/>
      <c r="DI72" s="420"/>
      <c r="DJ72" s="420"/>
      <c r="DK72" s="420"/>
      <c r="DL72" s="420"/>
      <c r="DM72" s="420"/>
      <c r="DN72" s="420"/>
      <c r="DO72" s="420"/>
      <c r="DP72" s="420"/>
      <c r="DQ72" s="420"/>
      <c r="DR72" s="420"/>
      <c r="DS72" s="420"/>
      <c r="DT72" s="420"/>
      <c r="DU72" s="420"/>
      <c r="DV72" s="420"/>
      <c r="DW72" s="420"/>
      <c r="DX72" s="420"/>
      <c r="DY72" s="420"/>
      <c r="DZ72" s="420"/>
      <c r="EA72" s="420"/>
    </row>
    <row r="73" spans="1:131">
      <c r="A73" s="420"/>
      <c r="B73" s="420" t="s">
        <v>66</v>
      </c>
      <c r="C73" s="122">
        <v>0</v>
      </c>
      <c r="D73" s="122">
        <v>0</v>
      </c>
      <c r="E73" s="122">
        <v>0</v>
      </c>
      <c r="F73" s="122">
        <v>0</v>
      </c>
      <c r="G73" s="122">
        <v>0</v>
      </c>
      <c r="H73" s="122">
        <v>0</v>
      </c>
      <c r="I73" s="122">
        <v>0</v>
      </c>
      <c r="J73" s="122">
        <v>0</v>
      </c>
      <c r="K73" s="122">
        <v>0</v>
      </c>
      <c r="L73" s="123">
        <v>0</v>
      </c>
      <c r="M73" s="122">
        <v>0</v>
      </c>
      <c r="N73" s="122">
        <v>0</v>
      </c>
      <c r="O73" s="122">
        <v>0</v>
      </c>
      <c r="P73" s="122">
        <v>0</v>
      </c>
      <c r="Q73" s="122">
        <v>0</v>
      </c>
      <c r="R73" s="122">
        <v>0</v>
      </c>
      <c r="S73" s="122">
        <v>0</v>
      </c>
      <c r="T73" s="122">
        <v>0</v>
      </c>
      <c r="U73" s="122">
        <v>0</v>
      </c>
      <c r="V73" s="122">
        <v>0</v>
      </c>
      <c r="W73" s="122">
        <v>0</v>
      </c>
      <c r="X73" s="122">
        <v>0</v>
      </c>
      <c r="Y73" s="122">
        <v>0</v>
      </c>
      <c r="Z73" s="122"/>
      <c r="AA73" s="122">
        <v>0</v>
      </c>
      <c r="AB73" s="122">
        <v>0</v>
      </c>
      <c r="AC73" s="122">
        <v>0</v>
      </c>
      <c r="AD73" s="122">
        <v>0</v>
      </c>
      <c r="AE73" s="122">
        <v>0</v>
      </c>
      <c r="AF73" s="122">
        <v>0</v>
      </c>
      <c r="AG73" s="122">
        <v>0</v>
      </c>
      <c r="AH73" s="122">
        <v>0</v>
      </c>
      <c r="AI73" s="122">
        <v>0</v>
      </c>
      <c r="AJ73" s="122">
        <v>0</v>
      </c>
      <c r="AK73" s="122">
        <v>0</v>
      </c>
      <c r="AL73" s="122">
        <v>0</v>
      </c>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420"/>
      <c r="CY73" s="420"/>
      <c r="CZ73" s="420"/>
      <c r="DA73" s="420"/>
      <c r="DB73" s="420"/>
      <c r="DC73" s="420"/>
      <c r="DD73" s="420"/>
      <c r="DE73" s="420"/>
      <c r="DF73" s="420"/>
      <c r="DG73" s="420"/>
      <c r="DH73" s="420"/>
      <c r="DI73" s="420"/>
      <c r="DJ73" s="420"/>
      <c r="DK73" s="420"/>
      <c r="DL73" s="420"/>
      <c r="DM73" s="420"/>
      <c r="DN73" s="420"/>
      <c r="DO73" s="420"/>
      <c r="DP73" s="420"/>
      <c r="DQ73" s="420"/>
      <c r="DR73" s="420"/>
      <c r="DS73" s="420"/>
      <c r="DT73" s="420"/>
      <c r="DU73" s="420"/>
      <c r="DV73" s="420"/>
      <c r="DW73" s="420"/>
      <c r="DX73" s="420"/>
      <c r="DY73" s="420"/>
      <c r="DZ73" s="420"/>
      <c r="EA73" s="420"/>
    </row>
    <row r="74" spans="1:131">
      <c r="A74" s="420"/>
      <c r="B74" s="420" t="s">
        <v>69</v>
      </c>
      <c r="C74" s="122">
        <v>0</v>
      </c>
      <c r="D74" s="122">
        <v>0</v>
      </c>
      <c r="E74" s="122">
        <v>0</v>
      </c>
      <c r="F74" s="122">
        <v>0</v>
      </c>
      <c r="G74" s="122">
        <v>0</v>
      </c>
      <c r="H74" s="122">
        <v>0</v>
      </c>
      <c r="I74" s="122">
        <v>0</v>
      </c>
      <c r="J74" s="122">
        <v>0</v>
      </c>
      <c r="K74" s="122">
        <v>0</v>
      </c>
      <c r="L74" s="123">
        <v>0</v>
      </c>
      <c r="M74" s="122">
        <v>0</v>
      </c>
      <c r="N74" s="122">
        <v>0</v>
      </c>
      <c r="O74" s="122">
        <v>0</v>
      </c>
      <c r="P74" s="122">
        <v>0</v>
      </c>
      <c r="Q74" s="122">
        <v>0</v>
      </c>
      <c r="R74" s="122">
        <v>0</v>
      </c>
      <c r="S74" s="122">
        <v>0</v>
      </c>
      <c r="T74" s="122">
        <v>0</v>
      </c>
      <c r="U74" s="122">
        <v>0</v>
      </c>
      <c r="V74" s="122">
        <v>0</v>
      </c>
      <c r="W74" s="122">
        <v>0</v>
      </c>
      <c r="X74" s="122">
        <v>0</v>
      </c>
      <c r="Y74" s="122">
        <v>0</v>
      </c>
      <c r="Z74" s="122"/>
      <c r="AA74" s="122">
        <v>0</v>
      </c>
      <c r="AB74" s="122">
        <v>0</v>
      </c>
      <c r="AC74" s="122">
        <v>0</v>
      </c>
      <c r="AD74" s="122">
        <v>0</v>
      </c>
      <c r="AE74" s="122">
        <v>0</v>
      </c>
      <c r="AF74" s="122">
        <v>0</v>
      </c>
      <c r="AG74" s="122">
        <v>0</v>
      </c>
      <c r="AH74" s="122">
        <v>0</v>
      </c>
      <c r="AI74" s="122">
        <v>0</v>
      </c>
      <c r="AJ74" s="122">
        <v>0</v>
      </c>
      <c r="AK74" s="122">
        <v>0</v>
      </c>
      <c r="AL74" s="122">
        <v>0</v>
      </c>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420"/>
      <c r="CY74" s="420"/>
      <c r="CZ74" s="420"/>
      <c r="DA74" s="420"/>
      <c r="DB74" s="420"/>
      <c r="DC74" s="420"/>
      <c r="DD74" s="420"/>
      <c r="DE74" s="420"/>
      <c r="DF74" s="420"/>
      <c r="DG74" s="420"/>
      <c r="DH74" s="420"/>
      <c r="DI74" s="420"/>
      <c r="DJ74" s="420"/>
      <c r="DK74" s="420"/>
      <c r="DL74" s="420"/>
      <c r="DM74" s="420"/>
      <c r="DN74" s="420"/>
      <c r="DO74" s="420"/>
      <c r="DP74" s="420"/>
      <c r="DQ74" s="420"/>
      <c r="DR74" s="420"/>
      <c r="DS74" s="420"/>
      <c r="DT74" s="420"/>
      <c r="DU74" s="420"/>
      <c r="DV74" s="420"/>
      <c r="DW74" s="420"/>
      <c r="DX74" s="420"/>
      <c r="DY74" s="420"/>
      <c r="DZ74" s="420"/>
      <c r="EA74" s="420"/>
    </row>
    <row r="75" spans="1:131">
      <c r="A75" s="420"/>
      <c r="B75" s="420" t="s">
        <v>72</v>
      </c>
      <c r="C75" s="122">
        <v>0</v>
      </c>
      <c r="D75" s="122">
        <v>0</v>
      </c>
      <c r="E75" s="122">
        <v>0</v>
      </c>
      <c r="F75" s="122">
        <v>0</v>
      </c>
      <c r="G75" s="122">
        <v>0</v>
      </c>
      <c r="H75" s="122">
        <v>0</v>
      </c>
      <c r="I75" s="122">
        <v>0</v>
      </c>
      <c r="J75" s="122">
        <v>0</v>
      </c>
      <c r="K75" s="122">
        <v>0</v>
      </c>
      <c r="L75" s="123">
        <v>0</v>
      </c>
      <c r="M75" s="122">
        <v>0</v>
      </c>
      <c r="N75" s="122">
        <v>0</v>
      </c>
      <c r="O75" s="122">
        <v>0</v>
      </c>
      <c r="P75" s="122">
        <v>0</v>
      </c>
      <c r="Q75" s="122">
        <v>0</v>
      </c>
      <c r="R75" s="122">
        <v>0</v>
      </c>
      <c r="S75" s="122">
        <v>0</v>
      </c>
      <c r="T75" s="122">
        <v>0</v>
      </c>
      <c r="U75" s="122">
        <v>0</v>
      </c>
      <c r="V75" s="122">
        <v>0</v>
      </c>
      <c r="W75" s="122">
        <v>0</v>
      </c>
      <c r="X75" s="122">
        <v>0</v>
      </c>
      <c r="Y75" s="122">
        <v>0</v>
      </c>
      <c r="Z75" s="122"/>
      <c r="AA75" s="122">
        <v>0</v>
      </c>
      <c r="AB75" s="122">
        <v>0</v>
      </c>
      <c r="AC75" s="122">
        <v>0</v>
      </c>
      <c r="AD75" s="122">
        <v>0</v>
      </c>
      <c r="AE75" s="122">
        <v>0</v>
      </c>
      <c r="AF75" s="122">
        <v>0</v>
      </c>
      <c r="AG75" s="122">
        <v>0</v>
      </c>
      <c r="AH75" s="122">
        <v>0</v>
      </c>
      <c r="AI75" s="122">
        <v>0</v>
      </c>
      <c r="AJ75" s="122">
        <v>0</v>
      </c>
      <c r="AK75" s="122">
        <v>0</v>
      </c>
      <c r="AL75" s="122">
        <v>0</v>
      </c>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420"/>
      <c r="CY75" s="420"/>
      <c r="CZ75" s="420"/>
      <c r="DA75" s="420"/>
      <c r="DB75" s="420"/>
      <c r="DC75" s="420"/>
      <c r="DD75" s="420"/>
      <c r="DE75" s="420"/>
      <c r="DF75" s="420"/>
      <c r="DG75" s="420"/>
      <c r="DH75" s="420"/>
      <c r="DI75" s="420"/>
      <c r="DJ75" s="420"/>
      <c r="DK75" s="420"/>
      <c r="DL75" s="420"/>
      <c r="DM75" s="420"/>
      <c r="DN75" s="420"/>
      <c r="DO75" s="420"/>
      <c r="DP75" s="420"/>
      <c r="DQ75" s="420"/>
      <c r="DR75" s="420"/>
      <c r="DS75" s="420"/>
      <c r="DT75" s="420"/>
      <c r="DU75" s="420"/>
      <c r="DV75" s="420"/>
      <c r="DW75" s="420"/>
      <c r="DX75" s="420"/>
      <c r="DY75" s="420"/>
      <c r="DZ75" s="420"/>
      <c r="EA75" s="420"/>
    </row>
    <row r="76" spans="1:131">
      <c r="A76" s="420"/>
      <c r="B76" s="420" t="s">
        <v>75</v>
      </c>
      <c r="C76" s="122">
        <v>0</v>
      </c>
      <c r="D76" s="122">
        <v>0</v>
      </c>
      <c r="E76" s="122">
        <v>0</v>
      </c>
      <c r="F76" s="122">
        <v>0</v>
      </c>
      <c r="G76" s="122">
        <v>0</v>
      </c>
      <c r="H76" s="122">
        <v>0</v>
      </c>
      <c r="I76" s="122">
        <v>0</v>
      </c>
      <c r="J76" s="122">
        <v>0</v>
      </c>
      <c r="K76" s="122">
        <v>0</v>
      </c>
      <c r="L76" s="123">
        <v>0</v>
      </c>
      <c r="M76" s="122">
        <v>0</v>
      </c>
      <c r="N76" s="122">
        <v>0</v>
      </c>
      <c r="O76" s="122">
        <v>0</v>
      </c>
      <c r="P76" s="122">
        <v>0</v>
      </c>
      <c r="Q76" s="122">
        <v>0</v>
      </c>
      <c r="R76" s="122">
        <v>0</v>
      </c>
      <c r="S76" s="122">
        <v>0</v>
      </c>
      <c r="T76" s="122">
        <v>0</v>
      </c>
      <c r="U76" s="122">
        <v>0</v>
      </c>
      <c r="V76" s="122">
        <v>0</v>
      </c>
      <c r="W76" s="122">
        <v>0</v>
      </c>
      <c r="X76" s="122">
        <v>0</v>
      </c>
      <c r="Y76" s="122">
        <v>0</v>
      </c>
      <c r="Z76" s="122"/>
      <c r="AA76" s="122">
        <v>0</v>
      </c>
      <c r="AB76" s="122">
        <v>0</v>
      </c>
      <c r="AC76" s="122">
        <v>0</v>
      </c>
      <c r="AD76" s="122">
        <v>0</v>
      </c>
      <c r="AE76" s="122">
        <v>0</v>
      </c>
      <c r="AF76" s="122">
        <v>0</v>
      </c>
      <c r="AG76" s="122">
        <v>0</v>
      </c>
      <c r="AH76" s="122">
        <v>0</v>
      </c>
      <c r="AI76" s="122">
        <v>0</v>
      </c>
      <c r="AJ76" s="122">
        <v>0</v>
      </c>
      <c r="AK76" s="122">
        <v>0</v>
      </c>
      <c r="AL76" s="122">
        <v>0</v>
      </c>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420"/>
      <c r="CY76" s="420"/>
      <c r="CZ76" s="420"/>
      <c r="DA76" s="420"/>
      <c r="DB76" s="420"/>
      <c r="DC76" s="420"/>
      <c r="DD76" s="420"/>
      <c r="DE76" s="420"/>
      <c r="DF76" s="420"/>
      <c r="DG76" s="420"/>
      <c r="DH76" s="420"/>
      <c r="DI76" s="420"/>
      <c r="DJ76" s="420"/>
      <c r="DK76" s="420"/>
      <c r="DL76" s="420"/>
      <c r="DM76" s="420"/>
      <c r="DN76" s="420"/>
      <c r="DO76" s="420"/>
      <c r="DP76" s="420"/>
      <c r="DQ76" s="420"/>
      <c r="DR76" s="420"/>
      <c r="DS76" s="420"/>
      <c r="DT76" s="420"/>
      <c r="DU76" s="420"/>
      <c r="DV76" s="420"/>
      <c r="DW76" s="420"/>
      <c r="DX76" s="420"/>
      <c r="DY76" s="420"/>
      <c r="DZ76" s="420"/>
      <c r="EA76" s="420"/>
    </row>
    <row r="77" spans="1:131">
      <c r="A77" s="420"/>
      <c r="B77" s="420" t="s">
        <v>78</v>
      </c>
      <c r="C77" s="122">
        <v>0</v>
      </c>
      <c r="D77" s="122">
        <v>0</v>
      </c>
      <c r="E77" s="122">
        <v>0</v>
      </c>
      <c r="F77" s="122">
        <v>0</v>
      </c>
      <c r="G77" s="122">
        <v>0</v>
      </c>
      <c r="H77" s="122">
        <v>0</v>
      </c>
      <c r="I77" s="122">
        <v>0</v>
      </c>
      <c r="J77" s="122">
        <v>0</v>
      </c>
      <c r="K77" s="122">
        <v>0</v>
      </c>
      <c r="L77" s="123">
        <v>0</v>
      </c>
      <c r="M77" s="122">
        <v>0</v>
      </c>
      <c r="N77" s="122">
        <v>0</v>
      </c>
      <c r="O77" s="122">
        <v>0</v>
      </c>
      <c r="P77" s="122">
        <v>0</v>
      </c>
      <c r="Q77" s="122">
        <v>0</v>
      </c>
      <c r="R77" s="122">
        <v>0</v>
      </c>
      <c r="S77" s="122">
        <v>0</v>
      </c>
      <c r="T77" s="122">
        <v>0</v>
      </c>
      <c r="U77" s="122">
        <v>0</v>
      </c>
      <c r="V77" s="122">
        <v>0</v>
      </c>
      <c r="W77" s="122">
        <v>0</v>
      </c>
      <c r="X77" s="122">
        <v>0</v>
      </c>
      <c r="Y77" s="122">
        <v>0</v>
      </c>
      <c r="Z77" s="122"/>
      <c r="AA77" s="122">
        <v>0</v>
      </c>
      <c r="AB77" s="122">
        <v>0</v>
      </c>
      <c r="AC77" s="122">
        <v>0</v>
      </c>
      <c r="AD77" s="122">
        <v>0</v>
      </c>
      <c r="AE77" s="122">
        <v>0</v>
      </c>
      <c r="AF77" s="122">
        <v>0</v>
      </c>
      <c r="AG77" s="122">
        <v>0</v>
      </c>
      <c r="AH77" s="122">
        <v>0</v>
      </c>
      <c r="AI77" s="122">
        <v>0</v>
      </c>
      <c r="AJ77" s="122">
        <v>0</v>
      </c>
      <c r="AK77" s="122">
        <v>0</v>
      </c>
      <c r="AL77" s="122">
        <v>0</v>
      </c>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420"/>
      <c r="CY77" s="420"/>
      <c r="CZ77" s="420"/>
      <c r="DA77" s="420"/>
      <c r="DB77" s="420"/>
      <c r="DC77" s="420"/>
      <c r="DD77" s="420"/>
      <c r="DE77" s="420"/>
      <c r="DF77" s="420"/>
      <c r="DG77" s="420"/>
      <c r="DH77" s="420"/>
      <c r="DI77" s="420"/>
      <c r="DJ77" s="420"/>
      <c r="DK77" s="420"/>
      <c r="DL77" s="420"/>
      <c r="DM77" s="420"/>
      <c r="DN77" s="420"/>
      <c r="DO77" s="420"/>
      <c r="DP77" s="420"/>
      <c r="DQ77" s="420"/>
      <c r="DR77" s="420"/>
      <c r="DS77" s="420"/>
      <c r="DT77" s="420"/>
      <c r="DU77" s="420"/>
      <c r="DV77" s="420"/>
      <c r="DW77" s="420"/>
      <c r="DX77" s="420"/>
      <c r="DY77" s="420"/>
      <c r="DZ77" s="420"/>
      <c r="EA77" s="420"/>
    </row>
    <row r="78" spans="1:131">
      <c r="A78" s="420"/>
      <c r="B78" s="420" t="s">
        <v>81</v>
      </c>
      <c r="C78" s="122">
        <v>0</v>
      </c>
      <c r="D78" s="122">
        <v>0</v>
      </c>
      <c r="E78" s="122">
        <v>0</v>
      </c>
      <c r="F78" s="122">
        <v>0</v>
      </c>
      <c r="G78" s="122">
        <v>0</v>
      </c>
      <c r="H78" s="122">
        <v>0</v>
      </c>
      <c r="I78" s="122">
        <v>0</v>
      </c>
      <c r="J78" s="122">
        <v>0</v>
      </c>
      <c r="K78" s="122">
        <v>0</v>
      </c>
      <c r="L78" s="123">
        <v>0</v>
      </c>
      <c r="M78" s="122">
        <v>0</v>
      </c>
      <c r="N78" s="122">
        <v>0</v>
      </c>
      <c r="O78" s="122">
        <v>0</v>
      </c>
      <c r="P78" s="122">
        <v>0</v>
      </c>
      <c r="Q78" s="122">
        <v>0</v>
      </c>
      <c r="R78" s="122">
        <v>0</v>
      </c>
      <c r="S78" s="122">
        <v>0</v>
      </c>
      <c r="T78" s="122">
        <v>0</v>
      </c>
      <c r="U78" s="122">
        <v>0</v>
      </c>
      <c r="V78" s="122">
        <v>0</v>
      </c>
      <c r="W78" s="122">
        <v>0</v>
      </c>
      <c r="X78" s="122">
        <v>0</v>
      </c>
      <c r="Y78" s="122">
        <v>0</v>
      </c>
      <c r="Z78" s="122"/>
      <c r="AA78" s="122">
        <v>0</v>
      </c>
      <c r="AB78" s="122">
        <v>0</v>
      </c>
      <c r="AC78" s="122">
        <v>0</v>
      </c>
      <c r="AD78" s="122">
        <v>0</v>
      </c>
      <c r="AE78" s="122">
        <v>0</v>
      </c>
      <c r="AF78" s="122">
        <v>0</v>
      </c>
      <c r="AG78" s="122">
        <v>0</v>
      </c>
      <c r="AH78" s="122">
        <v>0</v>
      </c>
      <c r="AI78" s="122">
        <v>0</v>
      </c>
      <c r="AJ78" s="122">
        <v>0</v>
      </c>
      <c r="AK78" s="122">
        <v>0</v>
      </c>
      <c r="AL78" s="122">
        <v>0</v>
      </c>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420"/>
      <c r="CY78" s="420"/>
      <c r="CZ78" s="420"/>
      <c r="DA78" s="420"/>
      <c r="DB78" s="420"/>
      <c r="DC78" s="420"/>
      <c r="DD78" s="420"/>
      <c r="DE78" s="420"/>
      <c r="DF78" s="420"/>
      <c r="DG78" s="420"/>
      <c r="DH78" s="420"/>
      <c r="DI78" s="420"/>
      <c r="DJ78" s="420"/>
      <c r="DK78" s="420"/>
      <c r="DL78" s="420"/>
      <c r="DM78" s="420"/>
      <c r="DN78" s="420"/>
      <c r="DO78" s="420"/>
      <c r="DP78" s="420"/>
      <c r="DQ78" s="420"/>
      <c r="DR78" s="420"/>
      <c r="DS78" s="420"/>
      <c r="DT78" s="420"/>
      <c r="DU78" s="420"/>
      <c r="DV78" s="420"/>
      <c r="DW78" s="420"/>
      <c r="DX78" s="420"/>
      <c r="DY78" s="420"/>
      <c r="DZ78" s="420"/>
      <c r="EA78" s="420"/>
    </row>
    <row r="79" spans="1:131">
      <c r="A79" s="420"/>
      <c r="B79" s="420" t="s">
        <v>84</v>
      </c>
      <c r="C79" s="122">
        <v>0</v>
      </c>
      <c r="D79" s="122">
        <v>0</v>
      </c>
      <c r="E79" s="122">
        <v>0</v>
      </c>
      <c r="F79" s="122">
        <v>0</v>
      </c>
      <c r="G79" s="122">
        <v>0</v>
      </c>
      <c r="H79" s="122">
        <v>0</v>
      </c>
      <c r="I79" s="122">
        <v>0</v>
      </c>
      <c r="J79" s="122">
        <v>0</v>
      </c>
      <c r="K79" s="122">
        <v>0</v>
      </c>
      <c r="L79" s="123">
        <v>0</v>
      </c>
      <c r="M79" s="122">
        <v>0</v>
      </c>
      <c r="N79" s="122">
        <v>0</v>
      </c>
      <c r="O79" s="122">
        <v>0</v>
      </c>
      <c r="P79" s="122">
        <v>0</v>
      </c>
      <c r="Q79" s="122">
        <v>0</v>
      </c>
      <c r="R79" s="122">
        <v>0</v>
      </c>
      <c r="S79" s="122">
        <v>0</v>
      </c>
      <c r="T79" s="122">
        <v>0</v>
      </c>
      <c r="U79" s="122">
        <v>0</v>
      </c>
      <c r="V79" s="122">
        <v>0</v>
      </c>
      <c r="W79" s="122">
        <v>0</v>
      </c>
      <c r="X79" s="122">
        <v>0</v>
      </c>
      <c r="Y79" s="122">
        <v>0</v>
      </c>
      <c r="Z79" s="122"/>
      <c r="AA79" s="122">
        <v>0</v>
      </c>
      <c r="AB79" s="122">
        <v>0</v>
      </c>
      <c r="AC79" s="122">
        <v>0</v>
      </c>
      <c r="AD79" s="122">
        <v>0</v>
      </c>
      <c r="AE79" s="122">
        <v>0</v>
      </c>
      <c r="AF79" s="122">
        <v>0</v>
      </c>
      <c r="AG79" s="122">
        <v>0</v>
      </c>
      <c r="AH79" s="122">
        <v>0</v>
      </c>
      <c r="AI79" s="122">
        <v>0</v>
      </c>
      <c r="AJ79" s="122">
        <v>0</v>
      </c>
      <c r="AK79" s="122">
        <v>0</v>
      </c>
      <c r="AL79" s="122">
        <v>0</v>
      </c>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420"/>
      <c r="CY79" s="420"/>
      <c r="CZ79" s="420"/>
      <c r="DA79" s="420"/>
      <c r="DB79" s="420"/>
      <c r="DC79" s="420"/>
      <c r="DD79" s="420"/>
      <c r="DE79" s="420"/>
      <c r="DF79" s="420"/>
      <c r="DG79" s="420"/>
      <c r="DH79" s="420"/>
      <c r="DI79" s="420"/>
      <c r="DJ79" s="420"/>
      <c r="DK79" s="420"/>
      <c r="DL79" s="420"/>
      <c r="DM79" s="420"/>
      <c r="DN79" s="420"/>
      <c r="DO79" s="420"/>
      <c r="DP79" s="420"/>
      <c r="DQ79" s="420"/>
      <c r="DR79" s="420"/>
      <c r="DS79" s="420"/>
      <c r="DT79" s="420"/>
      <c r="DU79" s="420"/>
      <c r="DV79" s="420"/>
      <c r="DW79" s="420"/>
      <c r="DX79" s="420"/>
      <c r="DY79" s="420"/>
      <c r="DZ79" s="420"/>
      <c r="EA79" s="420"/>
    </row>
    <row r="80" spans="1:131">
      <c r="A80" s="420"/>
      <c r="B80" s="420" t="s">
        <v>87</v>
      </c>
      <c r="C80" s="122">
        <v>0</v>
      </c>
      <c r="D80" s="122">
        <v>0</v>
      </c>
      <c r="E80" s="122">
        <v>0</v>
      </c>
      <c r="F80" s="122">
        <v>0</v>
      </c>
      <c r="G80" s="122">
        <v>0</v>
      </c>
      <c r="H80" s="122">
        <v>0</v>
      </c>
      <c r="I80" s="122">
        <v>0</v>
      </c>
      <c r="J80" s="122">
        <v>0</v>
      </c>
      <c r="K80" s="122">
        <v>0</v>
      </c>
      <c r="L80" s="123">
        <v>0</v>
      </c>
      <c r="M80" s="122">
        <v>0</v>
      </c>
      <c r="N80" s="122">
        <v>0</v>
      </c>
      <c r="O80" s="122">
        <v>0</v>
      </c>
      <c r="P80" s="122">
        <v>0</v>
      </c>
      <c r="Q80" s="122">
        <v>0</v>
      </c>
      <c r="R80" s="122">
        <v>0</v>
      </c>
      <c r="S80" s="122">
        <v>0</v>
      </c>
      <c r="T80" s="122">
        <v>0</v>
      </c>
      <c r="U80" s="122">
        <v>0</v>
      </c>
      <c r="V80" s="122">
        <v>0</v>
      </c>
      <c r="W80" s="122">
        <v>0</v>
      </c>
      <c r="X80" s="122">
        <v>0</v>
      </c>
      <c r="Y80" s="122">
        <v>0</v>
      </c>
      <c r="Z80" s="122"/>
      <c r="AA80" s="122">
        <v>0</v>
      </c>
      <c r="AB80" s="122">
        <v>0</v>
      </c>
      <c r="AC80" s="122">
        <v>0</v>
      </c>
      <c r="AD80" s="122">
        <v>0</v>
      </c>
      <c r="AE80" s="122">
        <v>0</v>
      </c>
      <c r="AF80" s="122">
        <v>0</v>
      </c>
      <c r="AG80" s="122">
        <v>0</v>
      </c>
      <c r="AH80" s="122">
        <v>0</v>
      </c>
      <c r="AI80" s="122">
        <v>0</v>
      </c>
      <c r="AJ80" s="122">
        <v>0</v>
      </c>
      <c r="AK80" s="122">
        <v>0</v>
      </c>
      <c r="AL80" s="122">
        <v>0</v>
      </c>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420"/>
      <c r="CY80" s="420"/>
      <c r="CZ80" s="420"/>
      <c r="DA80" s="420"/>
      <c r="DB80" s="420"/>
      <c r="DC80" s="420"/>
      <c r="DD80" s="420"/>
      <c r="DE80" s="420"/>
      <c r="DF80" s="420"/>
      <c r="DG80" s="420"/>
      <c r="DH80" s="420"/>
      <c r="DI80" s="420"/>
      <c r="DJ80" s="420"/>
      <c r="DK80" s="420"/>
      <c r="DL80" s="420"/>
      <c r="DM80" s="420"/>
      <c r="DN80" s="420"/>
      <c r="DO80" s="420"/>
      <c r="DP80" s="420"/>
      <c r="DQ80" s="420"/>
      <c r="DR80" s="420"/>
      <c r="DS80" s="420"/>
      <c r="DT80" s="420"/>
      <c r="DU80" s="420"/>
      <c r="DV80" s="420"/>
      <c r="DW80" s="420"/>
      <c r="DX80" s="420"/>
      <c r="DY80" s="420"/>
      <c r="DZ80" s="420"/>
      <c r="EA80" s="420"/>
    </row>
    <row r="81" spans="1:131">
      <c r="A81" s="420"/>
      <c r="B81" s="420" t="s">
        <v>90</v>
      </c>
      <c r="C81" s="122">
        <v>0</v>
      </c>
      <c r="D81" s="122">
        <v>0</v>
      </c>
      <c r="E81" s="122">
        <v>0</v>
      </c>
      <c r="F81" s="122">
        <v>0</v>
      </c>
      <c r="G81" s="122">
        <v>0</v>
      </c>
      <c r="H81" s="122">
        <v>0</v>
      </c>
      <c r="I81" s="122">
        <v>0</v>
      </c>
      <c r="J81" s="122">
        <v>0</v>
      </c>
      <c r="K81" s="122">
        <v>0</v>
      </c>
      <c r="L81" s="123">
        <v>0</v>
      </c>
      <c r="M81" s="122">
        <v>0</v>
      </c>
      <c r="N81" s="122">
        <v>0</v>
      </c>
      <c r="O81" s="122">
        <v>0</v>
      </c>
      <c r="P81" s="122">
        <v>0</v>
      </c>
      <c r="Q81" s="122">
        <v>0</v>
      </c>
      <c r="R81" s="122">
        <v>0</v>
      </c>
      <c r="S81" s="122">
        <v>0</v>
      </c>
      <c r="T81" s="122">
        <v>0</v>
      </c>
      <c r="U81" s="122">
        <v>0</v>
      </c>
      <c r="V81" s="122">
        <v>0</v>
      </c>
      <c r="W81" s="122">
        <v>0</v>
      </c>
      <c r="X81" s="122">
        <v>0</v>
      </c>
      <c r="Y81" s="122">
        <v>0</v>
      </c>
      <c r="Z81" s="122"/>
      <c r="AA81" s="122">
        <v>0</v>
      </c>
      <c r="AB81" s="122">
        <v>0</v>
      </c>
      <c r="AC81" s="122">
        <v>0</v>
      </c>
      <c r="AD81" s="122">
        <v>0</v>
      </c>
      <c r="AE81" s="122">
        <v>0</v>
      </c>
      <c r="AF81" s="122">
        <v>0</v>
      </c>
      <c r="AG81" s="122">
        <v>0</v>
      </c>
      <c r="AH81" s="122">
        <v>0</v>
      </c>
      <c r="AI81" s="122">
        <v>0</v>
      </c>
      <c r="AJ81" s="122">
        <v>0</v>
      </c>
      <c r="AK81" s="122">
        <v>0</v>
      </c>
      <c r="AL81" s="122">
        <v>0</v>
      </c>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420"/>
      <c r="CY81" s="420"/>
      <c r="CZ81" s="420"/>
      <c r="DA81" s="420"/>
      <c r="DB81" s="420"/>
      <c r="DC81" s="420"/>
      <c r="DD81" s="420"/>
      <c r="DE81" s="420"/>
      <c r="DF81" s="420"/>
      <c r="DG81" s="420"/>
      <c r="DH81" s="420"/>
      <c r="DI81" s="420"/>
      <c r="DJ81" s="420"/>
      <c r="DK81" s="420"/>
      <c r="DL81" s="420"/>
      <c r="DM81" s="420"/>
      <c r="DN81" s="420"/>
      <c r="DO81" s="420"/>
      <c r="DP81" s="420"/>
      <c r="DQ81" s="420"/>
      <c r="DR81" s="420"/>
      <c r="DS81" s="420"/>
      <c r="DT81" s="420"/>
      <c r="DU81" s="420"/>
      <c r="DV81" s="420"/>
      <c r="DW81" s="420"/>
      <c r="DX81" s="420"/>
      <c r="DY81" s="420"/>
      <c r="DZ81" s="420"/>
      <c r="EA81" s="420"/>
    </row>
    <row r="82" spans="1:131">
      <c r="A82" s="420"/>
      <c r="B82" s="420" t="s">
        <v>93</v>
      </c>
      <c r="C82" s="122">
        <v>0</v>
      </c>
      <c r="D82" s="122">
        <v>0</v>
      </c>
      <c r="E82" s="122">
        <v>0</v>
      </c>
      <c r="F82" s="122">
        <v>0</v>
      </c>
      <c r="G82" s="122">
        <v>0</v>
      </c>
      <c r="H82" s="122">
        <v>0</v>
      </c>
      <c r="I82" s="122">
        <v>0</v>
      </c>
      <c r="J82" s="122">
        <v>0</v>
      </c>
      <c r="K82" s="122">
        <v>0</v>
      </c>
      <c r="L82" s="123">
        <v>0</v>
      </c>
      <c r="M82" s="122">
        <v>0</v>
      </c>
      <c r="N82" s="122">
        <v>0</v>
      </c>
      <c r="O82" s="122">
        <v>0</v>
      </c>
      <c r="P82" s="122">
        <v>0</v>
      </c>
      <c r="Q82" s="122">
        <v>0</v>
      </c>
      <c r="R82" s="122">
        <v>0</v>
      </c>
      <c r="S82" s="122">
        <v>0</v>
      </c>
      <c r="T82" s="122">
        <v>0</v>
      </c>
      <c r="U82" s="122">
        <v>0</v>
      </c>
      <c r="V82" s="122">
        <v>0</v>
      </c>
      <c r="W82" s="122">
        <v>0</v>
      </c>
      <c r="X82" s="122">
        <v>0</v>
      </c>
      <c r="Y82" s="122">
        <v>0</v>
      </c>
      <c r="Z82" s="122"/>
      <c r="AA82" s="122">
        <v>0</v>
      </c>
      <c r="AB82" s="122">
        <v>0</v>
      </c>
      <c r="AC82" s="122">
        <v>0</v>
      </c>
      <c r="AD82" s="122">
        <v>0</v>
      </c>
      <c r="AE82" s="122">
        <v>0</v>
      </c>
      <c r="AF82" s="122">
        <v>0</v>
      </c>
      <c r="AG82" s="122">
        <v>0</v>
      </c>
      <c r="AH82" s="122">
        <v>0</v>
      </c>
      <c r="AI82" s="122">
        <v>0</v>
      </c>
      <c r="AJ82" s="122">
        <v>0</v>
      </c>
      <c r="AK82" s="122">
        <v>0</v>
      </c>
      <c r="AL82" s="122">
        <v>0</v>
      </c>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420"/>
      <c r="CY82" s="420"/>
      <c r="CZ82" s="420"/>
      <c r="DA82" s="420"/>
      <c r="DB82" s="420"/>
      <c r="DC82" s="420"/>
      <c r="DD82" s="420"/>
      <c r="DE82" s="420"/>
      <c r="DF82" s="420"/>
      <c r="DG82" s="420"/>
      <c r="DH82" s="420"/>
      <c r="DI82" s="420"/>
      <c r="DJ82" s="420"/>
      <c r="DK82" s="420"/>
      <c r="DL82" s="420"/>
      <c r="DM82" s="420"/>
      <c r="DN82" s="420"/>
      <c r="DO82" s="420"/>
      <c r="DP82" s="420"/>
      <c r="DQ82" s="420"/>
      <c r="DR82" s="420"/>
      <c r="DS82" s="420"/>
      <c r="DT82" s="420"/>
      <c r="DU82" s="420"/>
      <c r="DV82" s="420"/>
      <c r="DW82" s="420"/>
      <c r="DX82" s="420"/>
      <c r="DY82" s="420"/>
      <c r="DZ82" s="420"/>
      <c r="EA82" s="420"/>
    </row>
    <row r="83" spans="1:131">
      <c r="A83" s="420"/>
      <c r="B83" s="420" t="s">
        <v>96</v>
      </c>
      <c r="C83" s="122">
        <v>0</v>
      </c>
      <c r="D83" s="122">
        <v>0</v>
      </c>
      <c r="E83" s="122">
        <v>0</v>
      </c>
      <c r="F83" s="122">
        <v>0</v>
      </c>
      <c r="G83" s="122">
        <v>0</v>
      </c>
      <c r="H83" s="122">
        <v>0</v>
      </c>
      <c r="I83" s="122">
        <v>0</v>
      </c>
      <c r="J83" s="122">
        <v>0</v>
      </c>
      <c r="K83" s="122">
        <v>0</v>
      </c>
      <c r="L83" s="123">
        <v>0</v>
      </c>
      <c r="M83" s="122">
        <v>0</v>
      </c>
      <c r="N83" s="122">
        <v>0</v>
      </c>
      <c r="O83" s="122">
        <v>0</v>
      </c>
      <c r="P83" s="122">
        <v>0</v>
      </c>
      <c r="Q83" s="122">
        <v>0</v>
      </c>
      <c r="R83" s="122">
        <v>0</v>
      </c>
      <c r="S83" s="122">
        <v>0</v>
      </c>
      <c r="T83" s="122">
        <v>0</v>
      </c>
      <c r="U83" s="122">
        <v>0</v>
      </c>
      <c r="V83" s="122">
        <v>0</v>
      </c>
      <c r="W83" s="122">
        <v>0</v>
      </c>
      <c r="X83" s="122">
        <v>0</v>
      </c>
      <c r="Y83" s="122">
        <v>0</v>
      </c>
      <c r="Z83" s="122"/>
      <c r="AA83" s="122">
        <v>0</v>
      </c>
      <c r="AB83" s="122">
        <v>0</v>
      </c>
      <c r="AC83" s="122">
        <v>0</v>
      </c>
      <c r="AD83" s="122">
        <v>0</v>
      </c>
      <c r="AE83" s="122">
        <v>0</v>
      </c>
      <c r="AF83" s="122">
        <v>0</v>
      </c>
      <c r="AG83" s="122">
        <v>0</v>
      </c>
      <c r="AH83" s="122">
        <v>0</v>
      </c>
      <c r="AI83" s="122">
        <v>0</v>
      </c>
      <c r="AJ83" s="122">
        <v>0</v>
      </c>
      <c r="AK83" s="122">
        <v>0</v>
      </c>
      <c r="AL83" s="122">
        <v>0</v>
      </c>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420"/>
      <c r="CY83" s="420"/>
      <c r="CZ83" s="420"/>
      <c r="DA83" s="420"/>
      <c r="DB83" s="420"/>
      <c r="DC83" s="420"/>
      <c r="DD83" s="420"/>
      <c r="DE83" s="420"/>
      <c r="DF83" s="420"/>
      <c r="DG83" s="420"/>
      <c r="DH83" s="420"/>
      <c r="DI83" s="420"/>
      <c r="DJ83" s="420"/>
      <c r="DK83" s="420"/>
      <c r="DL83" s="420"/>
      <c r="DM83" s="420"/>
      <c r="DN83" s="420"/>
      <c r="DO83" s="420"/>
      <c r="DP83" s="420"/>
      <c r="DQ83" s="420"/>
      <c r="DR83" s="420"/>
      <c r="DS83" s="420"/>
      <c r="DT83" s="420"/>
      <c r="DU83" s="420"/>
      <c r="DV83" s="420"/>
      <c r="DW83" s="420"/>
      <c r="DX83" s="420"/>
      <c r="DY83" s="420"/>
      <c r="DZ83" s="420"/>
      <c r="EA83" s="420"/>
    </row>
    <row r="84" spans="1:131">
      <c r="A84" s="420"/>
      <c r="B84" s="420" t="s">
        <v>99</v>
      </c>
      <c r="C84" s="122">
        <v>0</v>
      </c>
      <c r="D84" s="122">
        <v>0</v>
      </c>
      <c r="E84" s="122">
        <v>0</v>
      </c>
      <c r="F84" s="122">
        <v>0</v>
      </c>
      <c r="G84" s="122">
        <v>0</v>
      </c>
      <c r="H84" s="122">
        <v>0</v>
      </c>
      <c r="I84" s="122">
        <v>0</v>
      </c>
      <c r="J84" s="122">
        <v>0</v>
      </c>
      <c r="K84" s="122">
        <v>0</v>
      </c>
      <c r="L84" s="123">
        <v>0</v>
      </c>
      <c r="M84" s="122">
        <v>0</v>
      </c>
      <c r="N84" s="122">
        <v>0</v>
      </c>
      <c r="O84" s="122">
        <v>0</v>
      </c>
      <c r="P84" s="122">
        <v>0</v>
      </c>
      <c r="Q84" s="122">
        <v>0</v>
      </c>
      <c r="R84" s="122">
        <v>0</v>
      </c>
      <c r="S84" s="122">
        <v>0</v>
      </c>
      <c r="T84" s="122">
        <v>0</v>
      </c>
      <c r="U84" s="122">
        <v>0</v>
      </c>
      <c r="V84" s="122">
        <v>0</v>
      </c>
      <c r="W84" s="122">
        <v>0</v>
      </c>
      <c r="X84" s="122">
        <v>0</v>
      </c>
      <c r="Y84" s="122">
        <v>0</v>
      </c>
      <c r="Z84" s="122"/>
      <c r="AA84" s="122">
        <v>0</v>
      </c>
      <c r="AB84" s="122">
        <v>0</v>
      </c>
      <c r="AC84" s="122">
        <v>0</v>
      </c>
      <c r="AD84" s="122">
        <v>0</v>
      </c>
      <c r="AE84" s="122">
        <v>0</v>
      </c>
      <c r="AF84" s="122">
        <v>0</v>
      </c>
      <c r="AG84" s="122">
        <v>0</v>
      </c>
      <c r="AH84" s="122">
        <v>0</v>
      </c>
      <c r="AI84" s="122">
        <v>0</v>
      </c>
      <c r="AJ84" s="122">
        <v>0</v>
      </c>
      <c r="AK84" s="122">
        <v>0</v>
      </c>
      <c r="AL84" s="122">
        <v>0</v>
      </c>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420"/>
      <c r="CY84" s="420"/>
      <c r="CZ84" s="420"/>
      <c r="DA84" s="420"/>
      <c r="DB84" s="420"/>
      <c r="DC84" s="420"/>
      <c r="DD84" s="420"/>
      <c r="DE84" s="420"/>
      <c r="DF84" s="420"/>
      <c r="DG84" s="420"/>
      <c r="DH84" s="420"/>
      <c r="DI84" s="420"/>
      <c r="DJ84" s="420"/>
      <c r="DK84" s="420"/>
      <c r="DL84" s="420"/>
      <c r="DM84" s="420"/>
      <c r="DN84" s="420"/>
      <c r="DO84" s="420"/>
      <c r="DP84" s="420"/>
      <c r="DQ84" s="420"/>
      <c r="DR84" s="420"/>
      <c r="DS84" s="420"/>
      <c r="DT84" s="420"/>
      <c r="DU84" s="420"/>
      <c r="DV84" s="420"/>
      <c r="DW84" s="420"/>
      <c r="DX84" s="420"/>
      <c r="DY84" s="420"/>
      <c r="DZ84" s="420"/>
      <c r="EA84" s="420"/>
    </row>
    <row r="85" spans="1:131">
      <c r="A85" s="420"/>
      <c r="B85" s="420" t="s">
        <v>102</v>
      </c>
      <c r="C85" s="122">
        <v>0</v>
      </c>
      <c r="D85" s="122">
        <v>0</v>
      </c>
      <c r="E85" s="122">
        <v>0</v>
      </c>
      <c r="F85" s="122">
        <v>0</v>
      </c>
      <c r="G85" s="122">
        <v>0</v>
      </c>
      <c r="H85" s="122">
        <v>0</v>
      </c>
      <c r="I85" s="122">
        <v>0</v>
      </c>
      <c r="J85" s="122">
        <v>0</v>
      </c>
      <c r="K85" s="122">
        <v>0</v>
      </c>
      <c r="L85" s="123">
        <v>0</v>
      </c>
      <c r="M85" s="122">
        <v>0</v>
      </c>
      <c r="N85" s="122">
        <v>0</v>
      </c>
      <c r="O85" s="122">
        <v>0</v>
      </c>
      <c r="P85" s="122">
        <v>0</v>
      </c>
      <c r="Q85" s="122">
        <v>0</v>
      </c>
      <c r="R85" s="122">
        <v>0</v>
      </c>
      <c r="S85" s="122">
        <v>0</v>
      </c>
      <c r="T85" s="122">
        <v>0</v>
      </c>
      <c r="U85" s="122">
        <v>0</v>
      </c>
      <c r="V85" s="122">
        <v>0</v>
      </c>
      <c r="W85" s="122">
        <v>0</v>
      </c>
      <c r="X85" s="122">
        <v>0</v>
      </c>
      <c r="Y85" s="122">
        <v>0</v>
      </c>
      <c r="Z85" s="122"/>
      <c r="AA85" s="122">
        <v>0</v>
      </c>
      <c r="AB85" s="122">
        <v>0</v>
      </c>
      <c r="AC85" s="122">
        <v>0</v>
      </c>
      <c r="AD85" s="122">
        <v>0</v>
      </c>
      <c r="AE85" s="122">
        <v>0</v>
      </c>
      <c r="AF85" s="122">
        <v>0</v>
      </c>
      <c r="AG85" s="122">
        <v>0</v>
      </c>
      <c r="AH85" s="122">
        <v>0</v>
      </c>
      <c r="AI85" s="122">
        <v>0</v>
      </c>
      <c r="AJ85" s="122">
        <v>0</v>
      </c>
      <c r="AK85" s="122">
        <v>0</v>
      </c>
      <c r="AL85" s="122">
        <v>0</v>
      </c>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420"/>
      <c r="CY85" s="420"/>
      <c r="CZ85" s="420"/>
      <c r="DA85" s="420"/>
      <c r="DB85" s="420"/>
      <c r="DC85" s="420"/>
      <c r="DD85" s="420"/>
      <c r="DE85" s="420"/>
      <c r="DF85" s="420"/>
      <c r="DG85" s="420"/>
      <c r="DH85" s="420"/>
      <c r="DI85" s="420"/>
      <c r="DJ85" s="420"/>
      <c r="DK85" s="420"/>
      <c r="DL85" s="420"/>
      <c r="DM85" s="420"/>
      <c r="DN85" s="420"/>
      <c r="DO85" s="420"/>
      <c r="DP85" s="420"/>
      <c r="DQ85" s="420"/>
      <c r="DR85" s="420"/>
      <c r="DS85" s="420"/>
      <c r="DT85" s="420"/>
      <c r="DU85" s="420"/>
      <c r="DV85" s="420"/>
      <c r="DW85" s="420"/>
      <c r="DX85" s="420"/>
      <c r="DY85" s="420"/>
      <c r="DZ85" s="420"/>
      <c r="EA85" s="420"/>
    </row>
    <row r="86" spans="1:131">
      <c r="A86" s="420"/>
      <c r="B86" s="420"/>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420"/>
      <c r="CY86" s="420"/>
      <c r="CZ86" s="420"/>
      <c r="DA86" s="420"/>
      <c r="DB86" s="420"/>
      <c r="DC86" s="420"/>
      <c r="DD86" s="420"/>
      <c r="DE86" s="420"/>
      <c r="DF86" s="420"/>
      <c r="DG86" s="420"/>
      <c r="DH86" s="420"/>
      <c r="DI86" s="420"/>
      <c r="DJ86" s="420"/>
      <c r="DK86" s="420"/>
      <c r="DL86" s="420"/>
      <c r="DM86" s="420"/>
      <c r="DN86" s="420"/>
      <c r="DO86" s="420"/>
      <c r="DP86" s="420"/>
      <c r="DQ86" s="420"/>
      <c r="DR86" s="420"/>
      <c r="DS86" s="420"/>
      <c r="DT86" s="420"/>
      <c r="DU86" s="420"/>
      <c r="DV86" s="420"/>
      <c r="DW86" s="420"/>
      <c r="DX86" s="420"/>
      <c r="DY86" s="420"/>
      <c r="DZ86" s="420"/>
      <c r="EA86" s="420"/>
    </row>
    <row r="87" spans="1:131">
      <c r="A87" s="420"/>
      <c r="B87" s="420"/>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420"/>
      <c r="CY87" s="420"/>
      <c r="CZ87" s="420"/>
      <c r="DA87" s="420"/>
      <c r="DB87" s="420"/>
      <c r="DC87" s="420"/>
      <c r="DD87" s="420"/>
      <c r="DE87" s="420"/>
      <c r="DF87" s="420"/>
      <c r="DG87" s="420"/>
      <c r="DH87" s="420"/>
      <c r="DI87" s="420"/>
      <c r="DJ87" s="420"/>
      <c r="DK87" s="420"/>
      <c r="DL87" s="420"/>
      <c r="DM87" s="420"/>
      <c r="DN87" s="420"/>
      <c r="DO87" s="420"/>
      <c r="DP87" s="420"/>
      <c r="DQ87" s="420"/>
      <c r="DR87" s="420"/>
      <c r="DS87" s="420"/>
      <c r="DT87" s="420"/>
      <c r="DU87" s="420"/>
      <c r="DV87" s="420"/>
      <c r="DW87" s="420"/>
      <c r="DX87" s="420"/>
      <c r="DY87" s="420"/>
      <c r="DZ87" s="420"/>
      <c r="EA87" s="420"/>
    </row>
    <row r="88" spans="1:131" ht="13.5" thickBot="1">
      <c r="A88" s="24" t="s">
        <v>340</v>
      </c>
      <c r="B88" s="25"/>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420"/>
      <c r="CY88" s="420"/>
      <c r="CZ88" s="420"/>
      <c r="DA88" s="420"/>
      <c r="DB88" s="420"/>
      <c r="DC88" s="420"/>
      <c r="DD88" s="420"/>
      <c r="DE88" s="420"/>
      <c r="DF88" s="420"/>
      <c r="DG88" s="420"/>
      <c r="DH88" s="420"/>
      <c r="DI88" s="420"/>
      <c r="DJ88" s="420"/>
      <c r="DK88" s="420"/>
      <c r="DL88" s="420"/>
      <c r="DM88" s="420"/>
      <c r="DN88" s="420"/>
      <c r="DO88" s="420"/>
      <c r="DP88" s="420"/>
      <c r="DQ88" s="420"/>
      <c r="DR88" s="420"/>
      <c r="DS88" s="420"/>
      <c r="DT88" s="420"/>
      <c r="DU88" s="420"/>
      <c r="DV88" s="420"/>
      <c r="DW88" s="420"/>
      <c r="DX88" s="420"/>
      <c r="DY88" s="420"/>
      <c r="DZ88" s="420"/>
      <c r="EA88" s="420"/>
    </row>
    <row r="89" spans="1:131" ht="13.5" thickBot="1">
      <c r="A89" s="33"/>
      <c r="B89" s="34"/>
      <c r="C89" s="35"/>
      <c r="D89" s="35"/>
      <c r="E89" s="35"/>
      <c r="F89" s="35"/>
      <c r="G89" s="35"/>
      <c r="H89" s="35"/>
      <c r="I89" s="35"/>
      <c r="J89" s="35"/>
      <c r="K89" s="35"/>
      <c r="L89" s="35"/>
      <c r="M89" s="35"/>
      <c r="N89" s="35"/>
      <c r="O89" s="36" t="s">
        <v>383</v>
      </c>
      <c r="P89" s="37"/>
      <c r="Q89" s="37"/>
      <c r="R89" s="37"/>
      <c r="S89" s="37"/>
      <c r="T89" s="37"/>
      <c r="U89" s="37"/>
      <c r="V89" s="37"/>
      <c r="W89" s="37"/>
      <c r="X89" s="37"/>
      <c r="Y89" s="37"/>
      <c r="Z89" s="31"/>
      <c r="AA89" s="35"/>
      <c r="AB89" s="36" t="s">
        <v>384</v>
      </c>
      <c r="AC89" s="37"/>
      <c r="AD89" s="37"/>
      <c r="AE89" s="37"/>
      <c r="AF89" s="37"/>
      <c r="AG89" s="37"/>
      <c r="AH89" s="37"/>
      <c r="AI89" s="37"/>
      <c r="AJ89" s="37"/>
      <c r="AK89" s="37"/>
      <c r="AL89" s="37"/>
      <c r="AM89" s="31"/>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420"/>
      <c r="CY89" s="420"/>
      <c r="CZ89" s="420"/>
      <c r="DA89" s="420"/>
      <c r="DB89" s="420"/>
      <c r="DC89" s="420"/>
      <c r="DD89" s="420"/>
      <c r="DE89" s="420"/>
      <c r="DF89" s="420"/>
      <c r="DG89" s="420"/>
      <c r="DH89" s="420"/>
      <c r="DI89" s="420"/>
      <c r="DJ89" s="420"/>
      <c r="DK89" s="420"/>
      <c r="DL89" s="420"/>
      <c r="DM89" s="420"/>
      <c r="DN89" s="420"/>
      <c r="DO89" s="420"/>
      <c r="DP89" s="420"/>
      <c r="DQ89" s="420"/>
      <c r="DR89" s="420"/>
      <c r="DS89" s="420"/>
      <c r="DT89" s="420"/>
      <c r="DU89" s="420"/>
      <c r="DV89" s="420"/>
      <c r="DW89" s="420"/>
      <c r="DX89" s="420"/>
      <c r="DY89" s="420"/>
      <c r="DZ89" s="420"/>
      <c r="EA89" s="420"/>
    </row>
    <row r="90" spans="1:131" ht="191.25">
      <c r="A90" s="27" t="s">
        <v>231</v>
      </c>
      <c r="B90" s="28" t="s">
        <v>232</v>
      </c>
      <c r="C90" s="29" t="s">
        <v>22</v>
      </c>
      <c r="D90" s="29" t="s">
        <v>317</v>
      </c>
      <c r="E90" s="29" t="s">
        <v>318</v>
      </c>
      <c r="F90" s="29" t="s">
        <v>319</v>
      </c>
      <c r="G90" s="29" t="s">
        <v>320</v>
      </c>
      <c r="H90" s="29" t="s">
        <v>321</v>
      </c>
      <c r="I90" s="29" t="s">
        <v>322</v>
      </c>
      <c r="J90" s="29" t="s">
        <v>323</v>
      </c>
      <c r="K90" s="29" t="s">
        <v>21</v>
      </c>
      <c r="L90" s="29" t="s">
        <v>293</v>
      </c>
      <c r="M90" s="29" t="s">
        <v>324</v>
      </c>
      <c r="N90" s="29" t="s">
        <v>385</v>
      </c>
      <c r="O90" s="29" t="s">
        <v>325</v>
      </c>
      <c r="P90" s="29" t="s">
        <v>326</v>
      </c>
      <c r="Q90" s="29" t="s">
        <v>327</v>
      </c>
      <c r="R90" s="29" t="s">
        <v>328</v>
      </c>
      <c r="S90" s="29" t="s">
        <v>329</v>
      </c>
      <c r="T90" s="29" t="s">
        <v>330</v>
      </c>
      <c r="U90" s="29" t="s">
        <v>331</v>
      </c>
      <c r="V90" s="29" t="s">
        <v>332</v>
      </c>
      <c r="W90" s="29" t="s">
        <v>333</v>
      </c>
      <c r="X90" s="29" t="s">
        <v>334</v>
      </c>
      <c r="Y90" s="29" t="s">
        <v>335</v>
      </c>
      <c r="Z90" s="29" t="s">
        <v>336</v>
      </c>
      <c r="AA90" s="29"/>
      <c r="AB90" s="29" t="s">
        <v>325</v>
      </c>
      <c r="AC90" s="29" t="s">
        <v>326</v>
      </c>
      <c r="AD90" s="29" t="s">
        <v>327</v>
      </c>
      <c r="AE90" s="29" t="s">
        <v>328</v>
      </c>
      <c r="AF90" s="29" t="s">
        <v>329</v>
      </c>
      <c r="AG90" s="29" t="s">
        <v>330</v>
      </c>
      <c r="AH90" s="29" t="s">
        <v>331</v>
      </c>
      <c r="AI90" s="29" t="s">
        <v>332</v>
      </c>
      <c r="AJ90" s="29" t="s">
        <v>333</v>
      </c>
      <c r="AK90" s="29" t="s">
        <v>334</v>
      </c>
      <c r="AL90" s="29" t="s">
        <v>335</v>
      </c>
      <c r="AM90" s="29" t="s">
        <v>336</v>
      </c>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420"/>
      <c r="CY90" s="420"/>
      <c r="CZ90" s="420"/>
      <c r="DA90" s="420"/>
      <c r="DB90" s="420"/>
      <c r="DC90" s="420"/>
      <c r="DD90" s="420"/>
      <c r="DE90" s="420"/>
      <c r="DF90" s="420"/>
      <c r="DG90" s="420"/>
      <c r="DH90" s="420"/>
      <c r="DI90" s="420"/>
      <c r="DJ90" s="420"/>
      <c r="DK90" s="420"/>
      <c r="DL90" s="420"/>
      <c r="DM90" s="420"/>
      <c r="DN90" s="420"/>
      <c r="DO90" s="420"/>
      <c r="DP90" s="420"/>
      <c r="DQ90" s="420"/>
      <c r="DR90" s="420"/>
      <c r="DS90" s="420"/>
      <c r="DT90" s="420"/>
      <c r="DU90" s="420"/>
      <c r="DV90" s="420"/>
      <c r="DW90" s="420"/>
      <c r="DX90" s="420"/>
      <c r="DY90" s="420"/>
      <c r="DZ90" s="420"/>
      <c r="EA90" s="420"/>
    </row>
    <row r="91" spans="1:131">
      <c r="A91" s="420" t="s">
        <v>599</v>
      </c>
      <c r="B91" s="420"/>
      <c r="C91" s="32">
        <v>266.56232768182667</v>
      </c>
      <c r="D91" s="32">
        <v>-42.02</v>
      </c>
      <c r="E91" s="32">
        <v>-8.4040000000000017</v>
      </c>
      <c r="F91" s="32">
        <v>-50.424000000000007</v>
      </c>
      <c r="G91" s="32">
        <v>-52.182040333453884</v>
      </c>
      <c r="H91" s="32">
        <v>193.35265579770675</v>
      </c>
      <c r="I91" s="32">
        <v>-1657.076766403532</v>
      </c>
      <c r="J91" s="32">
        <v>-21.860161322878785</v>
      </c>
      <c r="K91" s="32">
        <v>-32.508813064490326</v>
      </c>
      <c r="L91" s="30">
        <v>210.48539444632513</v>
      </c>
      <c r="M91" s="32">
        <v>2.5323488222198556</v>
      </c>
      <c r="N91" s="32">
        <v>6.2219579338429934E-2</v>
      </c>
      <c r="O91" s="32">
        <v>10.917717502599407</v>
      </c>
      <c r="P91" s="32">
        <v>8.071058999425718</v>
      </c>
      <c r="Q91" s="32">
        <v>7.5185637170379751</v>
      </c>
      <c r="R91" s="32">
        <v>4.3162089348486896</v>
      </c>
      <c r="S91" s="32">
        <v>3.4671628268245334</v>
      </c>
      <c r="T91" s="32">
        <v>2.6895041876587884</v>
      </c>
      <c r="U91" s="32">
        <v>2.8064766226590034</v>
      </c>
      <c r="V91" s="32">
        <v>4.0849193860138167</v>
      </c>
      <c r="W91" s="32">
        <v>5.1609750022108205</v>
      </c>
      <c r="X91" s="32">
        <v>8.4195480439916572</v>
      </c>
      <c r="Y91" s="32">
        <v>9.7500629251272208</v>
      </c>
      <c r="Z91" s="32">
        <v>11.485377518400622</v>
      </c>
      <c r="AA91" s="32"/>
      <c r="AB91" s="32">
        <v>18.094400095459083</v>
      </c>
      <c r="AC91" s="32">
        <v>15.6953758914429</v>
      </c>
      <c r="AD91" s="32">
        <v>15.822637139610483</v>
      </c>
      <c r="AE91" s="32">
        <v>15.067105984661911</v>
      </c>
      <c r="AF91" s="32">
        <v>13.877571571992419</v>
      </c>
      <c r="AG91" s="32">
        <v>12.609062687647768</v>
      </c>
      <c r="AH91" s="32">
        <v>13.768771125954668</v>
      </c>
      <c r="AI91" s="32">
        <v>14.86756764875765</v>
      </c>
      <c r="AJ91" s="32">
        <v>16.025705134589259</v>
      </c>
      <c r="AK91" s="32">
        <v>16.539435575219997</v>
      </c>
      <c r="AL91" s="32">
        <v>17.337947476610633</v>
      </c>
      <c r="AM91" s="26">
        <v>18.169171683081689</v>
      </c>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420"/>
      <c r="CY91" s="420"/>
      <c r="CZ91" s="420"/>
      <c r="DA91" s="420"/>
      <c r="DB91" s="420"/>
      <c r="DC91" s="420"/>
      <c r="DD91" s="420"/>
      <c r="DE91" s="420"/>
      <c r="DF91" s="420"/>
      <c r="DG91" s="420"/>
      <c r="DH91" s="420"/>
      <c r="DI91" s="420"/>
      <c r="DJ91" s="420"/>
      <c r="DK91" s="420"/>
      <c r="DL91" s="420"/>
      <c r="DM91" s="420"/>
      <c r="DN91" s="420"/>
      <c r="DO91" s="420"/>
      <c r="DP91" s="420"/>
      <c r="DQ91" s="420"/>
      <c r="DR91" s="420"/>
      <c r="DS91" s="420"/>
      <c r="DT91" s="420"/>
      <c r="DU91" s="420"/>
      <c r="DV91" s="420"/>
      <c r="DW91" s="420"/>
      <c r="DX91" s="420"/>
      <c r="DY91" s="420"/>
      <c r="DZ91" s="420"/>
      <c r="EA91" s="420"/>
    </row>
    <row r="92" spans="1:131">
      <c r="A92" s="420" t="s">
        <v>600</v>
      </c>
      <c r="B92" s="420"/>
      <c r="C92" s="32">
        <v>264.86483952409634</v>
      </c>
      <c r="D92" s="32">
        <v>-43.603333333333332</v>
      </c>
      <c r="E92" s="32">
        <v>-8.7206666666666663</v>
      </c>
      <c r="F92" s="32">
        <v>-52.323999999999998</v>
      </c>
      <c r="G92" s="32">
        <v>-53.078968049038977</v>
      </c>
      <c r="H92" s="32">
        <v>192.12137211881375</v>
      </c>
      <c r="I92" s="32">
        <v>-1730.5363778128067</v>
      </c>
      <c r="J92" s="32">
        <v>-22.026652733149355</v>
      </c>
      <c r="K92" s="32">
        <v>-32.850302911189921</v>
      </c>
      <c r="L92" s="30">
        <v>108.28211717236189</v>
      </c>
      <c r="M92" s="32">
        <v>2.5162226419964759</v>
      </c>
      <c r="N92" s="32">
        <v>6.1823360562789545E-2</v>
      </c>
      <c r="O92" s="32">
        <v>10.848192688904698</v>
      </c>
      <c r="P92" s="32">
        <v>8.0196619127067699</v>
      </c>
      <c r="Q92" s="32">
        <v>7.4706849601866079</v>
      </c>
      <c r="R92" s="32">
        <v>4.288723004571473</v>
      </c>
      <c r="S92" s="32">
        <v>3.4450836834938139</v>
      </c>
      <c r="T92" s="32">
        <v>2.6723772307162226</v>
      </c>
      <c r="U92" s="32">
        <v>2.7886047768008861</v>
      </c>
      <c r="V92" s="32">
        <v>4.0589063242907137</v>
      </c>
      <c r="W92" s="32">
        <v>5.1281095405952097</v>
      </c>
      <c r="X92" s="32">
        <v>8.365931753863908</v>
      </c>
      <c r="Y92" s="32">
        <v>9.6879738201270449</v>
      </c>
      <c r="Z92" s="32">
        <v>11.412237804720533</v>
      </c>
      <c r="AA92" s="32"/>
      <c r="AB92" s="32">
        <v>17.979173648607457</v>
      </c>
      <c r="AC92" s="32">
        <v>15.595426604015268</v>
      </c>
      <c r="AD92" s="32">
        <v>15.721877443361841</v>
      </c>
      <c r="AE92" s="32">
        <v>14.971157565383553</v>
      </c>
      <c r="AF92" s="32">
        <v>13.789198193779615</v>
      </c>
      <c r="AG92" s="32">
        <v>12.528767265640841</v>
      </c>
      <c r="AH92" s="32">
        <v>13.681090596841402</v>
      </c>
      <c r="AI92" s="32">
        <v>14.772889904015925</v>
      </c>
      <c r="AJ92" s="32">
        <v>15.923652286680031</v>
      </c>
      <c r="AK92" s="32">
        <v>16.434111254755667</v>
      </c>
      <c r="AL92" s="32">
        <v>17.227538174677971</v>
      </c>
      <c r="AM92" s="26">
        <v>18.05346908535898</v>
      </c>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420"/>
      <c r="CY92" s="420"/>
      <c r="CZ92" s="420"/>
      <c r="DA92" s="420"/>
      <c r="DB92" s="420"/>
      <c r="DC92" s="420"/>
      <c r="DD92" s="420"/>
      <c r="DE92" s="420"/>
      <c r="DF92" s="420"/>
      <c r="DG92" s="420"/>
      <c r="DH92" s="420"/>
      <c r="DI92" s="420"/>
      <c r="DJ92" s="420"/>
      <c r="DK92" s="420"/>
      <c r="DL92" s="420"/>
      <c r="DM92" s="420"/>
      <c r="DN92" s="420"/>
      <c r="DO92" s="420"/>
      <c r="DP92" s="420"/>
      <c r="DQ92" s="420"/>
      <c r="DR92" s="420"/>
      <c r="DS92" s="420"/>
      <c r="DT92" s="420"/>
      <c r="DU92" s="420"/>
      <c r="DV92" s="420"/>
      <c r="DW92" s="420"/>
      <c r="DX92" s="420"/>
      <c r="DY92" s="420"/>
      <c r="DZ92" s="420"/>
      <c r="EA92" s="420"/>
    </row>
    <row r="93" spans="1:131">
      <c r="A93" s="420" t="s">
        <v>601</v>
      </c>
      <c r="B93" s="420"/>
      <c r="C93" s="32">
        <v>263.37666569558996</v>
      </c>
      <c r="D93" s="32">
        <v>-44.991428571428571</v>
      </c>
      <c r="E93" s="32">
        <v>-8.9982857142857142</v>
      </c>
      <c r="F93" s="32">
        <v>-53.989714285714285</v>
      </c>
      <c r="G93" s="32">
        <v>-54.598687510310107</v>
      </c>
      <c r="H93" s="32">
        <v>191.0419159010778</v>
      </c>
      <c r="I93" s="32">
        <v>-1795.7167765556396</v>
      </c>
      <c r="J93" s="32">
        <v>-22.174379848777985</v>
      </c>
      <c r="K93" s="32">
        <v>-33.358198810091075</v>
      </c>
      <c r="L93" s="30">
        <v>98.154322334229761</v>
      </c>
      <c r="M93" s="32">
        <v>2.502084953169061</v>
      </c>
      <c r="N93" s="32">
        <v>6.1475998839183005E-2</v>
      </c>
      <c r="O93" s="32">
        <v>10.787240859755801</v>
      </c>
      <c r="P93" s="32">
        <v>7.9746025118689534</v>
      </c>
      <c r="Q93" s="32">
        <v>7.4287100500447325</v>
      </c>
      <c r="R93" s="32">
        <v>4.2646263168246801</v>
      </c>
      <c r="S93" s="32">
        <v>3.4257270811452276</v>
      </c>
      <c r="T93" s="32">
        <v>2.6573621692161979</v>
      </c>
      <c r="U93" s="32">
        <v>2.7729366773493336</v>
      </c>
      <c r="V93" s="32">
        <v>4.0361008882236931</v>
      </c>
      <c r="W93" s="32">
        <v>5.0992966622164104</v>
      </c>
      <c r="X93" s="32">
        <v>8.3189267957519117</v>
      </c>
      <c r="Y93" s="32">
        <v>9.6335408152923012</v>
      </c>
      <c r="Z93" s="32">
        <v>11.348116822652125</v>
      </c>
      <c r="AA93" s="32"/>
      <c r="AB93" s="32">
        <v>17.878155575653324</v>
      </c>
      <c r="AC93" s="32">
        <v>15.507801890375703</v>
      </c>
      <c r="AD93" s="32">
        <v>15.633542251011525</v>
      </c>
      <c r="AE93" s="32">
        <v>14.88704037976057</v>
      </c>
      <c r="AF93" s="32">
        <v>13.711721984008088</v>
      </c>
      <c r="AG93" s="32">
        <v>12.458372933264844</v>
      </c>
      <c r="AH93" s="32">
        <v>13.604221802145107</v>
      </c>
      <c r="AI93" s="32">
        <v>14.689886708249871</v>
      </c>
      <c r="AJ93" s="32">
        <v>15.834183398964122</v>
      </c>
      <c r="AK93" s="32">
        <v>16.341774294107989</v>
      </c>
      <c r="AL93" s="32">
        <v>17.130743252833245</v>
      </c>
      <c r="AM93" s="26">
        <v>17.952033574874257</v>
      </c>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420"/>
      <c r="CY93" s="420"/>
      <c r="CZ93" s="420"/>
      <c r="DA93" s="420"/>
      <c r="DB93" s="420"/>
      <c r="DC93" s="420"/>
      <c r="DD93" s="420"/>
      <c r="DE93" s="420"/>
      <c r="DF93" s="420"/>
      <c r="DG93" s="420"/>
      <c r="DH93" s="420"/>
      <c r="DI93" s="420"/>
      <c r="DJ93" s="420"/>
      <c r="DK93" s="420"/>
      <c r="DL93" s="420"/>
      <c r="DM93" s="420"/>
      <c r="DN93" s="420"/>
      <c r="DO93" s="420"/>
      <c r="DP93" s="420"/>
      <c r="DQ93" s="420"/>
      <c r="DR93" s="420"/>
      <c r="DS93" s="420"/>
      <c r="DT93" s="420"/>
      <c r="DU93" s="420"/>
      <c r="DV93" s="420"/>
      <c r="DW93" s="420"/>
      <c r="DX93" s="420"/>
      <c r="DY93" s="420"/>
      <c r="DZ93" s="420"/>
      <c r="EA93" s="420"/>
    </row>
    <row r="94" spans="1:131">
      <c r="A94" s="420" t="s">
        <v>602</v>
      </c>
      <c r="B94" s="420"/>
      <c r="C94" s="32">
        <v>263.37666569558996</v>
      </c>
      <c r="D94" s="32">
        <v>-44.991428571428571</v>
      </c>
      <c r="E94" s="32">
        <v>-8.9982857142857142</v>
      </c>
      <c r="F94" s="32">
        <v>-53.989714285714285</v>
      </c>
      <c r="G94" s="32">
        <v>-54.598687510310107</v>
      </c>
      <c r="H94" s="32">
        <v>191.0419159010778</v>
      </c>
      <c r="I94" s="32">
        <v>-1795.7167765556396</v>
      </c>
      <c r="J94" s="32">
        <v>-22.174379848777985</v>
      </c>
      <c r="K94" s="32">
        <v>-33.358198810091075</v>
      </c>
      <c r="L94" s="30">
        <v>98.154322334229761</v>
      </c>
      <c r="M94" s="32">
        <v>2.502084953169061</v>
      </c>
      <c r="N94" s="32">
        <v>6.1475998839183005E-2</v>
      </c>
      <c r="O94" s="32">
        <v>10.787240859755801</v>
      </c>
      <c r="P94" s="32">
        <v>7.9746025118689534</v>
      </c>
      <c r="Q94" s="32">
        <v>7.4287100500447325</v>
      </c>
      <c r="R94" s="32">
        <v>4.2646263168246801</v>
      </c>
      <c r="S94" s="32">
        <v>3.4257270811452276</v>
      </c>
      <c r="T94" s="32">
        <v>2.6573621692161979</v>
      </c>
      <c r="U94" s="32">
        <v>2.7729366773493336</v>
      </c>
      <c r="V94" s="32">
        <v>4.0361008882236931</v>
      </c>
      <c r="W94" s="32">
        <v>5.0992966622164104</v>
      </c>
      <c r="X94" s="32">
        <v>8.3189267957519117</v>
      </c>
      <c r="Y94" s="32">
        <v>9.6335408152923012</v>
      </c>
      <c r="Z94" s="32">
        <v>11.348116822652125</v>
      </c>
      <c r="AA94" s="32"/>
      <c r="AB94" s="32">
        <v>17.878155575653324</v>
      </c>
      <c r="AC94" s="32">
        <v>15.507801890375703</v>
      </c>
      <c r="AD94" s="32">
        <v>15.633542251011525</v>
      </c>
      <c r="AE94" s="32">
        <v>14.88704037976057</v>
      </c>
      <c r="AF94" s="32">
        <v>13.711721984008088</v>
      </c>
      <c r="AG94" s="32">
        <v>12.458372933264844</v>
      </c>
      <c r="AH94" s="32">
        <v>13.604221802145107</v>
      </c>
      <c r="AI94" s="32">
        <v>14.689886708249871</v>
      </c>
      <c r="AJ94" s="32">
        <v>15.834183398964122</v>
      </c>
      <c r="AK94" s="32">
        <v>16.341774294107989</v>
      </c>
      <c r="AL94" s="32">
        <v>17.130743252833245</v>
      </c>
      <c r="AM94" s="26">
        <v>17.952033574874257</v>
      </c>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420"/>
      <c r="CY94" s="420"/>
      <c r="CZ94" s="420"/>
      <c r="DA94" s="420"/>
      <c r="DB94" s="420"/>
      <c r="DC94" s="420"/>
      <c r="DD94" s="420"/>
      <c r="DE94" s="420"/>
      <c r="DF94" s="420"/>
      <c r="DG94" s="420"/>
      <c r="DH94" s="420"/>
      <c r="DI94" s="420"/>
      <c r="DJ94" s="420"/>
      <c r="DK94" s="420"/>
      <c r="DL94" s="420"/>
      <c r="DM94" s="420"/>
      <c r="DN94" s="420"/>
      <c r="DO94" s="420"/>
      <c r="DP94" s="420"/>
      <c r="DQ94" s="420"/>
      <c r="DR94" s="420"/>
      <c r="DS94" s="420"/>
      <c r="DT94" s="420"/>
      <c r="DU94" s="420"/>
      <c r="DV94" s="420"/>
      <c r="DW94" s="420"/>
      <c r="DX94" s="420"/>
      <c r="DY94" s="420"/>
      <c r="DZ94" s="420"/>
      <c r="EA94" s="420"/>
    </row>
    <row r="95" spans="1:131">
      <c r="A95" s="420" t="s">
        <v>603</v>
      </c>
      <c r="B95" s="420"/>
      <c r="C95" s="32">
        <v>265.0185068731119</v>
      </c>
      <c r="D95" s="32">
        <v>-43.46</v>
      </c>
      <c r="E95" s="32">
        <v>-8.6920000000000002</v>
      </c>
      <c r="F95" s="32">
        <v>-52.152000000000001</v>
      </c>
      <c r="G95" s="32">
        <v>-52.369534908019077</v>
      </c>
      <c r="H95" s="32">
        <v>192.23283569395579</v>
      </c>
      <c r="I95" s="32">
        <v>-1723.8476112113021</v>
      </c>
      <c r="J95" s="32">
        <v>-22.011493080612524</v>
      </c>
      <c r="K95" s="32">
        <v>-32.644780358969037</v>
      </c>
      <c r="L95" s="30">
        <v>87.954146901043615</v>
      </c>
      <c r="M95" s="32">
        <v>2.5176824856798552</v>
      </c>
      <c r="N95" s="32">
        <v>6.1859228788794879E-2</v>
      </c>
      <c r="O95" s="32">
        <v>10.854486514144428</v>
      </c>
      <c r="P95" s="32">
        <v>8.0243147016097467</v>
      </c>
      <c r="Q95" s="32">
        <v>7.4750192476489419</v>
      </c>
      <c r="R95" s="32">
        <v>4.2912112045755162</v>
      </c>
      <c r="S95" s="32">
        <v>3.4470824269953315</v>
      </c>
      <c r="T95" s="32">
        <v>2.6739276710289177</v>
      </c>
      <c r="U95" s="32">
        <v>2.7902226491627786</v>
      </c>
      <c r="V95" s="32">
        <v>4.0612611909309102</v>
      </c>
      <c r="W95" s="32">
        <v>5.1310847297519908</v>
      </c>
      <c r="X95" s="32">
        <v>8.3707854390754726</v>
      </c>
      <c r="Y95" s="32">
        <v>9.6935945180533754</v>
      </c>
      <c r="Z95" s="32">
        <v>11.418858873537888</v>
      </c>
      <c r="AA95" s="32"/>
      <c r="AB95" s="32">
        <v>17.989604674322447</v>
      </c>
      <c r="AC95" s="32">
        <v>15.604474644771873</v>
      </c>
      <c r="AD95" s="32">
        <v>15.730998847443296</v>
      </c>
      <c r="AE95" s="32">
        <v>14.979843422286645</v>
      </c>
      <c r="AF95" s="32">
        <v>13.79719831012309</v>
      </c>
      <c r="AG95" s="32">
        <v>12.536036114369889</v>
      </c>
      <c r="AH95" s="32">
        <v>13.689027992108496</v>
      </c>
      <c r="AI95" s="32">
        <v>14.781460731434649</v>
      </c>
      <c r="AJ95" s="32">
        <v>15.932890755017077</v>
      </c>
      <c r="AK95" s="32">
        <v>16.443645877450333</v>
      </c>
      <c r="AL95" s="32">
        <v>17.237533122010824</v>
      </c>
      <c r="AM95" s="26">
        <v>18.063943215258089</v>
      </c>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420"/>
      <c r="CY95" s="420"/>
      <c r="CZ95" s="420"/>
      <c r="DA95" s="420"/>
      <c r="DB95" s="420"/>
      <c r="DC95" s="420"/>
      <c r="DD95" s="420"/>
      <c r="DE95" s="420"/>
      <c r="DF95" s="420"/>
      <c r="DG95" s="420"/>
      <c r="DH95" s="420"/>
      <c r="DI95" s="420"/>
      <c r="DJ95" s="420"/>
      <c r="DK95" s="420"/>
      <c r="DL95" s="420"/>
      <c r="DM95" s="420"/>
      <c r="DN95" s="420"/>
      <c r="DO95" s="420"/>
      <c r="DP95" s="420"/>
      <c r="DQ95" s="420"/>
      <c r="DR95" s="420"/>
      <c r="DS95" s="420"/>
      <c r="DT95" s="420"/>
      <c r="DU95" s="420"/>
      <c r="DV95" s="420"/>
      <c r="DW95" s="420"/>
      <c r="DX95" s="420"/>
      <c r="DY95" s="420"/>
      <c r="DZ95" s="420"/>
      <c r="EA95" s="420"/>
    </row>
    <row r="96" spans="1:131">
      <c r="A96" s="420"/>
      <c r="B96" s="420"/>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420"/>
      <c r="CY96" s="420"/>
      <c r="CZ96" s="420"/>
      <c r="DA96" s="420"/>
      <c r="DB96" s="420"/>
      <c r="DC96" s="420"/>
      <c r="DD96" s="420"/>
      <c r="DE96" s="420"/>
      <c r="DF96" s="420"/>
      <c r="DG96" s="420"/>
      <c r="DH96" s="420"/>
      <c r="DI96" s="420"/>
      <c r="DJ96" s="420"/>
      <c r="DK96" s="420"/>
      <c r="DL96" s="420"/>
      <c r="DM96" s="420"/>
      <c r="DN96" s="420"/>
      <c r="DO96" s="420"/>
      <c r="DP96" s="420"/>
      <c r="DQ96" s="420"/>
      <c r="DR96" s="420"/>
      <c r="DS96" s="420"/>
      <c r="DT96" s="420"/>
      <c r="DU96" s="420"/>
      <c r="DV96" s="420"/>
      <c r="DW96" s="420"/>
      <c r="DX96" s="420"/>
      <c r="DY96" s="420"/>
      <c r="DZ96" s="420"/>
      <c r="EA96" s="420"/>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8"/>
  <dimension ref="A4:DB15"/>
  <sheetViews>
    <sheetView workbookViewId="0">
      <selection activeCell="A23" sqref="A23"/>
    </sheetView>
  </sheetViews>
  <sheetFormatPr defaultRowHeight="12.75"/>
  <cols>
    <col min="1" max="1" width="39.28515625" customWidth="1"/>
    <col min="2" max="2" width="114.7109375" bestFit="1" customWidth="1"/>
    <col min="3" max="3" width="92.28515625" customWidth="1"/>
  </cols>
  <sheetData>
    <row r="4" spans="1:106" s="7" customFormat="1">
      <c r="A4" s="208" t="s">
        <v>598</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row>
    <row r="5" spans="1:106" s="7" customFormat="1">
      <c r="B5" s="12"/>
      <c r="C5" s="13"/>
      <c r="D5" s="13"/>
      <c r="E5" s="13"/>
      <c r="F5" s="13"/>
      <c r="G5" s="13"/>
      <c r="H5" s="14"/>
      <c r="I5" s="72"/>
      <c r="J5" s="428" t="s">
        <v>4</v>
      </c>
      <c r="K5" s="429"/>
      <c r="L5" s="429"/>
      <c r="M5" s="429"/>
      <c r="N5" s="429"/>
      <c r="O5" s="430"/>
      <c r="P5" s="431" t="s">
        <v>5</v>
      </c>
      <c r="Q5" s="432"/>
      <c r="R5" s="16"/>
      <c r="S5" s="17"/>
      <c r="T5" s="17"/>
      <c r="U5" s="17"/>
      <c r="V5" s="17"/>
      <c r="W5" s="17"/>
      <c r="X5" s="17"/>
      <c r="Y5" s="18"/>
      <c r="Z5" s="19"/>
      <c r="AA5" s="17"/>
      <c r="AB5" s="17"/>
      <c r="AC5" s="17"/>
      <c r="AD5" s="17"/>
      <c r="AE5" s="17"/>
      <c r="AF5" s="20"/>
      <c r="AG5" s="20"/>
      <c r="AH5" s="20"/>
      <c r="AI5" s="20"/>
      <c r="AJ5" s="20"/>
      <c r="AK5" s="20"/>
      <c r="AL5" s="20"/>
      <c r="AM5" s="20"/>
      <c r="AN5" s="20"/>
      <c r="AO5" s="20"/>
      <c r="AP5" s="20"/>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row>
    <row r="6" spans="1:106" s="7" customFormat="1" ht="38.25">
      <c r="B6" s="73" t="s">
        <v>6</v>
      </c>
      <c r="C6" s="73" t="s">
        <v>7</v>
      </c>
      <c r="D6" s="73" t="s">
        <v>8</v>
      </c>
      <c r="E6" s="73" t="s">
        <v>9</v>
      </c>
      <c r="F6" s="73" t="s">
        <v>10</v>
      </c>
      <c r="G6" s="73" t="s">
        <v>11</v>
      </c>
      <c r="H6" s="74" t="s">
        <v>12</v>
      </c>
      <c r="I6" s="74" t="s">
        <v>13</v>
      </c>
      <c r="J6" s="74" t="s">
        <v>14</v>
      </c>
      <c r="K6" s="74" t="s">
        <v>15</v>
      </c>
      <c r="L6" s="74" t="s">
        <v>16</v>
      </c>
      <c r="M6" s="74" t="s">
        <v>17</v>
      </c>
      <c r="N6" s="74" t="s">
        <v>18</v>
      </c>
      <c r="O6" s="74" t="s">
        <v>19</v>
      </c>
      <c r="P6" s="75" t="s">
        <v>20</v>
      </c>
      <c r="Q6" s="74" t="s">
        <v>12</v>
      </c>
      <c r="R6" s="23"/>
      <c r="S6" s="23"/>
      <c r="T6" s="23"/>
      <c r="U6" s="23"/>
      <c r="V6" s="23"/>
      <c r="W6" s="23"/>
      <c r="X6" s="23"/>
      <c r="Y6" s="23"/>
      <c r="Z6" s="23"/>
      <c r="AA6" s="23"/>
      <c r="AB6" s="23"/>
      <c r="AC6" s="23"/>
      <c r="AD6" s="23"/>
      <c r="AE6" s="23"/>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c r="B7" t="str">
        <f>Raw!B16</f>
        <v>35-44W LED fixture &amp; NEW Photocell_Replacing_100W HID fixture</v>
      </c>
      <c r="C7" t="str">
        <f>Raw!C16</f>
        <v>35-44W LED fixture &amp; NEW Photocell_Replacing_100W HID fixture</v>
      </c>
      <c r="D7">
        <f>Raw!D16</f>
        <v>245.66477952671087</v>
      </c>
      <c r="E7">
        <f>Raw!E16</f>
        <v>20</v>
      </c>
      <c r="F7">
        <f>Raw!F16</f>
        <v>-44.991428571428571</v>
      </c>
      <c r="G7">
        <f>Raw!G16</f>
        <v>0</v>
      </c>
      <c r="H7" t="str">
        <f>Raw!H16</f>
        <v>StreetLight</v>
      </c>
      <c r="I7">
        <f>Raw!I16</f>
        <v>0</v>
      </c>
      <c r="J7">
        <f>Raw!J16</f>
        <v>4.9249836921069798</v>
      </c>
      <c r="K7">
        <f>Raw!K16</f>
        <v>15.981735159817351</v>
      </c>
      <c r="L7">
        <f>Raw!L16</f>
        <v>0</v>
      </c>
      <c r="M7">
        <f>Raw!M16</f>
        <v>0</v>
      </c>
      <c r="N7">
        <f>Raw!N16</f>
        <v>0</v>
      </c>
      <c r="O7">
        <f>Raw!O16</f>
        <v>0</v>
      </c>
      <c r="P7">
        <f>Raw!P16</f>
        <v>0</v>
      </c>
      <c r="Q7">
        <f>Raw!Q16</f>
        <v>0</v>
      </c>
    </row>
    <row r="8" spans="1:106">
      <c r="B8" t="str">
        <f>Raw!B17</f>
        <v>35-44W LED fixture &amp; NEW Photocell_Replacing_150W HID fixture</v>
      </c>
      <c r="C8" t="str">
        <f>Raw!C17</f>
        <v>35-44W LED fixture &amp; NEW Photocell_Replacing_150W HID fixture</v>
      </c>
      <c r="D8">
        <f>Raw!D17</f>
        <v>247.05287476480612</v>
      </c>
      <c r="E8">
        <f>Raw!E17</f>
        <v>20</v>
      </c>
      <c r="F8">
        <f>Raw!F17</f>
        <v>-43.603333333333332</v>
      </c>
      <c r="G8">
        <f>Raw!G17</f>
        <v>0</v>
      </c>
      <c r="H8" t="str">
        <f>Raw!H17</f>
        <v>StreetLight</v>
      </c>
      <c r="I8">
        <f>Raw!I17</f>
        <v>0</v>
      </c>
      <c r="J8">
        <f>Raw!J17</f>
        <v>4.4520547945205475</v>
      </c>
      <c r="K8">
        <f>Raw!K17</f>
        <v>15.981735159817351</v>
      </c>
      <c r="L8">
        <f>Raw!L17</f>
        <v>0</v>
      </c>
      <c r="M8">
        <f>Raw!M17</f>
        <v>0</v>
      </c>
      <c r="N8">
        <f>Raw!N17</f>
        <v>0</v>
      </c>
      <c r="O8">
        <f>Raw!O17</f>
        <v>0</v>
      </c>
      <c r="P8">
        <f>Raw!P17</f>
        <v>0</v>
      </c>
      <c r="Q8">
        <f>Raw!Q17</f>
        <v>0</v>
      </c>
    </row>
    <row r="9" spans="1:106">
      <c r="B9" t="str">
        <f>Raw!B18</f>
        <v>35-44W LED fixture &amp; NEW Photocell_Replacing_175W MH fixture</v>
      </c>
      <c r="C9" t="str">
        <f>Raw!C18</f>
        <v>35-44W LED fixture &amp; NEW Photocell_Replacing_175W MH fixture</v>
      </c>
      <c r="D9">
        <f>Raw!D18</f>
        <v>248.63620809813943</v>
      </c>
      <c r="E9">
        <f>Raw!E18</f>
        <v>20</v>
      </c>
      <c r="F9">
        <f>Raw!F18</f>
        <v>-42.02</v>
      </c>
      <c r="G9">
        <f>Raw!G18</f>
        <v>0</v>
      </c>
      <c r="H9" t="str">
        <f>Raw!H18</f>
        <v>StreetLight</v>
      </c>
      <c r="I9">
        <f>Raw!I18</f>
        <v>0</v>
      </c>
      <c r="J9">
        <f>Raw!J18</f>
        <v>2.2831050228310503</v>
      </c>
      <c r="K9">
        <f>Raw!K18</f>
        <v>15.981735159817351</v>
      </c>
      <c r="L9">
        <f>Raw!L18</f>
        <v>0</v>
      </c>
      <c r="M9">
        <f>Raw!M18</f>
        <v>0</v>
      </c>
      <c r="N9">
        <f>Raw!N18</f>
        <v>0</v>
      </c>
      <c r="O9">
        <f>Raw!O18</f>
        <v>0</v>
      </c>
      <c r="P9">
        <f>Raw!P18</f>
        <v>0</v>
      </c>
      <c r="Q9">
        <f>Raw!Q18</f>
        <v>0</v>
      </c>
    </row>
    <row r="10" spans="1:106">
      <c r="B10" t="str">
        <f>Raw!B19</f>
        <v>35-44W LED fixture &amp; NEW Photocell_Replacing_175W MV fixture</v>
      </c>
      <c r="C10" t="str">
        <f>Raw!C19</f>
        <v>35-44W LED fixture &amp; NEW Photocell_Replacing_175W MV fixture</v>
      </c>
      <c r="D10">
        <f>Raw!D19</f>
        <v>245.66477952671087</v>
      </c>
      <c r="E10">
        <f>Raw!E19</f>
        <v>20</v>
      </c>
      <c r="F10">
        <f>Raw!F19</f>
        <v>-44.991428571428571</v>
      </c>
      <c r="G10">
        <f>Raw!G19</f>
        <v>0</v>
      </c>
      <c r="H10" t="str">
        <f>Raw!H19</f>
        <v>StreetLight</v>
      </c>
      <c r="I10">
        <f>Raw!I19</f>
        <v>0</v>
      </c>
      <c r="J10">
        <f>Raw!J19</f>
        <v>4.9249836921069798</v>
      </c>
      <c r="K10">
        <f>Raw!K19</f>
        <v>15.981735159817351</v>
      </c>
      <c r="L10">
        <f>Raw!L19</f>
        <v>0</v>
      </c>
      <c r="M10">
        <f>Raw!M19</f>
        <v>0</v>
      </c>
      <c r="N10">
        <f>Raw!N19</f>
        <v>0</v>
      </c>
      <c r="O10">
        <f>Raw!O19</f>
        <v>0</v>
      </c>
      <c r="P10">
        <f>Raw!P19</f>
        <v>0</v>
      </c>
      <c r="Q10">
        <f>Raw!Q19</f>
        <v>0</v>
      </c>
    </row>
    <row r="11" spans="1:106">
      <c r="B11" t="str">
        <f>Raw!B20</f>
        <v>35-44W LED fixture &amp; NEW Photocell_Replacing_200W HID fixture</v>
      </c>
      <c r="C11" t="str">
        <f>Raw!C20</f>
        <v>35-44W LED fixture &amp; NEW Photocell_Replacing_200W HID fixture</v>
      </c>
      <c r="D11">
        <f>Raw!D20</f>
        <v>247.19620809813944</v>
      </c>
      <c r="E11">
        <f>Raw!E20</f>
        <v>20</v>
      </c>
      <c r="F11">
        <f>Raw!F20</f>
        <v>-43.46</v>
      </c>
      <c r="G11">
        <f>Raw!G20</f>
        <v>0</v>
      </c>
      <c r="H11" t="str">
        <f>Raw!H20</f>
        <v>StreetLight</v>
      </c>
      <c r="I11">
        <f>Raw!I20</f>
        <v>0</v>
      </c>
      <c r="J11">
        <f>Raw!J20</f>
        <v>5.4794520547945202</v>
      </c>
      <c r="K11">
        <f>Raw!K20</f>
        <v>15.981735159817351</v>
      </c>
      <c r="L11">
        <f>Raw!L20</f>
        <v>0</v>
      </c>
      <c r="M11">
        <f>Raw!M20</f>
        <v>0</v>
      </c>
      <c r="N11">
        <f>Raw!N20</f>
        <v>0</v>
      </c>
      <c r="O11">
        <f>Raw!O20</f>
        <v>0</v>
      </c>
      <c r="P11">
        <f>Raw!P20</f>
        <v>0</v>
      </c>
      <c r="Q11">
        <f>Raw!Q20</f>
        <v>0</v>
      </c>
    </row>
    <row r="13" spans="1:106">
      <c r="A13" s="94"/>
    </row>
    <row r="14" spans="1:106">
      <c r="A14" s="94"/>
    </row>
    <row r="15" spans="1:106">
      <c r="A15" s="94"/>
    </row>
  </sheetData>
  <mergeCells count="2">
    <mergeCell ref="J5:O5"/>
    <mergeCell ref="P5:Q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10"/>
  <dimension ref="B1:DB72"/>
  <sheetViews>
    <sheetView topLeftCell="C1" workbookViewId="0">
      <selection activeCell="F8" sqref="F8"/>
    </sheetView>
  </sheetViews>
  <sheetFormatPr defaultRowHeight="12.75"/>
  <cols>
    <col min="1" max="1" width="25.42578125" customWidth="1"/>
    <col min="2" max="2" width="105.140625" customWidth="1"/>
    <col min="3" max="3" width="81.42578125" customWidth="1"/>
    <col min="16" max="16" width="9.85546875" customWidth="1"/>
  </cols>
  <sheetData>
    <row r="1" spans="2:106" s="69" customFormat="1" ht="14.25">
      <c r="B1" s="65" t="s">
        <v>0</v>
      </c>
      <c r="C1" s="66"/>
      <c r="D1" s="66"/>
      <c r="E1" s="66"/>
      <c r="F1" s="66"/>
      <c r="G1" s="66"/>
      <c r="H1" s="66"/>
      <c r="I1" s="66"/>
      <c r="J1" s="67"/>
      <c r="K1" s="67"/>
      <c r="L1" s="67"/>
      <c r="M1" s="67"/>
      <c r="N1" s="67"/>
      <c r="O1" s="68"/>
    </row>
    <row r="2" spans="2:106" s="69" customFormat="1">
      <c r="B2" s="70" t="s">
        <v>109</v>
      </c>
      <c r="C2" s="66"/>
      <c r="D2" s="66"/>
      <c r="E2" s="66"/>
      <c r="F2" s="66"/>
      <c r="G2" s="66"/>
      <c r="H2" s="66"/>
      <c r="I2" s="66"/>
      <c r="J2" s="67"/>
      <c r="K2" s="67"/>
      <c r="L2" s="67"/>
      <c r="M2" s="67"/>
      <c r="N2" s="67"/>
      <c r="O2" s="68"/>
      <c r="Q2" s="71"/>
    </row>
    <row r="3" spans="2:106" s="7" customFormat="1">
      <c r="B3" s="8" t="s">
        <v>2</v>
      </c>
      <c r="D3" s="8">
        <v>2012</v>
      </c>
      <c r="K3" s="9"/>
      <c r="L3" s="10"/>
      <c r="CP3" s="10"/>
      <c r="CQ3" s="10"/>
    </row>
    <row r="4" spans="2:106" s="7" customFormat="1"/>
    <row r="5" spans="2:106" s="7" customFormat="1">
      <c r="B5" s="11">
        <v>1</v>
      </c>
      <c r="C5" s="11">
        <v>2</v>
      </c>
      <c r="D5" s="11">
        <v>3</v>
      </c>
      <c r="E5" s="11">
        <v>4</v>
      </c>
      <c r="F5" s="11">
        <v>5</v>
      </c>
      <c r="G5" s="11">
        <v>6</v>
      </c>
      <c r="H5" s="11">
        <v>7</v>
      </c>
      <c r="I5" s="11">
        <v>8</v>
      </c>
      <c r="J5" s="11">
        <v>9</v>
      </c>
      <c r="K5" s="11">
        <v>10</v>
      </c>
      <c r="L5" s="11">
        <v>11</v>
      </c>
      <c r="M5" s="11">
        <v>12</v>
      </c>
      <c r="N5" s="11">
        <v>13</v>
      </c>
      <c r="O5" s="11">
        <v>14</v>
      </c>
      <c r="P5" s="11">
        <v>15</v>
      </c>
      <c r="Q5" s="11">
        <v>16</v>
      </c>
      <c r="R5" s="11">
        <v>17</v>
      </c>
      <c r="S5" s="11">
        <v>18</v>
      </c>
      <c r="T5" s="11">
        <v>19</v>
      </c>
      <c r="U5" s="11">
        <v>20</v>
      </c>
      <c r="V5" s="11">
        <v>21</v>
      </c>
      <c r="W5" s="11">
        <v>22</v>
      </c>
      <c r="X5" s="11">
        <v>23</v>
      </c>
      <c r="Y5" s="11">
        <v>24</v>
      </c>
      <c r="Z5" s="11">
        <v>25</v>
      </c>
      <c r="AA5" s="11">
        <v>26</v>
      </c>
      <c r="AB5" s="11">
        <v>27</v>
      </c>
      <c r="AC5" s="11">
        <v>28</v>
      </c>
      <c r="AD5" s="11">
        <v>29</v>
      </c>
      <c r="AE5" s="11">
        <v>30</v>
      </c>
      <c r="AF5" s="11">
        <v>31</v>
      </c>
      <c r="AG5" s="11">
        <v>32</v>
      </c>
      <c r="AH5" s="11">
        <v>33</v>
      </c>
      <c r="AI5" s="11">
        <v>34</v>
      </c>
      <c r="AJ5" s="11">
        <v>35</v>
      </c>
      <c r="AK5" s="11">
        <v>36</v>
      </c>
      <c r="AL5" s="11">
        <v>37</v>
      </c>
      <c r="AM5" s="11">
        <v>38</v>
      </c>
      <c r="AN5" s="11">
        <v>39</v>
      </c>
      <c r="AO5" s="11">
        <v>40</v>
      </c>
      <c r="AP5" s="11">
        <v>41</v>
      </c>
      <c r="AQ5" s="11">
        <v>42</v>
      </c>
      <c r="AR5" s="11">
        <v>43</v>
      </c>
      <c r="AS5" s="11">
        <v>44</v>
      </c>
      <c r="AT5" s="11">
        <v>45</v>
      </c>
      <c r="AU5" s="11">
        <v>46</v>
      </c>
      <c r="AV5" s="11">
        <v>47</v>
      </c>
      <c r="AW5" s="11">
        <v>48</v>
      </c>
      <c r="AX5" s="11">
        <v>49</v>
      </c>
      <c r="AY5" s="11">
        <v>50</v>
      </c>
      <c r="AZ5" s="11">
        <v>51</v>
      </c>
      <c r="BA5" s="11">
        <v>52</v>
      </c>
      <c r="BB5" s="11">
        <v>53</v>
      </c>
      <c r="BC5" s="11">
        <v>54</v>
      </c>
      <c r="BD5" s="11">
        <v>55</v>
      </c>
      <c r="BE5" s="11">
        <v>56</v>
      </c>
      <c r="BF5" s="11">
        <v>57</v>
      </c>
      <c r="BG5" s="11">
        <v>58</v>
      </c>
      <c r="BH5" s="11">
        <v>59</v>
      </c>
      <c r="BI5" s="11">
        <v>60</v>
      </c>
      <c r="BJ5" s="11">
        <v>61</v>
      </c>
      <c r="BK5" s="11">
        <v>62</v>
      </c>
      <c r="BL5" s="11">
        <v>63</v>
      </c>
      <c r="BM5" s="11">
        <v>64</v>
      </c>
      <c r="BN5" s="11">
        <v>65</v>
      </c>
      <c r="BO5" s="11">
        <v>66</v>
      </c>
      <c r="BP5" s="11">
        <v>67</v>
      </c>
      <c r="BQ5" s="11">
        <v>68</v>
      </c>
      <c r="BR5" s="11">
        <v>69</v>
      </c>
      <c r="BS5" s="11">
        <v>70</v>
      </c>
      <c r="BT5" s="11">
        <v>71</v>
      </c>
      <c r="BU5" s="11">
        <v>72</v>
      </c>
      <c r="BV5" s="11">
        <v>73</v>
      </c>
      <c r="BW5" s="11">
        <v>74</v>
      </c>
      <c r="BX5" s="11">
        <v>75</v>
      </c>
      <c r="BY5" s="11">
        <v>76</v>
      </c>
      <c r="BZ5" s="11">
        <v>77</v>
      </c>
      <c r="CA5" s="11">
        <v>78</v>
      </c>
      <c r="CB5" s="11">
        <v>79</v>
      </c>
      <c r="CC5" s="11">
        <v>80</v>
      </c>
      <c r="CD5" s="11">
        <v>81</v>
      </c>
      <c r="CE5" s="11">
        <v>82</v>
      </c>
      <c r="CF5" s="11">
        <v>83</v>
      </c>
      <c r="CG5" s="11">
        <v>84</v>
      </c>
      <c r="CH5" s="11">
        <v>85</v>
      </c>
      <c r="CI5" s="11">
        <v>86</v>
      </c>
      <c r="CJ5" s="11">
        <v>87</v>
      </c>
      <c r="CK5" s="11">
        <v>88</v>
      </c>
      <c r="CL5" s="11">
        <v>89</v>
      </c>
      <c r="CM5" s="11">
        <v>90</v>
      </c>
      <c r="CN5" s="11">
        <v>91</v>
      </c>
      <c r="CO5" s="11">
        <v>92</v>
      </c>
      <c r="CP5" s="11">
        <v>93</v>
      </c>
      <c r="CQ5" s="11">
        <v>94</v>
      </c>
      <c r="CR5" s="11">
        <v>95</v>
      </c>
      <c r="CS5" s="11">
        <v>96</v>
      </c>
      <c r="CT5" s="11">
        <v>97</v>
      </c>
      <c r="CU5" s="11">
        <v>98</v>
      </c>
      <c r="CV5" s="11">
        <v>99</v>
      </c>
      <c r="CW5" s="11">
        <v>100</v>
      </c>
      <c r="CX5" s="11">
        <v>101</v>
      </c>
      <c r="CY5" s="11">
        <v>102</v>
      </c>
      <c r="CZ5" s="11">
        <v>103</v>
      </c>
      <c r="DA5" s="11">
        <v>104</v>
      </c>
      <c r="DB5" s="11">
        <v>105</v>
      </c>
    </row>
    <row r="6" spans="2:106" s="7" customFormat="1">
      <c r="B6" s="12" t="s">
        <v>3</v>
      </c>
      <c r="C6" s="13"/>
      <c r="D6" s="13"/>
      <c r="E6" s="13"/>
      <c r="F6" s="13"/>
      <c r="G6" s="13"/>
      <c r="H6" s="14"/>
      <c r="I6" s="72"/>
      <c r="J6" s="428" t="s">
        <v>4</v>
      </c>
      <c r="K6" s="429"/>
      <c r="L6" s="429"/>
      <c r="M6" s="429"/>
      <c r="N6" s="429"/>
      <c r="O6" s="430"/>
      <c r="P6" s="431" t="s">
        <v>5</v>
      </c>
      <c r="Q6" s="432"/>
      <c r="R6" s="16"/>
      <c r="S6" s="17"/>
      <c r="T6" s="17"/>
      <c r="U6" s="17"/>
      <c r="V6" s="17"/>
      <c r="W6" s="17"/>
      <c r="X6" s="17"/>
      <c r="Y6" s="18"/>
      <c r="Z6" s="19"/>
      <c r="AA6" s="17"/>
      <c r="AB6" s="17"/>
      <c r="AC6" s="17"/>
      <c r="AD6" s="17"/>
      <c r="AE6" s="17"/>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2:106" s="7" customFormat="1" ht="38.25">
      <c r="B7" s="73" t="s">
        <v>6</v>
      </c>
      <c r="C7" s="73" t="s">
        <v>7</v>
      </c>
      <c r="D7" s="73" t="s">
        <v>8</v>
      </c>
      <c r="E7" s="73" t="s">
        <v>9</v>
      </c>
      <c r="F7" s="73" t="s">
        <v>10</v>
      </c>
      <c r="G7" s="73" t="s">
        <v>11</v>
      </c>
      <c r="H7" s="74" t="s">
        <v>12</v>
      </c>
      <c r="I7" s="74" t="s">
        <v>13</v>
      </c>
      <c r="J7" s="74" t="s">
        <v>14</v>
      </c>
      <c r="K7" s="74" t="s">
        <v>15</v>
      </c>
      <c r="L7" s="74" t="s">
        <v>16</v>
      </c>
      <c r="M7" s="74" t="s">
        <v>17</v>
      </c>
      <c r="N7" s="74" t="s">
        <v>18</v>
      </c>
      <c r="O7" s="74" t="s">
        <v>19</v>
      </c>
      <c r="P7" s="75" t="s">
        <v>20</v>
      </c>
      <c r="Q7" s="74" t="s">
        <v>12</v>
      </c>
      <c r="R7" s="23"/>
      <c r="S7" s="23"/>
      <c r="T7" s="23"/>
      <c r="U7" s="23"/>
      <c r="V7" s="23"/>
      <c r="W7" s="23"/>
      <c r="X7" s="23"/>
      <c r="Y7" s="23"/>
      <c r="Z7" s="23"/>
      <c r="AA7" s="23"/>
      <c r="AB7" s="23"/>
      <c r="AC7" s="23"/>
      <c r="AD7" s="23"/>
      <c r="AE7" s="23"/>
      <c r="AF7" s="20"/>
      <c r="AG7" s="20"/>
      <c r="AH7" s="20"/>
      <c r="AI7" s="20"/>
      <c r="AJ7" s="20"/>
      <c r="AK7" s="20"/>
      <c r="AL7" s="20"/>
      <c r="AM7" s="20"/>
      <c r="AN7" s="20"/>
      <c r="AO7" s="20"/>
      <c r="AP7" s="20"/>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2:106">
      <c r="B8" s="290" t="str">
        <f t="shared" ref="B8:B23" si="0">C8</f>
        <v>45-54W LED lamp &amp; NEW Photocell_Replacing_100W HID lamp</v>
      </c>
      <c r="C8" s="290" t="str">
        <f>'SavingsData&amp;Analysis'!E5</f>
        <v>45-54W LED lamp &amp; NEW Photocell_Replacing_100W HID lamp</v>
      </c>
      <c r="D8" s="291">
        <f>'SavingsData&amp;Analysis'!G5</f>
        <v>227.36304294476736</v>
      </c>
      <c r="E8" s="292">
        <f>ROUND(MIN('SavingsData&amp;Analysis'!K5,20),0)</f>
        <v>20</v>
      </c>
      <c r="F8" s="293">
        <f>'SavingsData&amp;Analysis'!H5</f>
        <v>-44.991428571428571</v>
      </c>
      <c r="G8" s="292">
        <v>0</v>
      </c>
      <c r="H8" s="174" t="s">
        <v>502</v>
      </c>
      <c r="I8" s="175"/>
      <c r="J8" s="177">
        <f>'SavingsData&amp;Analysis'!I5</f>
        <v>4.9249836921069798</v>
      </c>
      <c r="K8" s="178">
        <f>'SavingsData&amp;Analysis'!J5</f>
        <v>15.981735159817351</v>
      </c>
      <c r="L8" s="175"/>
      <c r="M8" s="175"/>
      <c r="N8" s="175"/>
      <c r="O8" s="175"/>
      <c r="P8" s="175"/>
      <c r="Q8" s="175"/>
    </row>
    <row r="9" spans="2:106">
      <c r="B9" s="290" t="str">
        <f t="shared" si="0"/>
        <v>45-54W LED lamp &amp; NEW Photocell_Replacing_150W HID lamp</v>
      </c>
      <c r="C9" s="290" t="str">
        <f>'SavingsData&amp;Analysis'!E6</f>
        <v>45-54W LED lamp &amp; NEW Photocell_Replacing_150W HID lamp</v>
      </c>
      <c r="D9" s="291">
        <f>'SavingsData&amp;Analysis'!G6</f>
        <v>228.7511381828626</v>
      </c>
      <c r="E9" s="292">
        <f>ROUND(MIN('SavingsData&amp;Analysis'!K6,20),0)</f>
        <v>20</v>
      </c>
      <c r="F9" s="293">
        <f>'SavingsData&amp;Analysis'!H6</f>
        <v>-43.603333333333332</v>
      </c>
      <c r="G9" s="292">
        <v>0</v>
      </c>
      <c r="H9" s="174" t="s">
        <v>502</v>
      </c>
      <c r="I9" s="294"/>
      <c r="J9" s="177">
        <f>'SavingsData&amp;Analysis'!I6</f>
        <v>4.4520547945205475</v>
      </c>
      <c r="K9" s="178">
        <f>'SavingsData&amp;Analysis'!J6</f>
        <v>15.981735159817351</v>
      </c>
      <c r="L9" s="294"/>
      <c r="M9" s="294"/>
      <c r="N9" s="294"/>
      <c r="O9" s="294"/>
      <c r="P9" s="294"/>
      <c r="Q9" s="294"/>
    </row>
    <row r="10" spans="2:106">
      <c r="B10" s="290" t="str">
        <f t="shared" si="0"/>
        <v>45-54W LED lamp &amp; NEW Photocell_Replacing_175W MH lamp</v>
      </c>
      <c r="C10" s="290" t="str">
        <f>'SavingsData&amp;Analysis'!E7</f>
        <v>45-54W LED lamp &amp; NEW Photocell_Replacing_175W MH lamp</v>
      </c>
      <c r="D10" s="291">
        <f>'SavingsData&amp;Analysis'!G7</f>
        <v>230.33447151619592</v>
      </c>
      <c r="E10" s="292">
        <f>ROUND(MIN('SavingsData&amp;Analysis'!K7,20),0)</f>
        <v>20</v>
      </c>
      <c r="F10" s="293">
        <f>'SavingsData&amp;Analysis'!H7</f>
        <v>-42.02</v>
      </c>
      <c r="G10" s="292">
        <v>0</v>
      </c>
      <c r="H10" s="174" t="s">
        <v>502</v>
      </c>
      <c r="I10" s="294"/>
      <c r="J10" s="177">
        <f>'SavingsData&amp;Analysis'!I7</f>
        <v>2.2831050228310503</v>
      </c>
      <c r="K10" s="178">
        <f>'SavingsData&amp;Analysis'!J7</f>
        <v>15.981735159817351</v>
      </c>
      <c r="L10" s="294"/>
      <c r="M10" s="294"/>
      <c r="N10" s="294"/>
      <c r="O10" s="294"/>
      <c r="P10" s="294"/>
      <c r="Q10" s="294"/>
    </row>
    <row r="11" spans="2:106">
      <c r="B11" s="290" t="str">
        <f t="shared" si="0"/>
        <v>45-54W LED lamp &amp; NEW Photocell_Replacing_175W MV lamp</v>
      </c>
      <c r="C11" s="290" t="str">
        <f>'SavingsData&amp;Analysis'!E8</f>
        <v>45-54W LED lamp &amp; NEW Photocell_Replacing_175W MV lamp</v>
      </c>
      <c r="D11" s="291">
        <f>'SavingsData&amp;Analysis'!G8</f>
        <v>227.36304294476736</v>
      </c>
      <c r="E11" s="292">
        <f>ROUND(MIN('SavingsData&amp;Analysis'!K8,20),0)</f>
        <v>20</v>
      </c>
      <c r="F11" s="293">
        <f>'SavingsData&amp;Analysis'!H8</f>
        <v>-44.991428571428571</v>
      </c>
      <c r="G11" s="292">
        <v>0</v>
      </c>
      <c r="H11" s="174" t="s">
        <v>502</v>
      </c>
      <c r="I11" s="294"/>
      <c r="J11" s="177">
        <f>'SavingsData&amp;Analysis'!I8</f>
        <v>4.9249836921069798</v>
      </c>
      <c r="K11" s="178">
        <f>'SavingsData&amp;Analysis'!J8</f>
        <v>15.981735159817351</v>
      </c>
      <c r="L11" s="294"/>
      <c r="M11" s="294"/>
      <c r="N11" s="294"/>
      <c r="O11" s="294"/>
      <c r="P11" s="294"/>
      <c r="Q11" s="294"/>
    </row>
    <row r="12" spans="2:106">
      <c r="B12" s="290" t="str">
        <f t="shared" si="0"/>
        <v>45-54W LED lamp &amp; Existing Photocell_Replacing_100W HID lamp</v>
      </c>
      <c r="C12" s="290" t="str">
        <f>'SavingsData&amp;Analysis'!E9</f>
        <v>45-54W LED lamp &amp; Existing Photocell_Replacing_100W HID lamp</v>
      </c>
      <c r="D12" s="291">
        <f>'SavingsData&amp;Analysis'!G9</f>
        <v>197.36304294476736</v>
      </c>
      <c r="E12" s="292">
        <f>ROUND(MIN('SavingsData&amp;Analysis'!K9,20),0)</f>
        <v>20</v>
      </c>
      <c r="F12" s="293">
        <f>'SavingsData&amp;Analysis'!H9</f>
        <v>-17.151428571428571</v>
      </c>
      <c r="G12" s="292">
        <v>0</v>
      </c>
      <c r="H12" s="174" t="s">
        <v>502</v>
      </c>
      <c r="I12" s="168"/>
      <c r="J12" s="177">
        <f>'SavingsData&amp;Analysis'!I9</f>
        <v>4.9249836921069798</v>
      </c>
      <c r="K12" s="178">
        <f>'SavingsData&amp;Analysis'!J9</f>
        <v>15.981735159817351</v>
      </c>
      <c r="L12" s="168"/>
      <c r="M12" s="168"/>
      <c r="N12" s="168"/>
      <c r="O12" s="168"/>
      <c r="P12" s="168"/>
      <c r="Q12" s="168"/>
    </row>
    <row r="13" spans="2:106">
      <c r="B13" s="290" t="str">
        <f t="shared" si="0"/>
        <v>45-54W LED lamp &amp; Existing Photocell_Replacing_150W HID lamp</v>
      </c>
      <c r="C13" s="290" t="str">
        <f>'SavingsData&amp;Analysis'!E10</f>
        <v>45-54W LED lamp &amp; Existing Photocell_Replacing_150W HID lamp</v>
      </c>
      <c r="D13" s="291">
        <f>'SavingsData&amp;Analysis'!G10</f>
        <v>198.7511381828626</v>
      </c>
      <c r="E13" s="292">
        <f>ROUND(MIN('SavingsData&amp;Analysis'!K10,20),0)</f>
        <v>20</v>
      </c>
      <c r="F13" s="293">
        <f>'SavingsData&amp;Analysis'!H10</f>
        <v>-15.76333333333333</v>
      </c>
      <c r="G13" s="292">
        <v>0</v>
      </c>
      <c r="H13" s="174" t="s">
        <v>502</v>
      </c>
      <c r="I13" s="175"/>
      <c r="J13" s="177">
        <f>'SavingsData&amp;Analysis'!I10</f>
        <v>4.4520547945205475</v>
      </c>
      <c r="K13" s="178">
        <f>'SavingsData&amp;Analysis'!J10</f>
        <v>15.981735159817351</v>
      </c>
      <c r="L13" s="175"/>
      <c r="M13" s="175"/>
      <c r="N13" s="175"/>
      <c r="O13" s="175"/>
      <c r="P13" s="175"/>
      <c r="Q13" s="175"/>
    </row>
    <row r="14" spans="2:106">
      <c r="B14" s="290" t="str">
        <f t="shared" si="0"/>
        <v>45-54W LED lamp &amp; Existing Photocell_Replacing_175W MH lamp</v>
      </c>
      <c r="C14" s="290" t="str">
        <f>'SavingsData&amp;Analysis'!E11</f>
        <v>45-54W LED lamp &amp; Existing Photocell_Replacing_175W MH lamp</v>
      </c>
      <c r="D14" s="291">
        <f>'SavingsData&amp;Analysis'!G11</f>
        <v>200.33447151619592</v>
      </c>
      <c r="E14" s="292">
        <f>ROUND(MIN('SavingsData&amp;Analysis'!K11,20),0)</f>
        <v>20</v>
      </c>
      <c r="F14" s="293">
        <f>'SavingsData&amp;Analysis'!H11</f>
        <v>-14.18</v>
      </c>
      <c r="G14" s="292">
        <v>0</v>
      </c>
      <c r="H14" s="174" t="s">
        <v>502</v>
      </c>
      <c r="I14" s="175"/>
      <c r="J14" s="177">
        <f>'SavingsData&amp;Analysis'!I11</f>
        <v>2.2831050228310503</v>
      </c>
      <c r="K14" s="178">
        <f>'SavingsData&amp;Analysis'!J11</f>
        <v>15.981735159817351</v>
      </c>
      <c r="L14" s="175"/>
      <c r="M14" s="175"/>
      <c r="N14" s="175"/>
      <c r="O14" s="175"/>
      <c r="P14" s="175"/>
      <c r="Q14" s="175"/>
    </row>
    <row r="15" spans="2:106">
      <c r="B15" s="290" t="str">
        <f t="shared" si="0"/>
        <v>45-54W LED lamp &amp; Existing Photocell_Replacing_175W MV lamp</v>
      </c>
      <c r="C15" s="290" t="str">
        <f>'SavingsData&amp;Analysis'!E12</f>
        <v>45-54W LED lamp &amp; Existing Photocell_Replacing_175W MV lamp</v>
      </c>
      <c r="D15" s="291">
        <f>'SavingsData&amp;Analysis'!G12</f>
        <v>197.36304294476736</v>
      </c>
      <c r="E15" s="292">
        <f>ROUND(MIN('SavingsData&amp;Analysis'!K12,20),0)</f>
        <v>20</v>
      </c>
      <c r="F15" s="293">
        <f>'SavingsData&amp;Analysis'!H12</f>
        <v>-17.151428571428571</v>
      </c>
      <c r="G15" s="292">
        <v>0</v>
      </c>
      <c r="H15" s="174" t="s">
        <v>502</v>
      </c>
      <c r="I15" s="175"/>
      <c r="J15" s="177">
        <f>'SavingsData&amp;Analysis'!I12</f>
        <v>4.9249836921069798</v>
      </c>
      <c r="K15" s="178">
        <f>'SavingsData&amp;Analysis'!J12</f>
        <v>15.981735159817351</v>
      </c>
      <c r="L15" s="175"/>
      <c r="M15" s="175"/>
      <c r="N15" s="175"/>
      <c r="O15" s="175"/>
      <c r="P15" s="175"/>
      <c r="Q15" s="175"/>
    </row>
    <row r="16" spans="2:106">
      <c r="B16" s="290" t="str">
        <f t="shared" si="0"/>
        <v>35-44W LED fixture &amp; NEW Photocell_Replacing_100W HID fixture</v>
      </c>
      <c r="C16" s="290" t="str">
        <f>'SavingsData&amp;Analysis'!E13</f>
        <v>35-44W LED fixture &amp; NEW Photocell_Replacing_100W HID fixture</v>
      </c>
      <c r="D16" s="291">
        <f>'SavingsData&amp;Analysis'!G13</f>
        <v>245.66477952671087</v>
      </c>
      <c r="E16" s="292">
        <f>ROUND(MIN('SavingsData&amp;Analysis'!K13,20),0)</f>
        <v>20</v>
      </c>
      <c r="F16" s="293">
        <f>'SavingsData&amp;Analysis'!H13</f>
        <v>-44.991428571428571</v>
      </c>
      <c r="G16" s="292">
        <v>0</v>
      </c>
      <c r="H16" s="174" t="s">
        <v>502</v>
      </c>
      <c r="I16" s="175"/>
      <c r="J16" s="177">
        <f>'SavingsData&amp;Analysis'!I13</f>
        <v>4.9249836921069798</v>
      </c>
      <c r="K16" s="178">
        <f>'SavingsData&amp;Analysis'!J13</f>
        <v>15.981735159817351</v>
      </c>
      <c r="L16" s="175"/>
      <c r="M16" s="175"/>
      <c r="N16" s="175"/>
      <c r="O16" s="175"/>
      <c r="P16" s="175"/>
      <c r="Q16" s="175"/>
    </row>
    <row r="17" spans="2:17">
      <c r="B17" s="290" t="str">
        <f t="shared" si="0"/>
        <v>35-44W LED fixture &amp; NEW Photocell_Replacing_150W HID fixture</v>
      </c>
      <c r="C17" s="290" t="str">
        <f>'SavingsData&amp;Analysis'!E14</f>
        <v>35-44W LED fixture &amp; NEW Photocell_Replacing_150W HID fixture</v>
      </c>
      <c r="D17" s="291">
        <f>'SavingsData&amp;Analysis'!G14</f>
        <v>247.05287476480612</v>
      </c>
      <c r="E17" s="292">
        <f>ROUND(MIN('SavingsData&amp;Analysis'!K14,20),0)</f>
        <v>20</v>
      </c>
      <c r="F17" s="293">
        <f>'SavingsData&amp;Analysis'!H14</f>
        <v>-43.603333333333332</v>
      </c>
      <c r="G17" s="292">
        <v>0</v>
      </c>
      <c r="H17" s="174" t="s">
        <v>502</v>
      </c>
      <c r="I17" s="175"/>
      <c r="J17" s="177">
        <f>'SavingsData&amp;Analysis'!I14</f>
        <v>4.4520547945205475</v>
      </c>
      <c r="K17" s="178">
        <f>'SavingsData&amp;Analysis'!J14</f>
        <v>15.981735159817351</v>
      </c>
      <c r="L17" s="175"/>
      <c r="M17" s="175"/>
      <c r="N17" s="175"/>
      <c r="O17" s="175"/>
      <c r="P17" s="175"/>
      <c r="Q17" s="175"/>
    </row>
    <row r="18" spans="2:17">
      <c r="B18" s="290" t="str">
        <f t="shared" si="0"/>
        <v>35-44W LED fixture &amp; NEW Photocell_Replacing_175W MH fixture</v>
      </c>
      <c r="C18" s="290" t="str">
        <f>'SavingsData&amp;Analysis'!E15</f>
        <v>35-44W LED fixture &amp; NEW Photocell_Replacing_175W MH fixture</v>
      </c>
      <c r="D18" s="291">
        <f>'SavingsData&amp;Analysis'!G15</f>
        <v>248.63620809813943</v>
      </c>
      <c r="E18" s="292">
        <f>ROUND(MIN('SavingsData&amp;Analysis'!K15,20),0)</f>
        <v>20</v>
      </c>
      <c r="F18" s="293">
        <f>'SavingsData&amp;Analysis'!H15</f>
        <v>-42.02</v>
      </c>
      <c r="G18" s="292">
        <v>0</v>
      </c>
      <c r="H18" s="174" t="s">
        <v>502</v>
      </c>
      <c r="I18" s="175"/>
      <c r="J18" s="177">
        <f>'SavingsData&amp;Analysis'!I15</f>
        <v>2.2831050228310503</v>
      </c>
      <c r="K18" s="178">
        <f>'SavingsData&amp;Analysis'!J15</f>
        <v>15.981735159817351</v>
      </c>
      <c r="L18" s="175"/>
      <c r="M18" s="175"/>
      <c r="N18" s="175"/>
      <c r="O18" s="175"/>
      <c r="P18" s="175"/>
      <c r="Q18" s="175"/>
    </row>
    <row r="19" spans="2:17">
      <c r="B19" s="290" t="str">
        <f t="shared" si="0"/>
        <v>35-44W LED fixture &amp; NEW Photocell_Replacing_175W MV fixture</v>
      </c>
      <c r="C19" s="290" t="str">
        <f>'SavingsData&amp;Analysis'!E16</f>
        <v>35-44W LED fixture &amp; NEW Photocell_Replacing_175W MV fixture</v>
      </c>
      <c r="D19" s="291">
        <f>'SavingsData&amp;Analysis'!G16</f>
        <v>245.66477952671087</v>
      </c>
      <c r="E19" s="292">
        <f>ROUND(MIN('SavingsData&amp;Analysis'!K16,20),0)</f>
        <v>20</v>
      </c>
      <c r="F19" s="293">
        <f>'SavingsData&amp;Analysis'!H16</f>
        <v>-44.991428571428571</v>
      </c>
      <c r="G19" s="292">
        <v>0</v>
      </c>
      <c r="H19" s="174" t="s">
        <v>502</v>
      </c>
      <c r="I19" s="295"/>
      <c r="J19" s="177">
        <f>'SavingsData&amp;Analysis'!I16</f>
        <v>4.9249836921069798</v>
      </c>
      <c r="K19" s="178">
        <f>'SavingsData&amp;Analysis'!J16</f>
        <v>15.981735159817351</v>
      </c>
      <c r="L19" s="295"/>
      <c r="M19" s="295"/>
      <c r="N19" s="295"/>
      <c r="O19" s="295"/>
      <c r="P19" s="295"/>
      <c r="Q19" s="295"/>
    </row>
    <row r="20" spans="2:17">
      <c r="B20" s="290" t="str">
        <f t="shared" si="0"/>
        <v>35-44W LED fixture &amp; NEW Photocell_Replacing_200W HID fixture</v>
      </c>
      <c r="C20" s="290" t="str">
        <f>'SavingsData&amp;Analysis'!E17</f>
        <v>35-44W LED fixture &amp; NEW Photocell_Replacing_200W HID fixture</v>
      </c>
      <c r="D20" s="291">
        <f>'SavingsData&amp;Analysis'!G17</f>
        <v>247.19620809813944</v>
      </c>
      <c r="E20" s="292">
        <f>ROUND(MIN('SavingsData&amp;Analysis'!K17,20),0)</f>
        <v>20</v>
      </c>
      <c r="F20" s="293">
        <f>'SavingsData&amp;Analysis'!H17</f>
        <v>-43.46</v>
      </c>
      <c r="G20" s="292">
        <v>0</v>
      </c>
      <c r="H20" s="174" t="s">
        <v>502</v>
      </c>
      <c r="I20" s="295"/>
      <c r="J20" s="177">
        <f>'SavingsData&amp;Analysis'!I17</f>
        <v>5.4794520547945202</v>
      </c>
      <c r="K20" s="178">
        <f>'SavingsData&amp;Analysis'!J17</f>
        <v>15.981735159817351</v>
      </c>
      <c r="L20" s="295"/>
      <c r="M20" s="295"/>
      <c r="N20" s="295"/>
      <c r="O20" s="295"/>
      <c r="P20" s="295"/>
      <c r="Q20" s="295"/>
    </row>
    <row r="21" spans="2:17">
      <c r="B21" s="290" t="str">
        <f t="shared" si="0"/>
        <v>25-34W LED fixture &amp; NEW Photocell_Replacing_100W HID fixture</v>
      </c>
      <c r="C21" s="290" t="str">
        <f>'SavingsData&amp;Analysis'!E18</f>
        <v>25-34W LED fixture &amp; NEW Photocell_Replacing_100W HID fixture</v>
      </c>
      <c r="D21" s="291">
        <f>'SavingsData&amp;Analysis'!G18</f>
        <v>205.16188522347167</v>
      </c>
      <c r="E21" s="292">
        <f>ROUND(MIN('SavingsData&amp;Analysis'!K18,20),0)</f>
        <v>20</v>
      </c>
      <c r="F21" s="293">
        <f>'SavingsData&amp;Analysis'!H18</f>
        <v>-44.991428571428571</v>
      </c>
      <c r="G21" s="292">
        <v>0</v>
      </c>
      <c r="H21" s="174" t="s">
        <v>502</v>
      </c>
      <c r="I21" s="295"/>
      <c r="J21" s="177">
        <f>'SavingsData&amp;Analysis'!I18</f>
        <v>4.9249836921069798</v>
      </c>
      <c r="K21" s="178">
        <f>'SavingsData&amp;Analysis'!J18</f>
        <v>15.981735159817351</v>
      </c>
      <c r="L21" s="295"/>
      <c r="M21" s="295"/>
      <c r="N21" s="295"/>
      <c r="O21" s="295"/>
      <c r="P21" s="295"/>
      <c r="Q21" s="295"/>
    </row>
    <row r="22" spans="2:17">
      <c r="B22" s="290" t="str">
        <f t="shared" si="0"/>
        <v>25-34W LED fixture &amp; NEW Photocell_Replacing_150W HID fixture</v>
      </c>
      <c r="C22" s="290" t="str">
        <f>'SavingsData&amp;Analysis'!E19</f>
        <v>25-34W LED fixture &amp; NEW Photocell_Replacing_150W HID fixture</v>
      </c>
      <c r="D22" s="291">
        <f>'SavingsData&amp;Analysis'!G19</f>
        <v>206.54998046156692</v>
      </c>
      <c r="E22" s="292">
        <f>ROUND(MIN('SavingsData&amp;Analysis'!K19,20),0)</f>
        <v>20</v>
      </c>
      <c r="F22" s="293">
        <f>'SavingsData&amp;Analysis'!H19</f>
        <v>-43.603333333333332</v>
      </c>
      <c r="G22" s="292">
        <v>0</v>
      </c>
      <c r="H22" s="174" t="s">
        <v>502</v>
      </c>
      <c r="I22" s="295"/>
      <c r="J22" s="177">
        <f>'SavingsData&amp;Analysis'!I19</f>
        <v>4.4520547945205475</v>
      </c>
      <c r="K22" s="178">
        <f>'SavingsData&amp;Analysis'!J19</f>
        <v>15.981735159817351</v>
      </c>
      <c r="L22" s="295"/>
      <c r="M22" s="295"/>
      <c r="N22" s="295"/>
      <c r="O22" s="295"/>
      <c r="P22" s="295"/>
      <c r="Q22" s="295"/>
    </row>
    <row r="23" spans="2:17">
      <c r="B23" s="290" t="str">
        <f t="shared" si="0"/>
        <v>25-34W LED fixture &amp; NEW Photocell_Replacing_175W MV fixture</v>
      </c>
      <c r="C23" s="290" t="str">
        <f>'SavingsData&amp;Analysis'!E20</f>
        <v>25-34W LED fixture &amp; NEW Photocell_Replacing_175W MV fixture</v>
      </c>
      <c r="D23" s="291">
        <f>'SavingsData&amp;Analysis'!G20</f>
        <v>205.16188522347167</v>
      </c>
      <c r="E23" s="292">
        <f>ROUND(MIN('SavingsData&amp;Analysis'!K20,20),0)</f>
        <v>20</v>
      </c>
      <c r="F23" s="293">
        <f>'SavingsData&amp;Analysis'!H20</f>
        <v>-44.991428571428571</v>
      </c>
      <c r="G23" s="292">
        <v>0</v>
      </c>
      <c r="H23" s="174" t="s">
        <v>502</v>
      </c>
      <c r="I23" s="295"/>
      <c r="J23" s="177">
        <f>'SavingsData&amp;Analysis'!I20</f>
        <v>4.9249836921069798</v>
      </c>
      <c r="K23" s="178">
        <f>'SavingsData&amp;Analysis'!J20</f>
        <v>15.981735159817351</v>
      </c>
      <c r="L23" s="295"/>
      <c r="M23" s="295"/>
      <c r="N23" s="295"/>
      <c r="O23" s="295"/>
      <c r="P23" s="295"/>
      <c r="Q23" s="295"/>
    </row>
    <row r="24" spans="2:17">
      <c r="D24" s="64"/>
      <c r="F24" s="93"/>
    </row>
    <row r="25" spans="2:17">
      <c r="D25" s="64"/>
      <c r="F25" s="93"/>
    </row>
    <row r="26" spans="2:17">
      <c r="D26" s="64"/>
      <c r="F26" s="93"/>
    </row>
    <row r="27" spans="2:17">
      <c r="D27" s="64"/>
      <c r="F27" s="93"/>
    </row>
    <row r="28" spans="2:17">
      <c r="F28" s="93"/>
    </row>
    <row r="29" spans="2:17">
      <c r="F29" s="93"/>
    </row>
    <row r="30" spans="2:17">
      <c r="F30" s="93"/>
    </row>
    <row r="31" spans="2:17">
      <c r="F31" s="93"/>
    </row>
    <row r="32" spans="2:17">
      <c r="F32" s="93"/>
    </row>
    <row r="33" spans="6:6">
      <c r="F33" s="93"/>
    </row>
    <row r="34" spans="6:6">
      <c r="F34" s="93"/>
    </row>
    <row r="35" spans="6:6">
      <c r="F35" s="93"/>
    </row>
    <row r="36" spans="6:6">
      <c r="F36" s="93"/>
    </row>
    <row r="37" spans="6:6">
      <c r="F37" s="93"/>
    </row>
    <row r="38" spans="6:6">
      <c r="F38" s="93"/>
    </row>
    <row r="39" spans="6:6">
      <c r="F39" s="93"/>
    </row>
    <row r="40" spans="6:6">
      <c r="F40" s="93"/>
    </row>
    <row r="41" spans="6:6">
      <c r="F41" s="93"/>
    </row>
    <row r="42" spans="6:6">
      <c r="F42" s="93"/>
    </row>
    <row r="43" spans="6:6">
      <c r="F43" s="93"/>
    </row>
    <row r="44" spans="6:6">
      <c r="F44" s="93"/>
    </row>
    <row r="45" spans="6:6">
      <c r="F45" s="93"/>
    </row>
    <row r="46" spans="6:6">
      <c r="F46" s="93"/>
    </row>
    <row r="47" spans="6:6">
      <c r="F47" s="93"/>
    </row>
    <row r="48" spans="6:6">
      <c r="F48" s="93"/>
    </row>
    <row r="49" spans="6:6">
      <c r="F49" s="93"/>
    </row>
    <row r="50" spans="6:6">
      <c r="F50" s="93"/>
    </row>
    <row r="51" spans="6:6">
      <c r="F51" s="93"/>
    </row>
    <row r="52" spans="6:6">
      <c r="F52" s="93"/>
    </row>
    <row r="53" spans="6:6">
      <c r="F53" s="93"/>
    </row>
    <row r="54" spans="6:6">
      <c r="F54" s="93"/>
    </row>
    <row r="55" spans="6:6">
      <c r="F55" s="93"/>
    </row>
    <row r="56" spans="6:6">
      <c r="F56" s="93"/>
    </row>
    <row r="57" spans="6:6">
      <c r="F57" s="93"/>
    </row>
    <row r="58" spans="6:6">
      <c r="F58" s="93"/>
    </row>
    <row r="59" spans="6:6">
      <c r="F59" s="93"/>
    </row>
    <row r="60" spans="6:6">
      <c r="F60" s="93"/>
    </row>
    <row r="61" spans="6:6">
      <c r="F61" s="93"/>
    </row>
    <row r="62" spans="6:6">
      <c r="F62" s="93"/>
    </row>
    <row r="63" spans="6:6">
      <c r="F63" s="93"/>
    </row>
    <row r="64" spans="6:6">
      <c r="F64" s="93"/>
    </row>
    <row r="65" spans="6:6">
      <c r="F65" s="93"/>
    </row>
    <row r="66" spans="6:6">
      <c r="F66" s="93"/>
    </row>
    <row r="67" spans="6:6">
      <c r="F67" s="93"/>
    </row>
    <row r="68" spans="6:6">
      <c r="F68" s="93"/>
    </row>
    <row r="69" spans="6:6">
      <c r="F69" s="93"/>
    </row>
    <row r="70" spans="6:6">
      <c r="F70" s="93"/>
    </row>
    <row r="71" spans="6:6">
      <c r="F71" s="93"/>
    </row>
    <row r="72" spans="6:6">
      <c r="F72" s="93"/>
    </row>
  </sheetData>
  <mergeCells count="2">
    <mergeCell ref="J6:O6"/>
    <mergeCell ref="P6:Q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6"/>
  <dimension ref="A1:J62"/>
  <sheetViews>
    <sheetView workbookViewId="0">
      <selection activeCell="C1" sqref="C1"/>
    </sheetView>
  </sheetViews>
  <sheetFormatPr defaultRowHeight="12.75"/>
  <cols>
    <col min="1" max="1" width="6.7109375" style="7" customWidth="1"/>
    <col min="2" max="2" width="2.7109375" style="7" customWidth="1"/>
    <col min="3" max="3" width="17" style="7" customWidth="1"/>
    <col min="4" max="4" width="35.28515625" style="7" customWidth="1"/>
    <col min="5" max="5" width="60.28515625" style="7" customWidth="1"/>
    <col min="6" max="6" width="17.5703125" style="7" customWidth="1"/>
    <col min="7" max="7" width="13.85546875" style="7" customWidth="1"/>
    <col min="8" max="8" width="11.28515625" style="7" customWidth="1"/>
    <col min="9" max="9" width="14.7109375" style="7" customWidth="1"/>
    <col min="10" max="10" width="20.7109375" style="7" customWidth="1"/>
    <col min="11" max="16384" width="9.140625" style="7"/>
  </cols>
  <sheetData>
    <row r="1" spans="3:10">
      <c r="C1" s="7" t="s">
        <v>439</v>
      </c>
    </row>
    <row r="2" spans="3:10" ht="15.75">
      <c r="C2" s="153" t="s">
        <v>390</v>
      </c>
      <c r="D2" s="154"/>
      <c r="E2" s="154"/>
      <c r="F2" s="154"/>
      <c r="G2" s="155"/>
      <c r="H2" s="155"/>
      <c r="I2" s="155"/>
      <c r="J2" s="155"/>
    </row>
    <row r="3" spans="3:10" ht="13.5" thickBot="1"/>
    <row r="4" spans="3:10" ht="43.5" customHeight="1" thickBot="1">
      <c r="C4" s="156" t="s">
        <v>391</v>
      </c>
      <c r="D4" s="157" t="s">
        <v>392</v>
      </c>
      <c r="E4" s="157" t="s">
        <v>393</v>
      </c>
      <c r="F4" s="157" t="s">
        <v>394</v>
      </c>
      <c r="G4" s="157" t="s">
        <v>498</v>
      </c>
      <c r="H4" s="157" t="s">
        <v>395</v>
      </c>
      <c r="I4" s="157" t="s">
        <v>396</v>
      </c>
      <c r="J4" s="158" t="s">
        <v>397</v>
      </c>
    </row>
    <row r="5" spans="3:10">
      <c r="C5" s="159" t="s">
        <v>398</v>
      </c>
      <c r="D5" s="160" t="s">
        <v>399</v>
      </c>
      <c r="E5" s="161" t="str">
        <f t="shared" ref="E5:E20" si="0">D5&amp;"_Replacing_"&amp;C5</f>
        <v>45-54W LED lamp &amp; NEW Photocell_Replacing_100W HID lamp</v>
      </c>
      <c r="F5" s="162">
        <f>AveragedData!$H$5-AveragedData!H9</f>
        <v>310.98</v>
      </c>
      <c r="G5" s="163">
        <f>'CostData&amp;Analysis'!E3+'CostData&amp;Analysis'!I3+Assumptions!$G$11</f>
        <v>227.36304294476736</v>
      </c>
      <c r="H5" s="163">
        <f>-('CostData&amp;Analysis'!$C$6+'CostData&amp;Analysis'!$D$6)</f>
        <v>-44.991428571428571</v>
      </c>
      <c r="I5" s="164">
        <f>AveragedData!$I$5</f>
        <v>4.9249836921069798</v>
      </c>
      <c r="J5" s="186">
        <f>'RawCost&amp;PowerData'!$H$5/Assumptions!$G$6</f>
        <v>15.981735159817351</v>
      </c>
    </row>
    <row r="6" spans="3:10">
      <c r="C6" s="166" t="s">
        <v>400</v>
      </c>
      <c r="D6" s="167" t="s">
        <v>399</v>
      </c>
      <c r="E6" s="168" t="str">
        <f t="shared" si="0"/>
        <v>45-54W LED lamp &amp; NEW Photocell_Replacing_150W HID lamp</v>
      </c>
      <c r="F6" s="169">
        <f>AveragedData!$H$6-AveragedData!H9</f>
        <v>559.91</v>
      </c>
      <c r="G6" s="170">
        <f>'CostData&amp;Analysis'!F3+'CostData&amp;Analysis'!I3+Assumptions!$G$11</f>
        <v>228.7511381828626</v>
      </c>
      <c r="H6" s="170">
        <f>-('CostData&amp;Analysis'!$C$7+'CostData&amp;Analysis'!$D$7)</f>
        <v>-43.603333333333332</v>
      </c>
      <c r="I6" s="171">
        <f>AveragedData!$I$6</f>
        <v>4.4520547945205475</v>
      </c>
      <c r="J6" s="172">
        <f>'RawCost&amp;PowerData'!$H$5/Assumptions!$G$6</f>
        <v>15.981735159817351</v>
      </c>
    </row>
    <row r="7" spans="3:10">
      <c r="C7" s="173" t="s">
        <v>401</v>
      </c>
      <c r="D7" s="174" t="s">
        <v>399</v>
      </c>
      <c r="E7" s="175" t="str">
        <f t="shared" si="0"/>
        <v>45-54W LED lamp &amp; NEW Photocell_Replacing_175W MH lamp</v>
      </c>
      <c r="F7" s="176">
        <f>AveragedData!$H$7-AveragedData!H9</f>
        <v>711.75</v>
      </c>
      <c r="G7" s="177">
        <f>'CostData&amp;Analysis'!G3+'CostData&amp;Analysis'!I3+Assumptions!$G$11</f>
        <v>230.33447151619592</v>
      </c>
      <c r="H7" s="177">
        <f>-('CostData&amp;Analysis'!$C$8+'CostData&amp;Analysis'!$D$8)</f>
        <v>-42.02</v>
      </c>
      <c r="I7" s="178">
        <f>AveragedData!$I$7</f>
        <v>2.2831050228310503</v>
      </c>
      <c r="J7" s="179">
        <f>'RawCost&amp;PowerData'!$H$5/Assumptions!$G$6</f>
        <v>15.981735159817351</v>
      </c>
    </row>
    <row r="8" spans="3:10" ht="13.5" thickBot="1">
      <c r="C8" s="180" t="s">
        <v>402</v>
      </c>
      <c r="D8" s="181" t="s">
        <v>399</v>
      </c>
      <c r="E8" s="182" t="str">
        <f t="shared" si="0"/>
        <v>45-54W LED lamp &amp; NEW Photocell_Replacing_175W MV lamp</v>
      </c>
      <c r="F8" s="183">
        <f>AveragedData!$H$5-AveragedData!H9</f>
        <v>310.98</v>
      </c>
      <c r="G8" s="184">
        <f>'CostData&amp;Analysis'!E3+'CostData&amp;Analysis'!I3+Assumptions!$G$11</f>
        <v>227.36304294476736</v>
      </c>
      <c r="H8" s="184">
        <f>-('CostData&amp;Analysis'!$C$6+'CostData&amp;Analysis'!$D$6)</f>
        <v>-44.991428571428571</v>
      </c>
      <c r="I8" s="185">
        <f>AveragedData!$I$5</f>
        <v>4.9249836921069798</v>
      </c>
      <c r="J8" s="186">
        <f>'RawCost&amp;PowerData'!$H$5/Assumptions!$G$6</f>
        <v>15.981735159817351</v>
      </c>
    </row>
    <row r="9" spans="3:10">
      <c r="C9" s="187" t="s">
        <v>398</v>
      </c>
      <c r="D9" s="188" t="s">
        <v>403</v>
      </c>
      <c r="E9" s="189" t="str">
        <f t="shared" si="0"/>
        <v>45-54W LED lamp &amp; Existing Photocell_Replacing_100W HID lamp</v>
      </c>
      <c r="F9" s="162">
        <f>AveragedData!$H$5-AveragedData!H9</f>
        <v>310.98</v>
      </c>
      <c r="G9" s="190">
        <f>'CostData&amp;Analysis'!E3+'CostData&amp;Analysis'!I3</f>
        <v>197.36304294476736</v>
      </c>
      <c r="H9" s="163">
        <f>-('CostData&amp;Analysis'!$C$6)</f>
        <v>-17.151428571428571</v>
      </c>
      <c r="I9" s="164">
        <f>AveragedData!$I$5</f>
        <v>4.9249836921069798</v>
      </c>
      <c r="J9" s="165">
        <f>'RawCost&amp;PowerData'!$H$5/Assumptions!$G$6</f>
        <v>15.981735159817351</v>
      </c>
    </row>
    <row r="10" spans="3:10">
      <c r="C10" s="173" t="s">
        <v>400</v>
      </c>
      <c r="D10" s="174" t="s">
        <v>403</v>
      </c>
      <c r="E10" s="175" t="str">
        <f t="shared" si="0"/>
        <v>45-54W LED lamp &amp; Existing Photocell_Replacing_150W HID lamp</v>
      </c>
      <c r="F10" s="169">
        <f>AveragedData!$H$6-AveragedData!H9</f>
        <v>559.91</v>
      </c>
      <c r="G10" s="177">
        <f>'CostData&amp;Analysis'!F3+'CostData&amp;Analysis'!I3</f>
        <v>198.7511381828626</v>
      </c>
      <c r="H10" s="170">
        <f>-('CostData&amp;Analysis'!$C$7)</f>
        <v>-15.76333333333333</v>
      </c>
      <c r="I10" s="171">
        <f>AveragedData!$I$6</f>
        <v>4.4520547945205475</v>
      </c>
      <c r="J10" s="172">
        <f>'RawCost&amp;PowerData'!$H$5/Assumptions!$G$6</f>
        <v>15.981735159817351</v>
      </c>
    </row>
    <row r="11" spans="3:10">
      <c r="C11" s="173" t="s">
        <v>401</v>
      </c>
      <c r="D11" s="174" t="s">
        <v>403</v>
      </c>
      <c r="E11" s="175" t="str">
        <f t="shared" si="0"/>
        <v>45-54W LED lamp &amp; Existing Photocell_Replacing_175W MH lamp</v>
      </c>
      <c r="F11" s="176">
        <f>AveragedData!$H$7-AveragedData!H9</f>
        <v>711.75</v>
      </c>
      <c r="G11" s="177">
        <f>'CostData&amp;Analysis'!G3+'CostData&amp;Analysis'!I3</f>
        <v>200.33447151619592</v>
      </c>
      <c r="H11" s="177">
        <f>-('CostData&amp;Analysis'!$C$8)</f>
        <v>-14.18</v>
      </c>
      <c r="I11" s="178">
        <f>AveragedData!$I$7</f>
        <v>2.2831050228310503</v>
      </c>
      <c r="J11" s="179">
        <f>'RawCost&amp;PowerData'!$H$5/Assumptions!$G$6</f>
        <v>15.981735159817351</v>
      </c>
    </row>
    <row r="12" spans="3:10" ht="13.5" thickBot="1">
      <c r="C12" s="191" t="s">
        <v>402</v>
      </c>
      <c r="D12" s="192" t="s">
        <v>403</v>
      </c>
      <c r="E12" s="193" t="str">
        <f t="shared" si="0"/>
        <v>45-54W LED lamp &amp; Existing Photocell_Replacing_175W MV lamp</v>
      </c>
      <c r="F12" s="194">
        <f>AveragedData!$H$5-AveragedData!H9</f>
        <v>310.98</v>
      </c>
      <c r="G12" s="195">
        <f>'CostData&amp;Analysis'!E3+'CostData&amp;Analysis'!I3</f>
        <v>197.36304294476736</v>
      </c>
      <c r="H12" s="195">
        <f>-('CostData&amp;Analysis'!$C$6)</f>
        <v>-17.151428571428571</v>
      </c>
      <c r="I12" s="196">
        <f>AveragedData!$I$5</f>
        <v>4.9249836921069798</v>
      </c>
      <c r="J12" s="197">
        <f>'RawCost&amp;PowerData'!$H$5/Assumptions!$G$6</f>
        <v>15.981735159817351</v>
      </c>
    </row>
    <row r="13" spans="3:10">
      <c r="C13" s="198" t="s">
        <v>404</v>
      </c>
      <c r="D13" s="199" t="s">
        <v>405</v>
      </c>
      <c r="E13" s="200" t="str">
        <f t="shared" si="0"/>
        <v>35-44W LED fixture &amp; NEW Photocell_Replacing_100W HID fixture</v>
      </c>
      <c r="F13" s="201">
        <f>AveragedData!$H$5-AveragedData!$H$10</f>
        <v>354.78000000000003</v>
      </c>
      <c r="G13" s="202">
        <f>'CostData&amp;Analysis'!E4+'CostData&amp;Analysis'!$I$4</f>
        <v>245.66477952671087</v>
      </c>
      <c r="H13" s="202">
        <f>-('CostData&amp;Analysis'!$C$6+'CostData&amp;Analysis'!$D$6)</f>
        <v>-44.991428571428571</v>
      </c>
      <c r="I13" s="203">
        <f>AveragedData!$I$5</f>
        <v>4.9249836921069798</v>
      </c>
      <c r="J13" s="204">
        <f>'RawCost&amp;PowerData'!$H$5/Assumptions!$G$6</f>
        <v>15.981735159817351</v>
      </c>
    </row>
    <row r="14" spans="3:10">
      <c r="C14" s="166" t="s">
        <v>406</v>
      </c>
      <c r="D14" s="199" t="s">
        <v>405</v>
      </c>
      <c r="E14" s="175" t="str">
        <f t="shared" si="0"/>
        <v>35-44W LED fixture &amp; NEW Photocell_Replacing_150W HID fixture</v>
      </c>
      <c r="F14" s="169">
        <f>AveragedData!$H$6-AveragedData!H10</f>
        <v>603.71</v>
      </c>
      <c r="G14" s="170">
        <f>'CostData&amp;Analysis'!F4+'CostData&amp;Analysis'!$I$4</f>
        <v>247.05287476480612</v>
      </c>
      <c r="H14" s="170">
        <f>-('CostData&amp;Analysis'!$C$7+'CostData&amp;Analysis'!$D$7)</f>
        <v>-43.603333333333332</v>
      </c>
      <c r="I14" s="171">
        <f>AveragedData!$I$6</f>
        <v>4.4520547945205475</v>
      </c>
      <c r="J14" s="172">
        <f>'RawCost&amp;PowerData'!$H$5/Assumptions!$G$6</f>
        <v>15.981735159817351</v>
      </c>
    </row>
    <row r="15" spans="3:10">
      <c r="C15" s="173" t="s">
        <v>407</v>
      </c>
      <c r="D15" s="199" t="s">
        <v>405</v>
      </c>
      <c r="E15" s="175" t="str">
        <f t="shared" si="0"/>
        <v>35-44W LED fixture &amp; NEW Photocell_Replacing_175W MH fixture</v>
      </c>
      <c r="F15" s="176">
        <f>AveragedData!$H$7-AveragedData!H10</f>
        <v>755.55</v>
      </c>
      <c r="G15" s="177">
        <f>'CostData&amp;Analysis'!G4+'CostData&amp;Analysis'!$I$4</f>
        <v>248.63620809813943</v>
      </c>
      <c r="H15" s="177">
        <f>-('CostData&amp;Analysis'!$C$8+'CostData&amp;Analysis'!$D$8)</f>
        <v>-42.02</v>
      </c>
      <c r="I15" s="178">
        <f>AveragedData!$I$7</f>
        <v>2.2831050228310503</v>
      </c>
      <c r="J15" s="179">
        <f>'RawCost&amp;PowerData'!$H$5/Assumptions!$G$6</f>
        <v>15.981735159817351</v>
      </c>
    </row>
    <row r="16" spans="3:10">
      <c r="C16" s="180" t="s">
        <v>408</v>
      </c>
      <c r="D16" s="199" t="s">
        <v>405</v>
      </c>
      <c r="E16" s="175" t="str">
        <f t="shared" si="0"/>
        <v>35-44W LED fixture &amp; NEW Photocell_Replacing_175W MV fixture</v>
      </c>
      <c r="F16" s="183">
        <f>AveragedData!$H$5-AveragedData!H10</f>
        <v>354.78000000000003</v>
      </c>
      <c r="G16" s="184">
        <f>'CostData&amp;Analysis'!E4+'CostData&amp;Analysis'!$I$4</f>
        <v>245.66477952671087</v>
      </c>
      <c r="H16" s="184">
        <f>-('CostData&amp;Analysis'!$C$6+'CostData&amp;Analysis'!$D$6)</f>
        <v>-44.991428571428571</v>
      </c>
      <c r="I16" s="185">
        <f>AveragedData!$I$5</f>
        <v>4.9249836921069798</v>
      </c>
      <c r="J16" s="186">
        <f>'RawCost&amp;PowerData'!$H$5/Assumptions!$G$6</f>
        <v>15.981735159817351</v>
      </c>
    </row>
    <row r="17" spans="1:10" ht="13.5" thickBot="1">
      <c r="C17" s="180" t="s">
        <v>409</v>
      </c>
      <c r="D17" s="199" t="s">
        <v>405</v>
      </c>
      <c r="E17" s="182" t="str">
        <f t="shared" si="0"/>
        <v>35-44W LED fixture &amp; NEW Photocell_Replacing_200W HID fixture</v>
      </c>
      <c r="F17" s="183">
        <f>AveragedData!$H$8-AveragedData!H10</f>
        <v>846.8</v>
      </c>
      <c r="G17" s="184">
        <f>'CostData&amp;Analysis'!H4+'CostData&amp;Analysis'!$I$4</f>
        <v>247.19620809813944</v>
      </c>
      <c r="H17" s="184">
        <f>-('CostData&amp;Analysis'!$C$9+'CostData&amp;Analysis'!$D$9)</f>
        <v>-43.46</v>
      </c>
      <c r="I17" s="185">
        <f>AveragedData!$I$8</f>
        <v>5.4794520547945202</v>
      </c>
      <c r="J17" s="186">
        <f>'RawCost&amp;PowerData'!$H$5/Assumptions!$G$6</f>
        <v>15.981735159817351</v>
      </c>
    </row>
    <row r="18" spans="1:10">
      <c r="C18" s="159" t="s">
        <v>404</v>
      </c>
      <c r="D18" s="160" t="s">
        <v>410</v>
      </c>
      <c r="E18" s="189" t="str">
        <f t="shared" si="0"/>
        <v>25-34W LED fixture &amp; NEW Photocell_Replacing_100W HID fixture</v>
      </c>
      <c r="F18" s="162">
        <f>AveragedData!$H$5-AveragedData!H11</f>
        <v>398.58000000000004</v>
      </c>
      <c r="G18" s="163">
        <f>'CostData&amp;Analysis'!E5+'CostData&amp;Analysis'!$I$5</f>
        <v>205.16188522347167</v>
      </c>
      <c r="H18" s="163">
        <f>-('CostData&amp;Analysis'!$C$6+'CostData&amp;Analysis'!$D$6)</f>
        <v>-44.991428571428571</v>
      </c>
      <c r="I18" s="164">
        <f>AveragedData!$I$5</f>
        <v>4.9249836921069798</v>
      </c>
      <c r="J18" s="205">
        <f>'RawCost&amp;PowerData'!$H$5/Assumptions!$G$6</f>
        <v>15.981735159817351</v>
      </c>
    </row>
    <row r="19" spans="1:10">
      <c r="C19" s="166" t="s">
        <v>406</v>
      </c>
      <c r="D19" s="174" t="s">
        <v>410</v>
      </c>
      <c r="E19" s="175" t="str">
        <f t="shared" si="0"/>
        <v>25-34W LED fixture &amp; NEW Photocell_Replacing_150W HID fixture</v>
      </c>
      <c r="F19" s="176">
        <f>AveragedData!$H$6-AveragedData!H11</f>
        <v>647.51</v>
      </c>
      <c r="G19" s="177">
        <f>'CostData&amp;Analysis'!F5+'CostData&amp;Analysis'!$I$5</f>
        <v>206.54998046156692</v>
      </c>
      <c r="H19" s="170">
        <f>-('CostData&amp;Analysis'!$C$7+'CostData&amp;Analysis'!$D$7)</f>
        <v>-43.603333333333332</v>
      </c>
      <c r="I19" s="171">
        <f>AveragedData!$I$6</f>
        <v>4.4520547945205475</v>
      </c>
      <c r="J19" s="186">
        <f>'RawCost&amp;PowerData'!$H$5/Assumptions!$G$6</f>
        <v>15.981735159817351</v>
      </c>
    </row>
    <row r="20" spans="1:10" ht="13.5" thickBot="1">
      <c r="C20" s="191" t="s">
        <v>408</v>
      </c>
      <c r="D20" s="192" t="s">
        <v>410</v>
      </c>
      <c r="E20" s="193" t="str">
        <f t="shared" si="0"/>
        <v>25-34W LED fixture &amp; NEW Photocell_Replacing_175W MV fixture</v>
      </c>
      <c r="F20" s="194">
        <f>AveragedData!$H$5-AveragedData!H11</f>
        <v>398.58000000000004</v>
      </c>
      <c r="G20" s="195">
        <f>'CostData&amp;Analysis'!E5+'CostData&amp;Analysis'!$I$5</f>
        <v>205.16188522347167</v>
      </c>
      <c r="H20" s="195">
        <f>-('CostData&amp;Analysis'!$C$6+'CostData&amp;Analysis'!$D$6)</f>
        <v>-44.991428571428571</v>
      </c>
      <c r="I20" s="196">
        <f>AveragedData!$I$5</f>
        <v>4.9249836921069798</v>
      </c>
      <c r="J20" s="197">
        <f>'RawCost&amp;PowerData'!$H$5/Assumptions!$G$6</f>
        <v>15.981735159817351</v>
      </c>
    </row>
    <row r="22" spans="1:10">
      <c r="A22" s="206" t="s">
        <v>411</v>
      </c>
      <c r="B22" s="207" t="s">
        <v>412</v>
      </c>
      <c r="C22" s="433" t="s">
        <v>413</v>
      </c>
      <c r="D22" s="435"/>
      <c r="E22" s="435"/>
      <c r="F22" s="435"/>
      <c r="G22" s="435"/>
      <c r="H22" s="435"/>
      <c r="I22" s="435"/>
      <c r="J22" s="435"/>
    </row>
    <row r="23" spans="1:10">
      <c r="B23" s="209"/>
    </row>
    <row r="24" spans="1:10">
      <c r="B24" s="207" t="s">
        <v>414</v>
      </c>
      <c r="C24" s="433" t="s">
        <v>415</v>
      </c>
      <c r="D24" s="435"/>
      <c r="E24" s="435"/>
      <c r="F24" s="435"/>
      <c r="G24" s="435"/>
      <c r="H24" s="435"/>
      <c r="I24" s="435"/>
      <c r="J24" s="435"/>
    </row>
    <row r="25" spans="1:10">
      <c r="B25" s="209"/>
    </row>
    <row r="26" spans="1:10">
      <c r="B26" s="207" t="s">
        <v>416</v>
      </c>
      <c r="C26" s="433" t="s">
        <v>417</v>
      </c>
      <c r="D26" s="435"/>
      <c r="E26" s="435"/>
      <c r="F26" s="435"/>
      <c r="G26" s="435"/>
      <c r="H26" s="435"/>
      <c r="I26" s="435"/>
      <c r="J26" s="435"/>
    </row>
    <row r="27" spans="1:10">
      <c r="B27" s="209"/>
    </row>
    <row r="28" spans="1:10">
      <c r="B28" s="207" t="s">
        <v>418</v>
      </c>
      <c r="C28" s="433" t="s">
        <v>419</v>
      </c>
      <c r="D28" s="433"/>
      <c r="E28" s="433"/>
      <c r="F28" s="433"/>
      <c r="G28" s="433"/>
      <c r="H28" s="433"/>
      <c r="I28" s="433"/>
      <c r="J28" s="433"/>
    </row>
    <row r="29" spans="1:10">
      <c r="B29" s="209"/>
    </row>
    <row r="30" spans="1:10">
      <c r="B30" s="207" t="s">
        <v>420</v>
      </c>
      <c r="C30" s="433" t="s">
        <v>421</v>
      </c>
      <c r="D30" s="433"/>
      <c r="E30" s="433"/>
      <c r="F30" s="433"/>
      <c r="G30" s="433"/>
      <c r="H30" s="433"/>
      <c r="I30" s="433"/>
      <c r="J30" s="433"/>
    </row>
    <row r="32" spans="1:10" ht="28.5" customHeight="1">
      <c r="B32" s="207" t="s">
        <v>422</v>
      </c>
      <c r="C32" s="434" t="s">
        <v>423</v>
      </c>
      <c r="D32" s="434"/>
      <c r="E32" s="434"/>
      <c r="F32" s="434"/>
      <c r="G32" s="434"/>
      <c r="H32" s="434"/>
      <c r="I32" s="434"/>
      <c r="J32" s="434"/>
    </row>
    <row r="34" spans="2:3">
      <c r="B34" s="210"/>
      <c r="C34" s="211"/>
    </row>
    <row r="62" ht="12.75" customHeight="1"/>
  </sheetData>
  <mergeCells count="6">
    <mergeCell ref="C28:J28"/>
    <mergeCell ref="C30:J30"/>
    <mergeCell ref="C32:J32"/>
    <mergeCell ref="C22:J22"/>
    <mergeCell ref="C24:J24"/>
    <mergeCell ref="C26:J2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7PSourceSummary</vt:lpstr>
      <vt:lpstr>forRPM</vt:lpstr>
      <vt:lpstr>SC-Retro</vt:lpstr>
      <vt:lpstr>Accomplishments</vt:lpstr>
      <vt:lpstr>M_Input_Out</vt:lpstr>
      <vt:lpstr>M_Input</vt:lpstr>
      <vt:lpstr>Increment</vt:lpstr>
      <vt:lpstr>Raw</vt:lpstr>
      <vt:lpstr>SavingsData&amp;Analysis</vt:lpstr>
      <vt:lpstr>CostData&amp;Analysis</vt:lpstr>
      <vt:lpstr>RawCost&amp;PowerData</vt:lpstr>
      <vt:lpstr>Assumptions</vt:lpstr>
      <vt:lpstr>AveragedData</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2015-02-02T23:15:18Z</dcterms:modified>
</cp:coreProperties>
</file>